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10152019\"/>
    </mc:Choice>
  </mc:AlternateContent>
  <xr:revisionPtr revIDLastSave="0" documentId="13_ncr:1_{F9EC76EE-463D-4C16-828B-CC865C6C5602}" xr6:coauthVersionLast="36" xr6:coauthVersionMax="36" xr10:uidLastSave="{00000000-0000-0000-0000-000000000000}"/>
  <bookViews>
    <workbookView xWindow="-120" yWindow="-120" windowWidth="20640" windowHeight="11160" tabRatio="88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SPAF" sheetId="177" r:id="rId32"/>
    <sheet name="SF&amp;QC Sec-3" sheetId="176"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1">#REF!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1">#REF!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1">#REF!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1">#REF!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L4" i="3"/>
  <c r="L113"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9" i="118"/>
  <c r="D22" i="37"/>
  <c r="J22" i="37"/>
  <c r="D24" i="37"/>
  <c r="B4270" i="106" s="1"/>
  <c r="D4270" i="106" s="1"/>
  <c r="N22" i="3" l="1"/>
  <c r="B283" i="106" s="1"/>
  <c r="D283" i="106" s="1"/>
  <c r="H28" i="118"/>
  <c r="K28" i="118" s="1"/>
  <c r="O27" i="118" s="1"/>
  <c r="O29" i="118" s="1"/>
  <c r="H33" i="118"/>
  <c r="F56" i="34"/>
  <c r="H112" i="29"/>
  <c r="B7018" i="106" s="1"/>
  <c r="D7018" i="106" s="1"/>
  <c r="J129" i="29"/>
  <c r="B7038" i="106" s="1"/>
  <c r="D7038" i="106" s="1"/>
  <c r="L5" i="11"/>
  <c r="L13" i="11"/>
  <c r="B2060" i="106" s="1"/>
  <c r="D2060" i="106" s="1"/>
  <c r="G30" i="108"/>
  <c r="D27" i="108"/>
  <c r="G38" i="108"/>
  <c r="B6995" i="106"/>
  <c r="D6995" i="106" s="1"/>
  <c r="F50" i="34"/>
  <c r="D31" i="108"/>
  <c r="B7078" i="106"/>
  <c r="D7078" i="106" s="1"/>
  <c r="B2805" i="106"/>
  <c r="D2805" i="106" s="1"/>
  <c r="F71" i="34"/>
  <c r="F38" i="34"/>
  <c r="E35" i="108"/>
  <c r="F36" i="34"/>
  <c r="L342" i="29"/>
  <c r="E30" i="108"/>
  <c r="G33" i="108"/>
  <c r="D36" i="108"/>
  <c r="B2724" i="106"/>
  <c r="D2724" i="106" s="1"/>
  <c r="F68" i="34"/>
  <c r="F36" i="108"/>
  <c r="L367" i="29"/>
  <c r="G35" i="108"/>
  <c r="G39" i="108"/>
  <c r="F46" i="34"/>
  <c r="F37" i="34"/>
  <c r="J352" i="29"/>
  <c r="J367" i="29" s="1"/>
  <c r="B7245" i="106" s="1"/>
  <c r="D7245" i="106" s="1"/>
  <c r="H365" i="29"/>
  <c r="B7242" i="106" s="1"/>
  <c r="D7242" i="106" s="1"/>
  <c r="B6289" i="106"/>
  <c r="D6289" i="106" s="1"/>
  <c r="K76" i="4"/>
  <c r="B3586" i="106" s="1"/>
  <c r="D3586" i="106" s="1"/>
  <c r="H76" i="4"/>
  <c r="B3298" i="106" s="1"/>
  <c r="D3298" i="106" s="1"/>
  <c r="C129" i="29"/>
  <c r="B1225" i="106" s="1"/>
  <c r="D1225" i="106" s="1"/>
  <c r="F28" i="108"/>
  <c r="G15" i="145"/>
  <c r="G14" i="4"/>
  <c r="B2609" i="106" s="1"/>
  <c r="D2609" i="106" s="1"/>
  <c r="F72" i="34"/>
  <c r="F44" i="34"/>
  <c r="E38" i="108"/>
  <c r="G26" i="108"/>
  <c r="H342" i="29"/>
  <c r="B7221" i="106" s="1"/>
  <c r="D7221" i="106" s="1"/>
  <c r="B1124" i="106"/>
  <c r="D1124" i="106" s="1"/>
  <c r="E34" i="108"/>
  <c r="F70" i="34"/>
  <c r="F62" i="34"/>
  <c r="F42" i="34"/>
  <c r="F34" i="34"/>
  <c r="E26" i="108"/>
  <c r="B7235" i="106"/>
  <c r="D7235" i="106" s="1"/>
  <c r="B3647" i="106"/>
  <c r="D3647" i="106" s="1"/>
  <c r="B2836" i="106"/>
  <c r="D2836" i="106" s="1"/>
  <c r="B1274" i="106"/>
  <c r="D1274" i="106" s="1"/>
  <c r="D9" i="7"/>
  <c r="B1767" i="106" s="1"/>
  <c r="D1767" i="106" s="1"/>
  <c r="J41" i="3"/>
  <c r="B6216" i="106" s="1"/>
  <c r="D6216" i="106" s="1"/>
  <c r="K184" i="29"/>
  <c r="F13" i="4" s="1"/>
  <c r="B2596" i="106" s="1"/>
  <c r="D2596" i="106" s="1"/>
  <c r="G210" i="29"/>
  <c r="B1365" i="106" s="1"/>
  <c r="D1365" i="106" s="1"/>
  <c r="J210" i="29"/>
  <c r="B7072" i="106" s="1"/>
  <c r="D7072" i="106" s="1"/>
  <c r="C342" i="29"/>
  <c r="B7216" i="106" s="1"/>
  <c r="D7216" i="106" s="1"/>
  <c r="I210" i="29"/>
  <c r="B7071" i="106" s="1"/>
  <c r="D7071" i="106" s="1"/>
  <c r="F77" i="4"/>
  <c r="B3255" i="106" s="1"/>
  <c r="D3255" i="106" s="1"/>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F65" i="34"/>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9" i="106" l="1"/>
  <c r="D2059" i="106" s="1"/>
  <c r="M19" i="3"/>
  <c r="B276" i="106" s="1"/>
  <c r="D276" i="106" s="1"/>
  <c r="B2058" i="106"/>
  <c r="D2058" i="106" s="1"/>
  <c r="M18" i="3"/>
  <c r="B275" i="106" s="1"/>
  <c r="D275" i="106" s="1"/>
  <c r="B2057" i="106"/>
  <c r="D2057" i="106" s="1"/>
  <c r="M17" i="3"/>
  <c r="B274" i="106" s="1"/>
  <c r="D274" i="106" s="1"/>
  <c r="B2056" i="106"/>
  <c r="D2056" i="106" s="1"/>
  <c r="M16" i="3"/>
  <c r="D51" i="36"/>
  <c r="L16" i="11"/>
  <c r="G6" i="4"/>
  <c r="B2604" i="106" s="1"/>
  <c r="D2604" i="106" s="1"/>
  <c r="D7256" i="106"/>
  <c r="D44" i="36"/>
  <c r="B5770" i="106"/>
  <c r="D5770" i="106" s="1"/>
  <c r="B7215" i="106"/>
  <c r="D7215" i="106" s="1"/>
  <c r="B1328" i="106"/>
  <c r="D1328" i="106" s="1"/>
  <c r="B1381" i="106"/>
  <c r="D1381" i="106" s="1"/>
  <c r="K77" i="4"/>
  <c r="B3587" i="106" s="1"/>
  <c r="D3587" i="106" s="1"/>
  <c r="H151" i="29"/>
  <c r="B1273" i="106" s="1"/>
  <c r="D1273" i="106" s="1"/>
  <c r="D41" i="108"/>
  <c r="E43" i="108" s="1"/>
  <c r="K365" i="29"/>
  <c r="B7243" i="106" s="1"/>
  <c r="D7243" i="106" s="1"/>
  <c r="C151" i="29"/>
  <c r="B1226" i="106" s="1"/>
  <c r="D1226" i="106" s="1"/>
  <c r="F66" i="34"/>
  <c r="I7" i="4"/>
  <c r="B4444" i="106" s="1"/>
  <c r="D4444" i="106" s="1"/>
  <c r="B5527" i="106"/>
  <c r="D5527" i="106" s="1"/>
  <c r="F41" i="108"/>
  <c r="G43" i="108" s="1"/>
  <c r="L114" i="29"/>
  <c r="K342" i="29"/>
  <c r="F13" i="34" s="1"/>
  <c r="C114" i="29"/>
  <c r="B757" i="106" s="1"/>
  <c r="D757" i="106"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061" i="106" l="1"/>
  <c r="D2061" i="106" s="1"/>
  <c r="M40" i="3"/>
  <c r="B273" i="106"/>
  <c r="D273" i="106" s="1"/>
  <c r="M23" i="3"/>
  <c r="B279" i="106" s="1"/>
  <c r="D279" i="106" s="1"/>
  <c r="K16" i="4"/>
  <c r="B3574" i="106" s="1"/>
  <c r="D3574" i="106" s="1"/>
  <c r="K367" i="29"/>
  <c r="B3678" i="106" s="1"/>
  <c r="D3678"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F8" i="4"/>
  <c r="F10" i="4" s="1"/>
  <c r="B4125" i="106" s="1"/>
  <c r="D4125" i="106" s="1"/>
  <c r="J10" i="4"/>
  <c r="B6225" i="106" s="1"/>
  <c r="D6225" i="106" s="1"/>
  <c r="K17" i="4"/>
  <c r="K19" i="4" s="1"/>
  <c r="B4144" i="106" s="1"/>
  <c r="D4144" i="106" s="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3575" i="106"/>
  <c r="D3575" i="106" s="1"/>
  <c r="D8" i="146"/>
  <c r="K20" i="4"/>
  <c r="K78" i="4"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B6263" i="106"/>
  <c r="D6263"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<sst xmlns="http://schemas.openxmlformats.org/spreadsheetml/2006/main" count="5180" uniqueCount="2140">
  <si>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</si>
  <si>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</si>
  <si>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</si>
  <si>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</si>
  <si>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</si>
  <si>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</si>
  <si>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</si>
  <si>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</si>
  <si>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</si>
  <si>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</si>
  <si>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</si>
  <si>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</si>
  <si>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</si>
  <si>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</si>
  <si>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</si>
  <si>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</si>
  <si>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</si>
  <si>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</si>
  <si>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</si>
  <si>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</si>
  <si>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</si>
  <si>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</si>
  <si>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</si>
  <si>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</si>
  <si>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</si>
  <si>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</si>
  <si>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</si>
  <si>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</si>
  <si>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</si>
  <si>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</si>
  <si>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</si>
  <si>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</si>
  <si>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</si>
  <si>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</si>
  <si>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</si>
  <si>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</si>
  <si>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</si>
  <si>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</si>
  <si>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</si>
  <si>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</si>
  <si>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</si>
  <si>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</si>
  <si>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</si>
  <si>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</si>
  <si>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</si>
  <si>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</si>
  <si>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</si>
  <si>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</si>
  <si>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</si>
  <si>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</si>
  <si>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</si>
  <si>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</si>
  <si>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</si>
  <si>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</si>
  <si>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</si>
  <si>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</si>
  <si>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</si>
  <si>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</si>
  <si>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</si>
  <si>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</si>
  <si>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</si>
  <si>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</si>
  <si>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</si>
  <si>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</si>
  <si>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</si>
  <si>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</si>
  <si>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</si>
  <si>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</si>
  <si>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</si>
  <si>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</si>
  <si>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</si>
  <si>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</si>
  <si>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</si>
  <si>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</si>
  <si>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</si>
  <si>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</si>
  <si>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</si>
  <si>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</si>
  <si>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</si>
  <si>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</si>
  <si>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</si>
  <si>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</si>
  <si>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</si>
  <si>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</si>
  <si>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</si>
  <si>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</si>
  <si>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</si>
  <si>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</si>
  <si>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</si>
  <si>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</si>
  <si>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</si>
  <si>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</si>
  <si>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</si>
  <si>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</si>
  <si>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</si>
  <si>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</si>
  <si>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</si>
  <si>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</si>
  <si>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</si>
  <si>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</si>
  <si>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</si>
  <si>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</si>
  <si>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</si>
  <si>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</si>
  <si>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</si>
  <si>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</si>
  <si>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</si>
  <si>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</si>
  <si>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</si>
  <si>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</si>
  <si>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</si>
  <si>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</si>
  <si>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</si>
  <si>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</si>
  <si>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</si>
  <si>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</si>
  <si>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</si>
  <si>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</si>
  <si>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</si>
  <si>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</si>
  <si>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</si>
  <si>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</si>
  <si>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</si>
  <si>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</si>
  <si>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</si>
  <si>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</si>
  <si>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</si>
  <si>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</si>
  <si>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</si>
  <si>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</si>
  <si>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</si>
  <si>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</si>
  <si>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</si>
  <si>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</si>
  <si>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</si>
  <si>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</si>
  <si>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</si>
  <si>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</si>
  <si>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</si>
  <si>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</si>
  <si>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</si>
  <si>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</si>
  <si>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</si>
  <si>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</si>
  <si>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</si>
  <si>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</si>
  <si>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</si>
  <si>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</si>
  <si>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</si>
  <si>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</si>
  <si>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</si>
  <si>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</si>
  <si>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</si>
  <si>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</si>
  <si>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</si>
  <si>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</si>
  <si>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</si>
  <si>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</si>
  <si>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</si>
  <si>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</si>
  <si>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</si>
  <si>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</si>
  <si>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</si>
  <si>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</si>
  <si>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</si>
  <si>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</si>
  <si>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</si>
  <si>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</si>
  <si>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</si>
  <si>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</si>
  <si>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</si>
  <si>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</si>
  <si>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</si>
  <si>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</si>
  <si>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</si>
  <si>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</si>
  <si>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</si>
  <si>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</si>
  <si>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</si>
  <si>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</si>
  <si>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</si>
  <si>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</si>
  <si>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</si>
  <si>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</si>
  <si>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</si>
  <si>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</si>
  <si>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</si>
  <si>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</si>
  <si>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</si>
  <si>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</si>
  <si>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</si>
  <si>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</si>
  <si>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</si>
  <si>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</si>
  <si>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</si>
  <si>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</si>
  <si>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</si>
  <si>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</si>
  <si>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</si>
  <si>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</si>
  <si>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</si>
  <si>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</si>
  <si>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</si>
  <si>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</si>
  <si>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</si>
  <si>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</si>
  <si>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</si>
  <si>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</si>
  <si>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</si>
  <si>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</si>
  <si>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</si>
  <si>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</si>
  <si>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</si>
  <si>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</si>
  <si>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</si>
  <si>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</si>
  <si>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</si>
  <si>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</si>
  <si>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</si>
  <si>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</si>
  <si>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</si>
  <si>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</si>
  <si>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</si>
  <si>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</si>
  <si>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</si>
  <si>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</si>
  <si>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</si>
  <si>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</si>
  <si>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</si>
  <si>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</si>
  <si>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</si>
  <si>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</si>
  <si>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</si>
  <si>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</si>
  <si>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</si>
  <si>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</si>
  <si>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</si>
  <si>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</si>
  <si>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</si>
  <si>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</si>
  <si>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</si>
  <si>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</si>
  <si>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</si>
  <si>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</si>
  <si>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</si>
  <si>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</si>
  <si>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</si>
  <si>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</si>
  <si>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</si>
  <si>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</si>
  <si>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</si>
  <si>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</si>
  <si>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</si>
  <si>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</si>
  <si>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</si>
  <si>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</si>
  <si>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</si>
  <si>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</si>
  <si>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</si>
  <si>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</si>
  <si>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</si>
  <si>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</si>
  <si>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</si>
  <si>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</si>
  <si>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</si>
  <si>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</si>
  <si>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</si>
  <si>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</si>
  <si>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</si>
  <si>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</si>
  <si>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</si>
  <si>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</si>
  <si>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</si>
  <si>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</si>
  <si>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</si>
  <si>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</si>
  <si>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</si>
  <si>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</si>
  <si>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</si>
  <si>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</si>
  <si>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</si>
  <si>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</si>
  <si>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</si>
  <si>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</si>
  <si>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</si>
  <si>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</si>
  <si>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</si>
  <si>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</si>
  <si>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</si>
  <si>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</si>
  <si>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</si>
  <si>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</si>
  <si>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</si>
  <si>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</si>
  <si>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</si>
  <si>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</si>
  <si>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</si>
  <si>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</si>
  <si>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</si>
  <si>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</si>
  <si>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</si>
  <si>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</si>
  <si>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</si>
  <si>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</si>
  <si>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</si>
  <si>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</si>
  <si>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</si>
  <si>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</si>
  <si>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</si>
  <si>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</si>
  <si>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</si>
  <si>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</si>
  <si>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</si>
  <si>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</si>
  <si>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</si>
  <si>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</si>
  <si>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</si>
  <si>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</si>
  <si>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</si>
  <si>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</si>
  <si>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</si>
  <si>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</si>
  <si>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</si>
  <si>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</si>
  <si>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</si>
  <si>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</si>
  <si>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</si>
  <si>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</si>
  <si>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</si>
  <si>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</si>
  <si>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</si>
  <si>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</si>
  <si>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</si>
  <si>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</si>
  <si>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</si>
  <si>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</si>
  <si>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</si>
  <si>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</si>
  <si>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</si>
  <si>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</si>
  <si>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</si>
  <si>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</si>
  <si>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</si>
  <si>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</si>
  <si>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</si>
  <si>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</si>
  <si>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</si>
  <si>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</si>
  <si>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</si>
  <si>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</si>
  <si>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</si>
  <si>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</si>
  <si>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</si>
  <si>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</si>
  <si>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</si>
  <si>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</si>
  <si>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</si>
  <si>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</si>
  <si>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</si>
  <si>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</si>
  <si>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</si>
  <si>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</si>
  <si>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</si>
  <si>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</si>
  <si>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</si>
  <si>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</si>
  <si>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</si>
  <si>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</si>
  <si>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</si>
  <si>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</si>
  <si>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</si>
  <si>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</si>
  <si>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</si>
  <si>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</si>
  <si>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</si>
  <si>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</si>
  <si>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</si>
  <si>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</si>
  <si>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</si>
  <si>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</si>
  <si>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</si>
  <si>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</si>
  <si>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</si>
  <si>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</si>
  <si>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</si>
  <si>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</si>
  <si>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</si>
  <si>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</si>
  <si>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</si>
  <si>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</si>
  <si>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</si>
  <si>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</si>
  <si>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</si>
  <si>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</si>
  <si>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</si>
  <si>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</si>
  <si>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</si>
  <si>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</si>
  <si>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</si>
  <si>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</si>
  <si>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</si>
  <si>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</si>
  <si>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</si>
  <si>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</si>
  <si>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</si>
  <si>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</si>
  <si>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</si>
  <si>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</si>
  <si>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</si>
  <si>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</si>
  <si>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</si>
  <si>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</si>
  <si>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</si>
  <si>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</si>
  <si>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</si>
  <si>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</si>
  <si>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</si>
  <si>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</si>
  <si>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</si>
  <si>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</si>
  <si>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</si>
  <si>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</si>
  <si>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</si>
  <si>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</si>
  <si>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</si>
  <si>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</si>
  <si>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</si>
  <si>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</si>
  <si>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</si>
  <si>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</si>
  <si>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</si>
  <si>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</si>
  <si>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</si>
  <si>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</si>
  <si>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</si>
  <si>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</si>
  <si>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</si>
  <si>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</si>
  <si>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</si>
  <si>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</si>
  <si>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</si>
  <si>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</si>
  <si>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</si>
  <si>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</si>
  <si>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</si>
  <si>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</si>
  <si>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</si>
  <si>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</si>
  <si>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</si>
  <si>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</si>
  <si>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</si>
  <si>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</si>
  <si>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</si>
  <si>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</si>
  <si>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</si>
  <si>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</si>
  <si>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</si>
  <si>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</si>
  <si>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</si>
  <si>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</si>
  <si>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</si>
  <si>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</si>
  <si>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</si>
  <si>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</si>
  <si>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</si>
  <si>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</si>
  <si>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</si>
  <si>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</si>
  <si>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</si>
  <si>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</si>
  <si>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</si>
  <si>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</si>
  <si>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</si>
  <si>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</si>
  <si>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</si>
  <si>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</si>
  <si>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</si>
  <si>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</si>
  <si>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</si>
  <si>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</si>
  <si>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</si>
  <si>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</si>
  <si>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</si>
  <si>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</si>
  <si>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</si>
  <si>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</si>
  <si>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</si>
  <si>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</si>
  <si>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</si>
  <si>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</si>
  <si>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</si>
  <si>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</si>
  <si>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</si>
  <si>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</si>
  <si>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</si>
  <si>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</si>
  <si>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</si>
  <si>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</si>
  <si>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</si>
  <si>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</si>
  <si>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</si>
  <si>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</si>
  <si>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</si>
  <si>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</si>
  <si>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</si>
  <si>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</si>
  <si>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</si>
  <si>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</si>
  <si>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</si>
  <si>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</si>
  <si>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</si>
  <si>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</si>
  <si>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</si>
  <si>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</si>
  <si>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</si>
  <si>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</si>
  <si>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</si>
  <si>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</si>
  <si>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</si>
  <si>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</si>
  <si>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</si>
  <si>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</si>
  <si>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</si>
  <si>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</si>
  <si>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</si>
  <si>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</si>
  <si>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</si>
  <si>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</si>
  <si>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</si>
  <si>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</si>
  <si>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</si>
  <si>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</si>
  <si>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</si>
  <si>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</si>
  <si>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</si>
  <si>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</si>
  <si>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</si>
  <si>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</si>
  <si>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</si>
  <si>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</si>
  <si>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</si>
  <si>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</si>
  <si>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</si>
  <si>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</si>
  <si>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</si>
  <si>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</si>
  <si>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</si>
  <si>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</si>
  <si>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</si>
  <si>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</si>
  <si>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</si>
  <si>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</si>
  <si>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</si>
  <si>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</si>
  <si>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</si>
  <si>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</si>
  <si>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</si>
  <si>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</si>
  <si>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</si>
  <si>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</si>
  <si>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</si>
  <si>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</si>
  <si>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</si>
  <si>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</si>
  <si>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</si>
  <si>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</si>
  <si>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</si>
  <si>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</si>
  <si>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</si>
  <si>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</si>
  <si>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</si>
  <si>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</si>
  <si>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</si>
  <si>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</si>
  <si>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</si>
  <si>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</si>
  <si>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</si>
  <si>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</si>
  <si>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</si>
  <si>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</si>
  <si>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</si>
  <si>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</si>
  <si>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</si>
  <si>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</si>
  <si>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</si>
  <si>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</si>
  <si>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</si>
  <si>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</si>
  <si>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</si>
  <si>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</si>
  <si>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</si>
  <si>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</si>
  <si>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</si>
  <si>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</si>
  <si>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</si>
  <si>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</si>
  <si>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</si>
  <si>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</si>
  <si>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</si>
  <si>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</si>
  <si>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</si>
  <si>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</si>
  <si>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</si>
  <si>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</si>
  <si>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</si>
  <si>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</si>
  <si>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</si>
  <si>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</si>
  <si>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</si>
  <si>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</si>
  <si>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</si>
  <si>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</si>
  <si>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</si>
  <si>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</si>
  <si>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</si>
  <si>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</si>
  <si>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</si>
  <si>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</si>
  <si>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</si>
  <si>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</si>
  <si>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</si>
  <si>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</si>
  <si>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</si>
  <si>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</si>
  <si>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</si>
  <si>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</si>
  <si>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</si>
  <si>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</si>
  <si>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</si>
  <si>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</si>
  <si>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</si>
  <si>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</si>
  <si>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</si>
  <si>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</si>
  <si>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</si>
  <si>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</si>
  <si>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</si>
  <si>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</si>
  <si>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</si>
  <si>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</si>
  <si>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</si>
  <si>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</si>
  <si>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</si>
  <si>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</si>
  <si>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</si>
  <si>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</si>
  <si>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</si>
  <si>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</si>
  <si>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</si>
  <si>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</si>
  <si>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</si>
  <si>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</si>
  <si>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</si>
  <si>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</si>
  <si>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</si>
  <si>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</si>
  <si>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</si>
  <si>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</si>
  <si>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</si>
  <si>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</si>
  <si>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</si>
  <si>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</si>
  <si>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</si>
  <si>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</si>
  <si>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</si>
  <si>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</si>
  <si>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</si>
  <si>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</si>
  <si>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</si>
  <si>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</si>
  <si>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</si>
  <si>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</si>
  <si>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</si>
  <si>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</si>
  <si>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</si>
  <si>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</si>
  <si>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</si>
  <si>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</si>
  <si>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</si>
  <si>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</si>
  <si>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</si>
  <si>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</si>
  <si>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</si>
  <si>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</si>
  <si>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</si>
  <si>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</si>
  <si>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</si>
  <si>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</si>
  <si>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</si>
  <si>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</si>
  <si>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</si>
  <si>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</si>
  <si>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</si>
  <si>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</si>
  <si>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</si>
  <si>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</si>
  <si>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</si>
  <si>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</si>
  <si>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</si>
  <si>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</si>
  <si>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</si>
  <si>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</si>
  <si>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</si>
  <si>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</si>
  <si>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</si>
  <si>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</si>
  <si>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</si>
  <si>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</si>
  <si>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</si>
  <si>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</si>
  <si>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</si>
  <si>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</si>
  <si>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</si>
  <si>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</si>
  <si>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</si>
  <si>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</si>
  <si>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</si>
  <si>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</si>
  <si>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</si>
  <si>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</si>
  <si>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</si>
  <si>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</si>
  <si>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</si>
  <si>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</si>
  <si>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</si>
  <si>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</si>
  <si>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</si>
  <si>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</si>
  <si>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</si>
  <si>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</si>
  <si>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</si>
  <si>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</si>
  <si>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</si>
  <si>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</si>
  <si>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</si>
  <si>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</si>
  <si>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</si>
  <si>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</si>
  <si>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</si>
  <si>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</si>
  <si>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</si>
  <si>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</si>
  <si>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</si>
  <si>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</si>
  <si>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</si>
  <si>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</si>
  <si>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</si>
  <si>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</si>
  <si>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</si>
  <si>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</si>
  <si>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</si>
  <si>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</si>
  <si>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</si>
  <si>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</si>
  <si>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</si>
  <si>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</si>
  <si>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</si>
  <si>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</si>
  <si>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</si>
  <si>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</si>
  <si>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</si>
  <si>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</si>
  <si>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</si>
  <si>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</si>
  <si>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</si>
  <si>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</si>
  <si>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</si>
  <si>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</si>
  <si>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</si>
  <si>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</si>
  <si>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</si>
  <si>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</si>
  <si>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</si>
  <si>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</si>
  <si>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</si>
  <si>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</si>
  <si>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</si>
  <si>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</si>
  <si>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</si>
  <si>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</si>
  <si>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</si>
  <si>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</si>
  <si>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</si>
  <si>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</si>
  <si>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</si>
  <si>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</si>
  <si>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</si>
  <si>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</si>
  <si>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</si>
  <si>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</si>
  <si>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</si>
  <si>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</si>
  <si>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</si>
  <si>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</si>
  <si>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</si>
  <si>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</si>
  <si>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</si>
  <si>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</si>
  <si>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</si>
  <si>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</si>
  <si>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</si>
  <si>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</si>
  <si>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</si>
  <si>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</si>
  <si>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</si>
  <si>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</si>
  <si>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</si>
  <si>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</si>
  <si>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</si>
  <si>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</si>
  <si>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</si>
  <si>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</si>
  <si>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</si>
  <si>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</si>
  <si>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</si>
  <si>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</si>
  <si>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</si>
  <si>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</si>
  <si>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</si>
  <si>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</si>
  <si>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</si>
  <si>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</si>
  <si>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</si>
  <si>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</si>
  <si>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</si>
  <si>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</si>
  <si>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</si>
  <si>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</si>
  <si>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</si>
  <si>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</si>
  <si>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</si>
  <si>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</si>
  <si>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</si>
  <si>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</si>
  <si>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</si>
  <si>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</si>
  <si>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</si>
  <si>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</si>
  <si>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</si>
  <si>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</si>
  <si>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</si>
  <si>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</si>
  <si>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</si>
  <si>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</si>
  <si>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</si>
  <si>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</si>
  <si>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</si>
  <si>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</si>
  <si>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</si>
  <si>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</si>
  <si>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</si>
  <si>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</si>
  <si>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</si>
  <si>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</si>
  <si>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</si>
  <si>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</si>
  <si>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</si>
  <si>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</si>
  <si>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</si>
  <si>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</si>
  <si>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</si>
  <si>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</si>
  <si>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</si>
  <si>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</si>
  <si>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</si>
  <si>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</si>
  <si>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</si>
  <si>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</si>
  <si>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</si>
  <si>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</si>
  <si>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</si>
  <si>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</si>
  <si>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</si>
  <si>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</si>
  <si>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</si>
  <si>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</si>
  <si>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</si>
  <si>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</si>
  <si>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</si>
  <si>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</si>
  <si>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</si>
  <si>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</si>
  <si>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</si>
  <si>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</si>
  <si>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</si>
  <si>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</si>
  <si>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</si>
  <si>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</si>
  <si>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</si>
  <si>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</si>
  <si>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</si>
  <si>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</si>
  <si>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</si>
  <si>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</si>
  <si>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</si>
  <si>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</si>
  <si>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</si>
  <si>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</si>
  <si>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</si>
  <si>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</si>
  <si>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</si>
  <si>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</si>
  <si>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</si>
  <si>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</si>
  <si>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</si>
  <si>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</si>
  <si>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</si>
  <si>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</si>
  <si>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</si>
  <si>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</si>
  <si>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</si>
  <si>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</si>
  <si>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</si>
  <si>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</si>
  <si>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</si>
  <si>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</si>
  <si>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</si>
  <si>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</si>
  <si>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</si>
  <si>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</si>
  <si>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</si>
  <si>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</si>
  <si>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</si>
  <si>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</si>
  <si>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</si>
  <si>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</si>
  <si>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</si>
  <si>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</si>
  <si>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</si>
  <si>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</si>
  <si>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</si>
  <si>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</si>
  <si>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</si>
  <si>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</si>
  <si>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</si>
  <si>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</si>
  <si>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</si>
  <si>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</si>
  <si>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</si>
  <si>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</si>
  <si>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</si>
  <si>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</si>
  <si>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</si>
  <si>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</si>
  <si>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</si>
  <si>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</si>
  <si>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</si>
  <si>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</si>
  <si>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</si>
  <si>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</si>
  <si>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</si>
  <si>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</si>
  <si>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</si>
  <si>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</si>
  <si>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</si>
  <si>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</si>
  <si>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</si>
  <si>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</si>
  <si>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</si>
  <si>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</si>
  <si>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</si>
  <si>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</si>
  <si>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</si>
  <si>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</si>
  <si>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</si>
  <si>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</si>
  <si>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</si>
  <si>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</si>
  <si>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</si>
  <si>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</si>
  <si>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</si>
  <si>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</si>
  <si>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</si>
  <si>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</si>
  <si>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</si>
  <si>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</si>
  <si>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</si>
  <si>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</si>
  <si>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</si>
  <si>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</si>
  <si>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</si>
  <si>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</si>
  <si>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</si>
  <si>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</si>
  <si>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</si>
  <si>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</si>
  <si>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</si>
  <si>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</si>
  <si>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</si>
  <si>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</si>
  <si>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</si>
  <si>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</si>
  <si>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</si>
  <si>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</si>
  <si>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</si>
  <si>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</si>
  <si>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</si>
  <si>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</si>
  <si>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</si>
  <si>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</si>
  <si>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</si>
  <si>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</si>
  <si>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</si>
  <si>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</si>
  <si>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</si>
  <si>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</si>
  <si>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</si>
  <si>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</si>
  <si>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</si>
  <si>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</si>
  <si>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</si>
  <si>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</si>
  <si>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</si>
  <si>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</si>
  <si>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</si>
  <si>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</si>
  <si>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</si>
  <si>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</si>
  <si>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</si>
  <si>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</si>
  <si>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</si>
  <si>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</si>
  <si>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</si>
  <si>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</si>
  <si>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</si>
  <si>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</si>
  <si>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</si>
  <si>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</si>
  <si>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</si>
  <si>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</si>
  <si>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</si>
  <si>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</si>
  <si>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</si>
  <si>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</si>
  <si>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</si>
  <si>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</si>
  <si>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</si>
  <si>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</si>
  <si>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</si>
  <si>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</si>
  <si>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</si>
  <si>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</si>
  <si>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</si>
  <si>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</si>
  <si>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</si>
  <si>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</si>
  <si>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</si>
  <si>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</si>
  <si>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</si>
  <si>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</si>
  <si>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</si>
  <si>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</si>
  <si>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</si>
  <si>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</si>
  <si>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</si>
  <si>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</si>
  <si>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</si>
  <si>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</si>
  <si>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</si>
  <si>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</si>
  <si>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</si>
  <si>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</si>
  <si>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</si>
  <si>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</si>
  <si>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</si>
  <si>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</si>
  <si>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</si>
  <si>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</si>
  <si>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</si>
  <si>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</si>
  <si>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</si>
  <si>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</si>
  <si>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</si>
  <si>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</si>
  <si>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</si>
  <si>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</si>
  <si>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</si>
  <si>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</si>
  <si>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</si>
  <si>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</si>
  <si>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</si>
  <si>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</si>
  <si>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</si>
  <si>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</si>
  <si>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</si>
  <si>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</si>
  <si>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</si>
  <si>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</si>
  <si>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</si>
  <si>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</si>
  <si>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</si>
  <si>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</si>
  <si>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</si>
  <si>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</si>
  <si>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</si>
  <si>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</si>
  <si>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</si>
  <si>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</si>
  <si>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</si>
  <si>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</si>
  <si>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</si>
  <si>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</si>
  <si>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</si>
  <si>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</si>
  <si>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</si>
  <si>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</si>
  <si>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</si>
  <si>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</si>
  <si>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</si>
  <si>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</si>
  <si>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</si>
  <si>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</si>
  <si>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</si>
  <si>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</si>
  <si>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</si>
  <si>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</si>
  <si>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</si>
  <si>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</si>
  <si>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</si>
  <si>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</si>
  <si>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</si>
  <si>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</si>
  <si>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</si>
  <si>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</si>
  <si>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</si>
  <si>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</si>
  <si>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</si>
  <si>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</si>
  <si>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</si>
  <si>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</si>
  <si>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</si>
  <si>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</si>
  <si>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</si>
  <si>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</si>
  <si>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</si>
  <si>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</si>
  <si>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</si>
  <si>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</si>
  <si>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</si>
  <si>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</si>
  <si>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</si>
  <si>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</si>
  <si>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</si>
  <si>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</si>
  <si>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</si>
  <si>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</si>
  <si>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</si>
  <si>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</si>
  <si>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</si>
  <si>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</si>
  <si>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</si>
  <si>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</si>
  <si>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</si>
  <si>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</si>
  <si>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</si>
  <si>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</si>
  <si>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</si>
  <si>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</si>
  <si>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</si>
  <si>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</si>
  <si>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</si>
  <si>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</si>
  <si>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</si>
  <si>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</si>
  <si>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</si>
  <si>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</si>
  <si>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</si>
  <si>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</si>
  <si>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</si>
  <si>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</si>
  <si>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</si>
  <si>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</si>
  <si>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</si>
  <si>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</si>
  <si>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</si>
  <si>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</si>
  <si>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</si>
  <si>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</si>
  <si>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</si>
  <si>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</si>
  <si>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</si>
  <si>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</si>
  <si>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</si>
  <si>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</si>
  <si>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</si>
  <si>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</si>
  <si>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</si>
  <si>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</si>
  <si>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</si>
  <si>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</si>
  <si>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</si>
  <si>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</si>
  <si>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</si>
  <si>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</si>
  <si>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</si>
  <si>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</si>
  <si>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</si>
  <si>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</si>
  <si>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</si>
  <si>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</si>
  <si>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</si>
  <si>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</si>
  <si>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</si>
  <si>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</si>
  <si>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</si>
  <si>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</si>
  <si>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</si>
  <si>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</si>
  <si>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</si>
  <si>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</si>
  <si>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</si>
  <si>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</si>
  <si>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</si>
  <si>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</si>
  <si>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</si>
  <si>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</si>
  <si>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</si>
  <si>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</si>
  <si>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</si>
  <si>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</si>
  <si>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</si>
  <si>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</si>
  <si>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</si>
  <si>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</si>
  <si>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</si>
  <si>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</si>
  <si>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</si>
  <si>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</si>
  <si>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</si>
  <si>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</si>
  <si>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</si>
  <si>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</si>
  <si>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</si>
  <si>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</si>
  <si>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</si>
  <si>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</si>
  <si>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</si>
  <si>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</si>
  <si>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</si>
  <si>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</si>
  <si>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</si>
  <si>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</si>
  <si>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</si>
  <si>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</si>
  <si>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</si>
  <si>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</si>
  <si>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</si>
  <si>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</si>
  <si>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</si>
  <si>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</si>
  <si>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</si>
  <si>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</si>
  <si>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</si>
  <si>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</si>
  <si>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</si>
  <si>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</si>
  <si>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</si>
  <si>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</si>
  <si>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</si>
  <si>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</si>
  <si>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</si>
  <si>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</si>
  <si>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</si>
  <si>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</si>
  <si>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</si>
  <si>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</si>
  <si>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</si>
  <si>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</si>
  <si>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</si>
  <si>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</si>
  <si>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</si>
  <si>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</si>
  <si>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</si>
  <si>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</si>
  <si>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</si>
  <si>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</si>
  <si>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</si>
  <si>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</si>
  <si>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</si>
  <si>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</si>
  <si>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</si>
  <si>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</si>
  <si>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</si>
  <si>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</si>
  <si>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</si>
  <si>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</si>
  <si>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</si>
  <si>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</si>
  <si>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</si>
  <si>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</si>
  <si>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</si>
  <si>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</si>
  <si>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</si>
  <si>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</si>
  <si>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</si>
  <si>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</si>
  <si>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</si>
  <si>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</si>
  <si>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</si>
  <si>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</si>
  <si>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</si>
  <si>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</si>
  <si>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</si>
  <si>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</si>
  <si>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</si>
  <si>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</si>
  <si>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</si>
  <si>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</si>
  <si>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</si>
  <si>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</si>
  <si>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</si>
  <si>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</si>
  <si>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</si>
  <si>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</si>
  <si>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</si>
  <si>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</si>
  <si>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</si>
  <si>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</si>
  <si>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</si>
  <si>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</si>
  <si>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</si>
  <si>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</si>
  <si>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</si>
  <si>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</si>
  <si>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</si>
  <si>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</si>
  <si>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</si>
  <si>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</si>
  <si>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</si>
  <si>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</si>
  <si>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</si>
  <si>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</si>
  <si>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</si>
  <si>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</si>
  <si>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</si>
  <si>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</si>
  <si>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</si>
  <si>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</si>
  <si>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</si>
  <si>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</si>
  <si>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</si>
  <si>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</si>
  <si>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</si>
  <si>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</si>
  <si>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</si>
  <si>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</si>
  <si>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</si>
  <si>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</si>
  <si>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</si>
  <si>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</si>
  <si>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</si>
  <si>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</si>
  <si>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</si>
  <si>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</si>
  <si>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</si>
  <si>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</si>
  <si>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</si>
  <si>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</si>
  <si>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</si>
  <si>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</si>
  <si>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</si>
  <si>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</si>
  <si>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</si>
  <si>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</si>
  <si>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</si>
  <si>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</si>
  <si>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</si>
  <si>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</si>
  <si>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</si>
  <si>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</si>
  <si>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</si>
  <si>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</si>
  <si>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</si>
  <si>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</si>
  <si>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</si>
  <si>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</si>
  <si>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</si>
  <si>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</si>
  <si>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</si>
  <si>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</si>
  <si>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</si>
  <si>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</si>
  <si>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</si>
  <si>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</si>
  <si>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</si>
  <si>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</si>
  <si>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</si>
  <si>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</si>
  <si>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</si>
  <si>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</si>
  <si>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</si>
  <si>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</si>
  <si>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</si>
  <si>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</si>
  <si>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</si>
  <si>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</si>
  <si>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</si>
  <si>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</si>
  <si>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</si>
  <si>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</si>
  <si>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</si>
  <si>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</si>
  <si>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</si>
  <si>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</si>
  <si>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</si>
  <si>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</si>
  <si>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</si>
  <si>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</si>
  <si>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</si>
  <si>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</si>
  <si>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</si>
  <si>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</si>
  <si>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</si>
  <si>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</si>
  <si>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</si>
  <si>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</si>
  <si>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</si>
  <si>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</si>
  <si>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</si>
  <si>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</si>
  <si>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</si>
  <si>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</si>
  <si>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</si>
  <si>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</si>
  <si>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</si>
  <si>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</si>
  <si>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</si>
  <si>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</si>
  <si>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</si>
  <si>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</si>
  <si>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</si>
  <si>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</si>
  <si>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</si>
  <si>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</si>
  <si>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</si>
  <si>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</si>
  <si>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</si>
  <si>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</si>
  <si>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</si>
  <si>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</si>
  <si>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</si>
  <si>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</si>
  <si>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</si>
  <si>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</si>
  <si>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</si>
  <si>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</si>
  <si>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</si>
  <si>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</si>
  <si>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</si>
  <si>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</si>
  <si>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</si>
  <si>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</si>
  <si>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</si>
  <si>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</si>
  <si>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</si>
  <si>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</si>
  <si>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</si>
  <si>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</si>
  <si>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</si>
  <si>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</si>
  <si>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</si>
  <si>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</si>
  <si>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</si>
  <si>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</si>
  <si>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</si>
  <si>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</si>
  <si>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</si>
  <si>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</si>
  <si>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</si>
  <si>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</si>
  <si>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</si>
  <si>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</si>
  <si>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</si>
  <si>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</si>
  <si>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</si>
  <si>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</si>
  <si>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</si>
  <si>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</si>
  <si>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</si>
  <si>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</si>
  <si>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</si>
  <si>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</si>
  <si>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</si>
  <si>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</si>
  <si>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</si>
  <si>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</si>
  <si>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</si>
  <si>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</si>
  <si>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</si>
  <si>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</si>
  <si>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</si>
  <si>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</si>
  <si>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</si>
  <si>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</si>
  <si>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</si>
  <si>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</si>
  <si>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</si>
  <si>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</si>
  <si>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</si>
  <si>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</si>
  <si>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</si>
  <si>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</si>
  <si>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</si>
  <si>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</si>
  <si>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</si>
  <si>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</si>
  <si>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</si>
  <si>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</si>
  <si>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</si>
  <si>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</si>
  <si>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</si>
  <si>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</si>
  <si>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</si>
  <si>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</si>
  <si>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</si>
  <si>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</si>
  <si>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</si>
  <si>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</si>
  <si>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</si>
  <si>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</si>
  <si>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</si>
  <si>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</si>
  <si>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</si>
  <si>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</si>
  <si>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</si>
  <si>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</si>
  <si>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</si>
  <si>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</si>
  <si>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</si>
  <si>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</si>
  <si>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</si>
  <si>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</si>
  <si>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</si>
  <si>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</si>
  <si>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</si>
  <si>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</si>
  <si>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</si>
  <si>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</si>
  <si>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</si>
  <si>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</si>
  <si>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</si>
  <si>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</si>
  <si>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</si>
  <si>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</si>
  <si>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</si>
  <si>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</si>
  <si>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</si>
  <si>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</si>
  <si>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</si>
  <si>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</si>
  <si>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</si>
  <si>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</si>
  <si>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</si>
  <si>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</si>
  <si>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</si>
  <si>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</si>
  <si>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</si>
  <si>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</si>
  <si>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</si>
  <si>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</si>
  <si>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</si>
  <si>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</si>
  <si>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</si>
  <si>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</si>
  <si>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</si>
  <si>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</si>
  <si>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</si>
  <si>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</si>
  <si>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</si>
  <si>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</si>
  <si>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</si>
  <si>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</si>
  <si>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</si>
  <si>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</si>
  <si>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</si>
  <si>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</si>
  <si>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</si>
  <si>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</si>
  <si>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</si>
  <si>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</si>
  <si>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</si>
  <si>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</si>
  <si>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</si>
  <si>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</si>
  <si>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</si>
  <si>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</si>
  <si>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</si>
  <si>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</si>
  <si>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</si>
  <si>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</si>
  <si>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</si>
  <si>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</si>
  <si>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</si>
  <si>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</si>
  <si>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</si>
  <si>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</si>
  <si>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</si>
  <si>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</si>
  <si>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</si>
  <si>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</si>
  <si>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</si>
  <si>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</si>
  <si>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</si>
  <si>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</si>
  <si>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</si>
  <si>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</si>
  <si>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</si>
  <si>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</si>
  <si>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</si>
  <si>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</si>
  <si>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</si>
  <si>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</si>
  <si>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</si>
  <si>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</si>
  <si>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</si>
  <si>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</si>
  <si>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</si>
  <si>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</si>
  <si>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</si>
  <si>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</si>
  <si>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</si>
  <si>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</si>
  <si>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</si>
  <si>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</si>
  <si>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</si>
  <si>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</si>
  <si>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</si>
  <si>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</si>
  <si>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</si>
  <si>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</si>
  <si>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</si>
  <si>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</si>
  <si>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</si>
  <si>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</si>
  <si>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</si>
  <si>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</si>
  <si>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</si>
  <si>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</si>
  <si>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</si>
  <si>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</si>
  <si>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</si>
  <si>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</si>
  <si>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</si>
  <si>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</si>
  <si>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</si>
  <si>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</si>
  <si>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</si>
  <si>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</si>
  <si>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</si>
  <si>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</si>
  <si>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</si>
  <si>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</si>
  <si>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</si>
  <si>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</si>
  <si>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</si>
  <si>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</si>
  <si>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</si>
  <si>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</si>
  <si>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</si>
  <si>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</si>
  <si>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</si>
  <si>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</si>
  <si>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</si>
  <si>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</si>
  <si>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</si>
  <si>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</si>
  <si>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</si>
  <si>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</si>
  <si>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</si>
  <si>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</si>
  <si>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</si>
  <si>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</si>
  <si>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</si>
  <si>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</si>
  <si>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</si>
  <si>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</si>
  <si>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</si>
  <si>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</si>
  <si>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</si>
  <si>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</si>
  <si>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</si>
  <si>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</si>
  <si>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</si>
  <si>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</si>
  <si>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</si>
  <si>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</si>
  <si>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</si>
  <si>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</si>
  <si>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</si>
  <si>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</si>
  <si>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</si>
  <si>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</si>
  <si>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</si>
  <si>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</si>
  <si>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</si>
  <si>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</si>
  <si>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</si>
  <si>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</si>
  <si>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</si>
  <si>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</si>
  <si>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</si>
  <si>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</si>
  <si>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</si>
  <si>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</si>
  <si>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</si>
  <si>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</si>
  <si>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</si>
  <si>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</si>
  <si>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</si>
  <si>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</si>
  <si>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</si>
  <si>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</si>
  <si>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</si>
  <si>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</si>
  <si>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</si>
  <si>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</si>
  <si>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</si>
  <si>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</si>
  <si>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</si>
  <si>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</si>
  <si>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</si>
  <si>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</si>
  <si>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</si>
  <si>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</si>
  <si>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</si>
  <si>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</si>
  <si>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</si>
  <si>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</si>
  <si>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</si>
  <si>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</si>
  <si>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</si>
  <si>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</si>
  <si>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</si>
  <si>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</si>
  <si>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</si>
  <si>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</si>
  <si>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</si>
  <si>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</si>
  <si>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</si>
  <si>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</si>
  <si>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</si>
  <si>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</si>
  <si>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</si>
  <si>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</si>
  <si>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</si>
  <si>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</si>
  <si>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</si>
  <si>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</si>
  <si>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</si>
  <si>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</si>
  <si>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</si>
  <si>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</si>
  <si>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</si>
  <si>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</si>
  <si>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</si>
  <si>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</si>
  <si>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</si>
  <si>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</si>
  <si>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</si>
  <si>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</si>
  <si>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</si>
  <si>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</si>
  <si>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</si>
  <si>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</si>
  <si>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</si>
  <si>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</si>
  <si>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</si>
  <si>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</si>
  <si>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</si>
  <si>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</si>
  <si>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</si>
  <si>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</si>
  <si>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</si>
  <si>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</si>
  <si>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</si>
  <si>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</si>
  <si>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</si>
  <si>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</si>
  <si>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</si>
  <si>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</si>
  <si>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</si>
  <si>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</si>
  <si>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</si>
  <si>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</si>
  <si>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</si>
  <si>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</si>
  <si>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</si>
  <si>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</si>
  <si>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</si>
  <si>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</si>
  <si>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</si>
  <si>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</si>
  <si>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</si>
  <si>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</si>
  <si>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</si>
  <si>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</si>
  <si>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</si>
  <si>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</si>
  <si>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</si>
  <si>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</si>
  <si>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</si>
  <si>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</si>
  <si>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</si>
  <si>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</si>
  <si>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</si>
  <si>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</si>
  <si>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</si>
  <si>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</si>
  <si>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</si>
  <si>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</si>
  <si>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</si>
  <si>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</si>
  <si>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</si>
  <si>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</si>
  <si>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</si>
  <si>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</si>
  <si>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</si>
  <si>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</si>
  <si>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</si>
  <si>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</si>
  <si>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</si>
  <si>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</si>
  <si>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</si>
  <si>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</si>
  <si>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</si>
  <si>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</si>
  <si>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</si>
  <si>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</si>
  <si>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</si>
  <si>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</si>
  <si>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</si>
  <si>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</si>
  <si>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</si>
  <si>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</si>
  <si>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</si>
  <si>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</si>
  <si>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</si>
  <si>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</si>
  <si>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</si>
  <si>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</si>
  <si>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</si>
  <si>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</si>
  <si>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</si>
  <si>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</si>
  <si>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</si>
  <si>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</si>
  <si>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</si>
  <si>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</si>
  <si>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</si>
  <si>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</si>
  <si>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</si>
  <si>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</si>
  <si>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</si>
  <si>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</si>
  <si>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</si>
  <si>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</si>
  <si>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</si>
  <si>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</si>
  <si>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</si>
  <si>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</si>
  <si>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</si>
  <si>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</si>
  <si>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</si>
  <si>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</si>
  <si>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</si>
  <si>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</si>
  <si>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</si>
  <si>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</si>
  <si>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</si>
  <si>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</si>
  <si>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</si>
  <si>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</si>
  <si>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</si>
  <si>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</si>
  <si>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</si>
  <si>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</si>
  <si>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</si>
  <si>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</si>
  <si>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</si>
  <si>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</si>
  <si>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</si>
  <si>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</si>
  <si>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</si>
  <si>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</si>
  <si>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</si>
  <si>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</si>
  <si>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</si>
  <si>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</si>
  <si>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</si>
  <si>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</si>
  <si>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</si>
  <si>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</si>
  <si>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</si>
  <si>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</si>
  <si>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</si>
  <si>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</si>
  <si>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</si>
  <si>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</si>
  <si>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</si>
  <si>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</si>
  <si>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</si>
  <si>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</si>
  <si>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</si>
  <si>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</si>
  <si>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</si>
  <si>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</si>
  <si>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</si>
  <si>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</si>
  <si>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</si>
  <si>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</si>
  <si>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</si>
  <si>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</si>
  <si>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</si>
  <si>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</si>
  <si>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</si>
  <si>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</si>
  <si>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</si>
  <si>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</si>
  <si>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</si>
  <si>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</si>
  <si>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</si>
  <si>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</si>
  <si>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</si>
  <si>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</si>
  <si>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</si>
  <si>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</si>
  <si>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</si>
  <si>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</si>
  <si>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</si>
  <si>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</si>
  <si>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</si>
  <si>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</si>
  <si>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</si>
  <si>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</si>
  <si>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</si>
  <si>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</si>
  <si>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</si>
  <si>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</si>
  <si>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</si>
  <si>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</si>
  <si>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</si>
  <si>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</si>
  <si>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</si>
  <si>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</si>
  <si>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</si>
  <si>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</si>
  <si>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</si>
  <si>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</si>
  <si>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</si>
  <si>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</si>
  <si>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</si>
  <si>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</si>
  <si>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</si>
  <si>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</si>
  <si>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</si>
  <si>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</si>
  <si>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</si>
  <si>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</si>
  <si>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</si>
  <si>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</si>
  <si>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</si>
  <si>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</si>
  <si>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</si>
  <si>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</si>
  <si>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</si>
  <si>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</si>
  <si>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</si>
  <si>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</si>
  <si>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</si>
  <si>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</si>
  <si>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</si>
  <si>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</si>
  <si>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</si>
  <si>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</si>
  <si>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</si>
  <si>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</si>
  <si>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</si>
  <si>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</si>
  <si>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</si>
  <si>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</si>
  <si>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</si>
  <si>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</si>
  <si>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</si>
  <si>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</si>
  <si>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</si>
  <si>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</si>
  <si>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</si>
  <si>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</si>
  <si>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</si>
  <si>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</si>
  <si>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</si>
  <si>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</si>
  <si>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</si>
  <si>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</si>
  <si>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</si>
  <si>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</si>
  <si>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</si>
  <si>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</si>
  <si>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</si>
  <si>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</si>
  <si>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</si>
  <si>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</si>
  <si>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</si>
  <si>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</si>
  <si>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</si>
  <si>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</si>
  <si>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</si>
  <si>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</si>
  <si>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</si>
  <si>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</si>
  <si>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</si>
  <si>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</si>
  <si>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</si>
  <si>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</si>
  <si>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</si>
  <si>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</si>
  <si>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</si>
  <si>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</si>
  <si>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</si>
  <si>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</si>
  <si>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</si>
  <si>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</si>
  <si>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</si>
  <si>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</si>
  <si>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</si>
  <si>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</si>
  <si>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</si>
  <si>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</si>
  <si>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</si>
  <si>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</si>
  <si>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</si>
  <si>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</si>
  <si>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</si>
  <si>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</si>
  <si>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</si>
  <si>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</si>
  <si>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</si>
  <si>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</si>
  <si>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</si>
  <si>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</si>
  <si>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</si>
  <si>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</si>
  <si>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</si>
  <si>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</si>
  <si>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</si>
  <si>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</si>
  <si>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</si>
  <si>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</si>
  <si>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</si>
  <si>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</si>
  <si>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</si>
  <si>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</si>
  <si>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</si>
  <si>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</si>
  <si>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</si>
  <si>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</si>
  <si>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</si>
  <si>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</si>
  <si>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</si>
  <si>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</si>
  <si>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</si>
  <si>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</si>
  <si>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</si>
  <si>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</si>
  <si>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ED-Instruction-Purchased Services</t>
  </si>
  <si>
    <t>ED-Special Ed Programs-Other</t>
  </si>
  <si>
    <t>ED-Improvement of Instruction-Purchased Services</t>
  </si>
  <si>
    <t>ED-Direction of Business Support Services</t>
  </si>
  <si>
    <t>ED-Payments for Special Education Programs-Purchased Services</t>
  </si>
  <si>
    <t>ED-Food Services-Purchased Services</t>
  </si>
  <si>
    <t>ED-Payments for Special Education Programs-Others</t>
  </si>
  <si>
    <t>O&amp;M-Operations &amp; Maintenance of Plant Services - Purchased Services</t>
  </si>
  <si>
    <t>O&amp;M-Operations &amp; Maintenance of Plant Services-Supplies</t>
  </si>
  <si>
    <t>TR-Pupil Transportation Services-Purchased Services</t>
  </si>
  <si>
    <t>10-1000-300</t>
  </si>
  <si>
    <t>10-2510-300</t>
  </si>
  <si>
    <t>10-2560-300</t>
  </si>
  <si>
    <t>10-4120-300</t>
  </si>
  <si>
    <t>10-4120-600</t>
  </si>
  <si>
    <t>20-2540-300</t>
  </si>
  <si>
    <t>20-2540-400</t>
  </si>
  <si>
    <t>40-2550-300</t>
  </si>
  <si>
    <t>Imagetec LLP</t>
  </si>
  <si>
    <t>PMA Leasing, Inc</t>
  </si>
  <si>
    <t>Dinternet Consulting LLC</t>
  </si>
  <si>
    <t xml:space="preserve">Arlyn School </t>
  </si>
  <si>
    <t>Laureate Day School</t>
  </si>
  <si>
    <t>Ellin Mosaic Literacy, LLC</t>
  </si>
  <si>
    <t>Suburban Sch. Coop Ins. Pool</t>
  </si>
  <si>
    <t>Organic Life LLC</t>
  </si>
  <si>
    <t>Northern Suburban Spec</t>
  </si>
  <si>
    <t>CallOne</t>
  </si>
  <si>
    <t>Midco Inc</t>
  </si>
  <si>
    <t>Kroeschell Engineering Co</t>
  </si>
  <si>
    <t>Bertog Landscape Co</t>
  </si>
  <si>
    <t>Groot Industries</t>
  </si>
  <si>
    <t xml:space="preserve">Precision Control Systems of </t>
  </si>
  <si>
    <t>Ramrod Distributors</t>
  </si>
  <si>
    <t>Constellation Newenergy Inc</t>
  </si>
  <si>
    <t>Santucci Plumbing</t>
  </si>
  <si>
    <t>Vanguard Energy Services LLC</t>
  </si>
  <si>
    <t>First Student Inc</t>
  </si>
  <si>
    <t>Septran Inc</t>
  </si>
  <si>
    <t>Three O Three Cab</t>
  </si>
  <si>
    <t>United dispatch</t>
  </si>
  <si>
    <t>X</t>
  </si>
  <si>
    <t>Lauterbach &amp; Amen, LLP</t>
  </si>
  <si>
    <t>Cook</t>
  </si>
  <si>
    <t>Matt Beran</t>
  </si>
  <si>
    <t>Northbrook SD 28</t>
  </si>
  <si>
    <t>668 N River Road</t>
  </si>
  <si>
    <t>1475 Maple Avenue</t>
  </si>
  <si>
    <t>Naperville</t>
  </si>
  <si>
    <t>IL</t>
  </si>
  <si>
    <t>Northbrook</t>
  </si>
  <si>
    <t>630-393-1483</t>
  </si>
  <si>
    <t>630-393-2516</t>
  </si>
  <si>
    <t>jdonato@northbrook28.net</t>
  </si>
  <si>
    <t>065-033233</t>
  </si>
  <si>
    <t>9-30-20211</t>
  </si>
  <si>
    <t>Larry Hewitt</t>
  </si>
  <si>
    <t>lhewitt@northbrook28.net</t>
  </si>
  <si>
    <t>847-504-3401</t>
  </si>
  <si>
    <t>N/A</t>
  </si>
  <si>
    <t>Northfield HS District 225 - World Language, Science</t>
  </si>
  <si>
    <t>Educational Benefit Cooperative Health &amp; Dental</t>
  </si>
  <si>
    <t>NSSED (Northern Suburban Special Education District)</t>
  </si>
  <si>
    <t>Northbrook Park District</t>
  </si>
  <si>
    <t>Suburban School Cooperative Insurance Pool</t>
  </si>
  <si>
    <t>PMA ISDLAF and Northfield Township Treasurer</t>
  </si>
  <si>
    <t>Northfield HS District 225</t>
  </si>
  <si>
    <t>Northfield Township School Districts 27, 29, 30, 31, 34</t>
  </si>
  <si>
    <t>NSSED (Northern Suburban Special Education District), NSSEO</t>
  </si>
  <si>
    <t>US Communities, Northfield Township Districts 27, 30, 31</t>
  </si>
  <si>
    <t>Northfield Township Technology Consortium</t>
  </si>
  <si>
    <t>Northfield Township Districts 27, 30, 31 &amp; NSSED Special Ed Transportation</t>
  </si>
  <si>
    <t>Northbrook Park District joint use of facilities</t>
  </si>
  <si>
    <t>Northbrook Library, Northbrook Police Department</t>
  </si>
  <si>
    <t>Revenues 9-14; Other Restricted Revenue from State Sources; 1,318 from State Library Grant</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</si>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</sst>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104775</xdr:rowOff>
        </xdr:from>
        <xdr:to>
          <xdr:col>1</xdr:col>
          <xdr:colOff>904875</xdr:colOff>
          <xdr:row>10</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114300</xdr:rowOff>
        </xdr:from>
        <xdr:to>
          <xdr:col>1</xdr:col>
          <xdr:colOff>1885950</xdr:colOff>
          <xdr:row>10</xdr:row>
          <xdr:rowOff>76200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2105</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t="s">
        <v>2105</v>
      </c>
      <c r="P12" s="100" t="s">
        <v>202</v>
      </c>
      <c r="Q12" s="74"/>
      <c r="R12" s="30"/>
      <c r="S12" s="30"/>
      <c r="T12" s="85" t="s">
        <v>265</v>
      </c>
      <c r="U12" s="51"/>
      <c r="V12" s="51"/>
      <c r="W12" s="51"/>
      <c r="X12" s="51"/>
      <c r="Y12" s="45"/>
      <c r="Z12" s="45"/>
      <c r="AA12" s="46"/>
    </row>
    <row r="13" spans="1:28" ht="13.5" customHeight="1" x14ac:dyDescent="0.2">
      <c r="A13" s="1983">
        <v>5016028002</v>
      </c>
      <c r="B13" s="1984"/>
      <c r="C13" s="1984"/>
      <c r="D13" s="1984"/>
      <c r="E13" s="1984"/>
      <c r="F13" s="1984"/>
      <c r="G13" s="1984"/>
      <c r="H13" s="1985"/>
      <c r="I13" s="31"/>
      <c r="J13" s="30"/>
      <c r="K13" s="28"/>
      <c r="L13" s="30"/>
      <c r="M13" s="30"/>
      <c r="N13" s="30"/>
      <c r="O13" s="30"/>
      <c r="P13" s="30"/>
      <c r="Q13" s="30"/>
      <c r="R13" s="30"/>
      <c r="S13" s="30"/>
      <c r="T13" s="1988" t="s">
        <v>2106</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2107</v>
      </c>
      <c r="B15" s="1986"/>
      <c r="C15" s="1986"/>
      <c r="D15" s="1986"/>
      <c r="E15" s="1986"/>
      <c r="F15" s="1986"/>
      <c r="G15" s="1986"/>
      <c r="H15" s="1987"/>
      <c r="T15" s="1949" t="s">
        <v>2108</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2109</v>
      </c>
      <c r="B17" s="2011"/>
      <c r="C17" s="2011"/>
      <c r="D17" s="2011"/>
      <c r="E17" s="2011"/>
      <c r="F17" s="2011"/>
      <c r="G17" s="2011"/>
      <c r="H17" s="2012"/>
      <c r="T17" s="1998" t="s">
        <v>2110</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2111</v>
      </c>
      <c r="B19" s="1982"/>
      <c r="C19" s="1982"/>
      <c r="D19" s="1982"/>
      <c r="E19" s="1982"/>
      <c r="F19" s="1982"/>
      <c r="G19" s="1982"/>
      <c r="H19" s="1980"/>
      <c r="I19" s="30"/>
      <c r="J19" s="99"/>
      <c r="K19" s="40"/>
      <c r="L19" s="38"/>
      <c r="M19" s="112" t="s">
        <v>315</v>
      </c>
      <c r="P19" s="27"/>
      <c r="Q19" s="27"/>
      <c r="R19" s="27"/>
      <c r="S19" s="31"/>
      <c r="T19" s="1981" t="s">
        <v>2112</v>
      </c>
      <c r="U19" s="1979"/>
      <c r="V19" s="1979"/>
      <c r="W19" s="1980"/>
      <c r="X19" s="1996" t="s">
        <v>2113</v>
      </c>
      <c r="Y19" s="1997"/>
      <c r="Z19" s="1994">
        <v>60563</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2114</v>
      </c>
      <c r="B21" s="1979"/>
      <c r="C21" s="1979"/>
      <c r="D21" s="1979"/>
      <c r="E21" s="1979"/>
      <c r="F21" s="1979"/>
      <c r="G21" s="1979"/>
      <c r="H21" s="1980"/>
      <c r="I21" s="2004" t="s">
        <v>678</v>
      </c>
      <c r="J21" s="1967"/>
      <c r="K21" s="1967"/>
      <c r="L21" s="1967"/>
      <c r="M21" s="1967"/>
      <c r="N21" s="1967"/>
      <c r="O21" s="1967"/>
      <c r="P21" s="1967"/>
      <c r="Q21" s="1967"/>
      <c r="R21" s="1967"/>
      <c r="S21" s="1968"/>
      <c r="T21" s="1946" t="s">
        <v>2115</v>
      </c>
      <c r="U21" s="1947"/>
      <c r="V21" s="1947"/>
      <c r="W21" s="1947"/>
      <c r="X21" s="1960" t="s">
        <v>2116</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2117</v>
      </c>
      <c r="B23" s="2002"/>
      <c r="C23" s="2002"/>
      <c r="D23" s="2002"/>
      <c r="E23" s="2002"/>
      <c r="F23" s="2002"/>
      <c r="G23" s="2002"/>
      <c r="H23" s="2003"/>
      <c r="T23" s="1941" t="s">
        <v>2118</v>
      </c>
      <c r="U23" s="1942"/>
      <c r="V23" s="1942"/>
      <c r="W23" s="1942"/>
      <c r="X23" s="1957" t="s">
        <v>2119</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c r="B25" s="1979"/>
      <c r="C25" s="1979"/>
      <c r="D25" s="1979"/>
      <c r="E25" s="1979"/>
      <c r="F25" s="1979"/>
      <c r="G25" s="1979"/>
      <c r="H25" s="1980"/>
      <c r="I25" s="113"/>
      <c r="J25" s="2045"/>
      <c r="K25" s="2045"/>
      <c r="L25" s="2045"/>
      <c r="M25" s="2045"/>
      <c r="N25" s="2045"/>
      <c r="O25" s="2045"/>
      <c r="P25" s="2045"/>
      <c r="Q25" s="2045"/>
      <c r="R25" s="2045"/>
      <c r="S25" s="2046"/>
      <c r="T25" s="1938"/>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2105</v>
      </c>
      <c r="F29" s="141" t="s">
        <v>1316</v>
      </c>
      <c r="G29" s="114"/>
      <c r="I29" s="54"/>
      <c r="J29" s="102"/>
      <c r="K29" s="28" t="s">
        <v>576</v>
      </c>
      <c r="L29" s="102" t="s">
        <v>2105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2105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2105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2120</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2121</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2122</v>
      </c>
      <c r="B42" s="2028"/>
      <c r="C42" s="2029"/>
      <c r="D42" s="2042"/>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43" sqref="D43"/>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28830521</v>
      </c>
      <c r="C4" s="1524">
        <v>15766604</v>
      </c>
      <c r="D4" s="1752">
        <f>B4-C4</f>
        <v>13063917</v>
      </c>
      <c r="E4" s="1524">
        <v>30815546</v>
      </c>
      <c r="F4" s="1752">
        <f>E4-C4</f>
        <v>15048942</v>
      </c>
    </row>
    <row r="5" spans="1:6" ht="13.7" customHeight="1" x14ac:dyDescent="0.2">
      <c r="A5" s="715" t="s">
        <v>870</v>
      </c>
      <c r="B5" s="1750">
        <f>'Revenues 9-14'!D5</f>
        <v>2694402</v>
      </c>
      <c r="C5" s="585">
        <v>1407022</v>
      </c>
      <c r="D5" s="1753">
        <f t="shared" ref="D5:D18" si="0">B5-C5</f>
        <v>1287380</v>
      </c>
      <c r="E5" s="585">
        <v>2750000</v>
      </c>
      <c r="F5" s="1753">
        <f>E5-C5</f>
        <v>1342978</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755003</v>
      </c>
      <c r="C7" s="585">
        <v>393966</v>
      </c>
      <c r="D7" s="1753">
        <f t="shared" si="0"/>
        <v>361037</v>
      </c>
      <c r="E7" s="585">
        <v>770000</v>
      </c>
      <c r="F7" s="1753">
        <f t="shared" si="1"/>
        <v>376034</v>
      </c>
    </row>
    <row r="8" spans="1:6" ht="13.7" customHeight="1" x14ac:dyDescent="0.2">
      <c r="A8" s="715" t="s">
        <v>1179</v>
      </c>
      <c r="B8" s="1750">
        <f>'Revenues 9-14'!G5</f>
        <v>613392</v>
      </c>
      <c r="C8" s="585">
        <v>306987</v>
      </c>
      <c r="D8" s="1753">
        <f t="shared" si="0"/>
        <v>306405</v>
      </c>
      <c r="E8" s="585">
        <v>600000</v>
      </c>
      <c r="F8" s="1753">
        <f t="shared" si="1"/>
        <v>293013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661633</v>
      </c>
      <c r="C16" s="585">
        <v>350476</v>
      </c>
      <c r="D16" s="1753">
        <f t="shared" si="0"/>
        <v>311157</v>
      </c>
      <c r="E16" s="585">
        <v>685000</v>
      </c>
      <c r="F16" s="1753">
        <f t="shared" si="1"/>
        <v>334524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33554951</v>
      </c>
      <c r="C19" s="1751">
        <f>SUM(C4:C18)</f>
        <v>18225055</v>
      </c>
      <c r="D19" s="1751">
        <f>SUM(D4:D18)</f>
        <v>15329896</v>
      </c>
      <c r="E19" s="1751">
        <f>SUM(E4:E18)</f>
        <v>35620546</v>
      </c>
      <c r="F19" s="1751">
        <f>SUM(F4:F18)</f>
        <v>17395491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D43" sqref="D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0</v>
      </c>
      <c r="I12" s="1758">
        <f>SUM(I5:I11)</f>
        <v>0</v>
      </c>
      <c r="J12" s="1758">
        <f>SUM(J5:J11)</f>
        <v>0</v>
      </c>
      <c r="K12" s="1758">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0</v>
      </c>
      <c r="I23" s="1758">
        <f>SUM(I14:I16,I21,I22)</f>
        <v>0</v>
      </c>
      <c r="J23" s="1758">
        <f>SUM(J14:J16,J21,J22)</f>
        <v>0</v>
      </c>
      <c r="K23" s="1758">
        <f>SUM(K14:K16,K21,K22)</f>
        <v>0</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D43" sqref="D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678040</v>
      </c>
      <c r="D5" s="841"/>
      <c r="E5" s="841"/>
      <c r="F5" s="1760">
        <f>(C5+D5)-E5</f>
        <v>678040</v>
      </c>
      <c r="G5" s="837"/>
      <c r="H5" s="842"/>
      <c r="I5" s="842"/>
      <c r="J5" s="842"/>
      <c r="K5" s="793"/>
      <c r="L5" s="1769">
        <f>F5-K5</f>
        <v>678040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55571385</v>
      </c>
      <c r="D8" s="844">
        <v>209115</v>
      </c>
      <c r="E8" s="844"/>
      <c r="F8" s="1760">
        <f>(C8+D8)-E8</f>
        <v>55780500</v>
      </c>
      <c r="G8" s="843">
        <v>50</v>
      </c>
      <c r="H8" s="765">
        <v>21825929</v>
      </c>
      <c r="I8" s="765">
        <v>1290719</v>
      </c>
      <c r="J8" s="765"/>
      <c r="K8" s="1769">
        <f>(H8+I8)-J8</f>
        <v>23116648</v>
      </c>
      <c r="L8" s="1769">
        <f>F8-K8</f>
        <v>32663852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793484</v>
      </c>
      <c r="D10" s="846"/>
      <c r="E10" s="846"/>
      <c r="F10" s="1764">
        <f>(C10+D10)-E10</f>
        <v>793484</v>
      </c>
      <c r="G10" s="843">
        <v>20</v>
      </c>
      <c r="H10" s="847">
        <v>615689</v>
      </c>
      <c r="I10" s="847">
        <v>10282</v>
      </c>
      <c r="J10" s="847"/>
      <c r="K10" s="1769">
        <f>(H10+I10)-J10</f>
        <v>625971</v>
      </c>
      <c r="L10" s="1769">
        <f>F10-K10</f>
        <v>167513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10174255</v>
      </c>
      <c r="D12" s="844">
        <v>165170</v>
      </c>
      <c r="E12" s="844">
        <v>60628</v>
      </c>
      <c r="F12" s="1760">
        <f>(C12+D12)-E12</f>
        <v>10278797</v>
      </c>
      <c r="G12" s="843">
        <v>10</v>
      </c>
      <c r="H12" s="765">
        <v>8328302</v>
      </c>
      <c r="I12" s="765">
        <v>296633</v>
      </c>
      <c r="J12" s="765">
        <v>48037</v>
      </c>
      <c r="K12" s="1769">
        <f>(H12+I12)-J12</f>
        <v>8576898</v>
      </c>
      <c r="L12" s="1769">
        <f>F12-K12</f>
        <v>1701899</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67217164</v>
      </c>
      <c r="D16" s="1760">
        <f>SUM(D3,D5:D6,D8:D10,D12:D15)</f>
        <v>374285</v>
      </c>
      <c r="E16" s="1760">
        <f>SUM(E3,E5:E6,E8:E10,E12:E15)</f>
        <v>60628</v>
      </c>
      <c r="F16" s="1760">
        <f>SUM(F3,F5:F6,F8:F10,F12:F15)</f>
        <v>67530821</v>
      </c>
      <c r="G16" s="843"/>
      <c r="H16" s="1760">
        <f>SUM(H3,H6,H8:H10,H12:H14,)</f>
        <v>30769920</v>
      </c>
      <c r="I16" s="1760">
        <f>SUM(I3,I6,I8:I10,I12:I14,)</f>
        <v>1597634</v>
      </c>
      <c r="J16" s="1760">
        <f>SUM(J3,J6,J8:J10,J12:J14,)</f>
        <v>48037</v>
      </c>
      <c r="K16" s="1760">
        <f>(H16+I16)-J16</f>
        <v>32319517</v>
      </c>
      <c r="L16" s="1760">
        <f>F16-K16</f>
        <v>35211304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831444</v>
      </c>
      <c r="G17" s="837">
        <v>10</v>
      </c>
      <c r="H17" s="769"/>
      <c r="I17" s="1769">
        <f>F17/G17</f>
        <v>83144.399999999994</v>
      </c>
      <c r="J17" s="769"/>
      <c r="K17" s="795"/>
      <c r="L17" s="795"/>
    </row>
    <row r="18" spans="1:12" ht="14.25" thickTop="1" thickBot="1" x14ac:dyDescent="0.25">
      <c r="A18" s="1767" t="s">
        <v>685</v>
      </c>
      <c r="B18" s="1768"/>
      <c r="C18" s="771"/>
      <c r="D18" s="771"/>
      <c r="E18" s="771"/>
      <c r="F18" s="850"/>
      <c r="G18" s="851"/>
      <c r="H18" s="773"/>
      <c r="I18" s="1760">
        <f>SUM(I16,I17)</f>
        <v>1680778.4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D43" sqref="D43"/>
      <selection pane="bottomLeft" activeCell="D43" sqref="D4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34044156</v>
      </c>
      <c r="G8" s="865"/>
    </row>
    <row r="9" spans="1:7" x14ac:dyDescent="0.2">
      <c r="A9" s="869" t="s">
        <v>460</v>
      </c>
      <c r="B9" s="870" t="s">
        <v>1877</v>
      </c>
      <c r="C9" s="871"/>
      <c r="D9" s="869" t="s">
        <v>501</v>
      </c>
      <c r="E9" s="868"/>
      <c r="F9" s="1909">
        <f>'Expenditures 15-22'!K151</f>
        <v>2604535</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1254139</v>
      </c>
      <c r="G11" s="872"/>
    </row>
    <row r="12" spans="1:7" x14ac:dyDescent="0.2">
      <c r="A12" s="869" t="s">
        <v>462</v>
      </c>
      <c r="B12" s="870" t="s">
        <v>1880</v>
      </c>
      <c r="C12" s="871"/>
      <c r="D12" s="869" t="s">
        <v>501</v>
      </c>
      <c r="E12" s="868"/>
      <c r="F12" s="1909">
        <f>'Expenditures 15-22'!K295</f>
        <v>1248314</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39151144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514079</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155256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198904</v>
      </c>
      <c r="G52" s="865"/>
    </row>
    <row r="53" spans="1:7" x14ac:dyDescent="0.2">
      <c r="A53" s="869" t="s">
        <v>459</v>
      </c>
      <c r="B53" s="869" t="s">
        <v>1475</v>
      </c>
      <c r="C53" s="889">
        <f>'Expenditures 15-22'!B102</f>
        <v>4000</v>
      </c>
      <c r="D53" s="888" t="str">
        <f>'Expenditures 15-22'!A102</f>
        <v>Total Payments to Other Govt Units</v>
      </c>
      <c r="E53" s="868"/>
      <c r="F53" s="1913">
        <f>'Expenditures 15-22'!K102</f>
        <v>1190482</v>
      </c>
      <c r="G53" s="865"/>
    </row>
    <row r="54" spans="1:7" x14ac:dyDescent="0.2">
      <c r="A54" s="869" t="s">
        <v>459</v>
      </c>
      <c r="B54" s="869" t="s">
        <v>1476</v>
      </c>
      <c r="C54" s="889" t="s">
        <v>982</v>
      </c>
      <c r="D54" s="885" t="s">
        <v>1095</v>
      </c>
      <c r="E54" s="868"/>
      <c r="F54" s="1913">
        <f>'Expenditures 15-22'!G114</f>
        <v>2000</v>
      </c>
      <c r="G54" s="865"/>
    </row>
    <row r="55" spans="1:7" x14ac:dyDescent="0.2">
      <c r="A55" s="869" t="s">
        <v>459</v>
      </c>
      <c r="B55" s="869" t="s">
        <v>1477</v>
      </c>
      <c r="C55" s="889" t="s">
        <v>982</v>
      </c>
      <c r="D55" s="885" t="s">
        <v>291</v>
      </c>
      <c r="E55" s="868"/>
      <c r="F55" s="1913">
        <f>'Expenditures 15-22'!I114</f>
        <v>825882</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6316</v>
      </c>
      <c r="G58" s="865"/>
    </row>
    <row r="59" spans="1:7" x14ac:dyDescent="0.2">
      <c r="A59" s="893" t="s">
        <v>460</v>
      </c>
      <c r="B59" s="856" t="s">
        <v>1884</v>
      </c>
      <c r="C59" s="894" t="s">
        <v>982</v>
      </c>
      <c r="D59" s="856" t="s">
        <v>291</v>
      </c>
      <c r="F59" s="1916">
        <f>'Expenditures 15-22'!I151</f>
        <v>5562</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21451</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5611</v>
      </c>
      <c r="G71" s="865"/>
    </row>
    <row r="72" spans="1:8" x14ac:dyDescent="0.2">
      <c r="A72" s="869" t="s">
        <v>462</v>
      </c>
      <c r="B72" s="869" t="s">
        <v>1896</v>
      </c>
      <c r="C72" s="886">
        <f>'Expenditures 15-22'!B280</f>
        <v>3000</v>
      </c>
      <c r="D72" s="876" t="s">
        <v>449</v>
      </c>
      <c r="E72" s="868"/>
      <c r="F72" s="1913">
        <f>'Expenditures 15-22'!K280</f>
        <v>24149</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2949692</v>
      </c>
      <c r="G76" s="865"/>
    </row>
    <row r="77" spans="1:8" s="893" customFormat="1" ht="12" customHeight="1" thickTop="1" thickBot="1" x14ac:dyDescent="0.25">
      <c r="A77" s="1779"/>
      <c r="B77" s="1776"/>
      <c r="C77" s="1772"/>
      <c r="D77" s="1777" t="s">
        <v>1900</v>
      </c>
      <c r="E77" s="1774"/>
      <c r="F77" s="1780">
        <f>(F14-F76)</f>
        <v>36201452</v>
      </c>
      <c r="G77" s="869"/>
    </row>
    <row r="78" spans="1:8" s="893" customFormat="1" ht="12" customHeight="1" thickTop="1" x14ac:dyDescent="0.2">
      <c r="A78" s="1781"/>
      <c r="B78" s="1776"/>
      <c r="C78" s="1772"/>
      <c r="D78" s="1777" t="s">
        <v>2062</v>
      </c>
      <c r="E78" s="1774"/>
      <c r="F78" s="898">
        <v>1721.8</v>
      </c>
      <c r="G78" s="899"/>
      <c r="H78" s="869"/>
    </row>
    <row r="79" spans="1:8" s="893" customFormat="1" ht="12" customHeight="1" thickBot="1" x14ac:dyDescent="0.25">
      <c r="A79" s="1782"/>
      <c r="B79" s="1776"/>
      <c r="C79" s="1772"/>
      <c r="D79" s="1777" t="s">
        <v>1901</v>
      </c>
      <c r="E79" s="1774" t="s">
        <v>958</v>
      </c>
      <c r="F79" s="1783">
        <f>IF(F78&gt;0,F77/F78," Complete Line 78")</f>
        <v>21025.352538041585</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134383</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19490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295424</v>
      </c>
      <c r="G94" s="912"/>
    </row>
    <row r="95" spans="1:7" x14ac:dyDescent="0.2">
      <c r="A95" s="908" t="s">
        <v>140</v>
      </c>
      <c r="B95" s="908" t="s">
        <v>175</v>
      </c>
      <c r="C95" s="910">
        <v>1700</v>
      </c>
      <c r="D95" s="918" t="str">
        <f>'Revenues 9-14'!A82</f>
        <v>Total District/School Activity Income</v>
      </c>
      <c r="E95" s="906"/>
      <c r="F95" s="1789">
        <f>SUM('Revenues 9-14'!C82,'Revenues 9-14'!D82)</f>
        <v>66870</v>
      </c>
      <c r="G95" s="912"/>
    </row>
    <row r="96" spans="1:7" x14ac:dyDescent="0.2">
      <c r="A96" s="908" t="s">
        <v>459</v>
      </c>
      <c r="B96" s="908" t="s">
        <v>176</v>
      </c>
      <c r="C96" s="910">
        <f>'Revenues 9-14'!B84</f>
        <v>1811</v>
      </c>
      <c r="D96" s="911" t="str">
        <f>'Revenues 9-14'!A84</f>
        <v>Rentals - Regular Textbooks</v>
      </c>
      <c r="E96" s="906"/>
      <c r="F96" s="1789">
        <f>'Revenues 9-14'!C84</f>
        <v>281059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41261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11987</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205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230616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1318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19054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103845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317998</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41497</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28584</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16363</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101663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24734.71</v>
      </c>
      <c r="G171" s="927"/>
    </row>
    <row r="172" spans="1:7" x14ac:dyDescent="0.2">
      <c r="A172" s="1918" t="s">
        <v>664</v>
      </c>
      <c r="B172" s="1919" t="s">
        <v>1920</v>
      </c>
      <c r="C172" s="1920">
        <v>3300</v>
      </c>
      <c r="D172" s="1921" t="s">
        <v>1923</v>
      </c>
      <c r="E172" s="906"/>
      <c r="F172" s="1906">
        <v>609324.56000000006</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2345676.27</v>
      </c>
    </row>
    <row r="175" spans="1:7" ht="12" customHeight="1" x14ac:dyDescent="0.2">
      <c r="A175" s="1770"/>
      <c r="B175" s="1784"/>
      <c r="C175" s="1785"/>
      <c r="D175" s="1786" t="s">
        <v>2057</v>
      </c>
      <c r="E175" s="1787"/>
      <c r="F175" s="1789">
        <f>'PCTC-OEPP 27-28'!F77-F174</f>
        <v>33855775.729999997</v>
      </c>
    </row>
    <row r="176" spans="1:7" ht="12" customHeight="1" x14ac:dyDescent="0.2">
      <c r="A176" s="1770"/>
      <c r="B176" s="1784"/>
      <c r="C176" s="1785"/>
      <c r="D176" s="1786" t="s">
        <v>1817</v>
      </c>
      <c r="E176" s="1787"/>
      <c r="F176" s="1789">
        <f>'Cap Outlay Deprec 26'!I18</f>
        <v>1680778.4</v>
      </c>
    </row>
    <row r="177" spans="1:7" ht="12" customHeight="1" x14ac:dyDescent="0.2">
      <c r="A177" s="1770"/>
      <c r="B177" s="1784"/>
      <c r="C177" s="1785"/>
      <c r="D177" s="1786" t="s">
        <v>2058</v>
      </c>
      <c r="E177" s="1787"/>
      <c r="F177" s="1789">
        <f>F175+F176</f>
        <v>35536554.129999995</v>
      </c>
    </row>
    <row r="178" spans="1:7" ht="12" customHeight="1" x14ac:dyDescent="0.2">
      <c r="A178" s="1770"/>
      <c r="B178" s="1790"/>
      <c r="C178" s="1785"/>
      <c r="D178" s="1786" t="str">
        <f>D78</f>
        <v>9 Month ADA from District Average Daily Attendance/Prior General State Aid Inquiry 2018-2019</v>
      </c>
      <c r="E178" s="1787"/>
      <c r="F178" s="1791">
        <f>'PCTC-OEPP 27-28'!F78</f>
        <v>1721.8</v>
      </c>
      <c r="G178" s="930"/>
    </row>
    <row r="179" spans="1:7" ht="12" customHeight="1" thickBot="1" x14ac:dyDescent="0.25">
      <c r="A179" s="1770"/>
      <c r="B179" s="1790"/>
      <c r="C179" s="1785"/>
      <c r="D179" s="1786" t="s">
        <v>2059</v>
      </c>
      <c r="E179" s="1787" t="s">
        <v>1545</v>
      </c>
      <c r="F179" s="1792">
        <f>F177/F178</f>
        <v>20639.188134510394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3" sqref="B2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2064</v>
      </c>
      <c r="B17" s="1935" t="s">
        <v>2074</v>
      </c>
      <c r="C17" s="1656" t="s">
        <v>2082</v>
      </c>
      <c r="D17" s="1844">
        <v>46849.24</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21849.239999999998</v>
      </c>
      <c r="H17" s="1647"/>
    </row>
    <row r="18" spans="1:8" x14ac:dyDescent="0.25">
      <c r="A18" s="1653" t="s">
        <v>2064</v>
      </c>
      <c r="B18" s="1935" t="s">
        <v>2074</v>
      </c>
      <c r="C18" s="1656" t="s">
        <v>2083</v>
      </c>
      <c r="D18" s="1844">
        <v>75092.460000000006</v>
      </c>
      <c r="E18" s="1540">
        <f t="shared" ref="E18:E140" si="2">IF(D18&lt;=25000,D18,IF(D18&gt;25000,25000,0))</f>
        <v>25000</v>
      </c>
      <c r="F18" s="1933">
        <f t="shared" si="1"/>
        <v>25000</v>
      </c>
      <c r="G18" s="1793">
        <f t="shared" ref="G18:G140" si="3">IF(F18=0,0,D18-F18)</f>
        <v>50092.460000000006</v>
      </c>
    </row>
    <row r="19" spans="1:8" x14ac:dyDescent="0.25">
      <c r="A19" s="1653" t="s">
        <v>2064</v>
      </c>
      <c r="B19" s="2484" t="s">
        <v>2074</v>
      </c>
      <c r="C19" s="1656" t="s">
        <v>2084</v>
      </c>
      <c r="D19" s="1844">
        <v>48000</v>
      </c>
      <c r="E19" s="1540">
        <f t="shared" si="2"/>
        <v>25000</v>
      </c>
      <c r="F19" s="1933">
        <f t="shared" si="1"/>
        <v>25000</v>
      </c>
      <c r="G19" s="1793">
        <f t="shared" si="3"/>
        <v>23000</v>
      </c>
    </row>
    <row r="20" spans="1:8" x14ac:dyDescent="0.25">
      <c r="A20" s="1653" t="s">
        <v>2065</v>
      </c>
      <c r="B20" s="2484" t="s">
        <v>1824</v>
      </c>
      <c r="C20" s="1656" t="s">
        <v>2085</v>
      </c>
      <c r="D20" s="1844">
        <v>36161.870000000003</v>
      </c>
      <c r="E20" s="1540">
        <f t="shared" si="2"/>
        <v>25000</v>
      </c>
      <c r="F20" s="1933">
        <f t="shared" si="1"/>
        <v>25000</v>
      </c>
      <c r="G20" s="1793">
        <f t="shared" si="3"/>
        <v>11161.870000000003</v>
      </c>
    </row>
    <row r="21" spans="1:8" x14ac:dyDescent="0.25">
      <c r="A21" s="1653" t="s">
        <v>2065</v>
      </c>
      <c r="B21" s="2484" t="s">
        <v>1824</v>
      </c>
      <c r="C21" s="1656" t="s">
        <v>2086</v>
      </c>
      <c r="D21" s="1844">
        <v>72422.28</v>
      </c>
      <c r="E21" s="1540">
        <f t="shared" si="2"/>
        <v>25000</v>
      </c>
      <c r="F21" s="1933">
        <f t="shared" si="1"/>
        <v>25000</v>
      </c>
      <c r="G21" s="1793">
        <f t="shared" si="3"/>
        <v>47422.28</v>
      </c>
    </row>
    <row r="22" spans="1:8" x14ac:dyDescent="0.25">
      <c r="A22" s="1653" t="s">
        <v>2066</v>
      </c>
      <c r="B22" s="2484" t="s">
        <v>2139</v>
      </c>
      <c r="C22" s="1656" t="s">
        <v>2087</v>
      </c>
      <c r="D22" s="1844">
        <v>28744.560000000001</v>
      </c>
      <c r="E22" s="1540">
        <f t="shared" si="2"/>
        <v>25000</v>
      </c>
      <c r="F22" s="1933">
        <f t="shared" si="1"/>
        <v>25000</v>
      </c>
      <c r="G22" s="1793">
        <f t="shared" si="3"/>
        <v>3744.5600000000013</v>
      </c>
    </row>
    <row r="23" spans="1:8" x14ac:dyDescent="0.25">
      <c r="A23" s="1653" t="s">
        <v>2067</v>
      </c>
      <c r="B23" s="1935" t="s">
        <v>2075</v>
      </c>
      <c r="C23" s="1656" t="s">
        <v>2088</v>
      </c>
      <c r="D23" s="1844">
        <v>35764</v>
      </c>
      <c r="E23" s="1540">
        <f t="shared" si="2"/>
        <v>25000</v>
      </c>
      <c r="F23" s="1933">
        <f t="shared" si="1"/>
        <v>25000</v>
      </c>
      <c r="G23" s="1793">
        <f t="shared" si="3"/>
        <v>10764</v>
      </c>
    </row>
    <row r="24" spans="1:8" x14ac:dyDescent="0.25">
      <c r="A24" s="1653" t="s">
        <v>2069</v>
      </c>
      <c r="B24" s="1935" t="s">
        <v>2076</v>
      </c>
      <c r="C24" s="1656" t="s">
        <v>2089</v>
      </c>
      <c r="D24" s="1844">
        <v>303148.36</v>
      </c>
      <c r="E24" s="1540">
        <f t="shared" si="2"/>
        <v>25000</v>
      </c>
      <c r="F24" s="1933">
        <f t="shared" si="1"/>
        <v>25000</v>
      </c>
      <c r="G24" s="1793">
        <f t="shared" si="3"/>
        <v>278148.36</v>
      </c>
    </row>
    <row r="25" spans="1:8" ht="30" x14ac:dyDescent="0.25">
      <c r="A25" s="1653" t="s">
        <v>2068</v>
      </c>
      <c r="B25" s="1935" t="s">
        <v>2077</v>
      </c>
      <c r="C25" s="1656" t="s">
        <v>2090</v>
      </c>
      <c r="D25" s="1844">
        <v>312101</v>
      </c>
      <c r="E25" s="1540">
        <f t="shared" si="2"/>
        <v>25000</v>
      </c>
      <c r="F25" s="1933">
        <f t="shared" si="1"/>
        <v>0</v>
      </c>
      <c r="G25" s="1793">
        <f t="shared" si="3"/>
        <v>0</v>
      </c>
    </row>
    <row r="26" spans="1:8" x14ac:dyDescent="0.25">
      <c r="A26" s="1653" t="s">
        <v>2070</v>
      </c>
      <c r="B26" s="1935" t="s">
        <v>2078</v>
      </c>
      <c r="C26" s="1654" t="s">
        <v>2090</v>
      </c>
      <c r="D26" s="1844">
        <v>1315047.6299999999</v>
      </c>
      <c r="E26" s="1540">
        <f t="shared" si="2"/>
        <v>25000</v>
      </c>
      <c r="F26" s="1933">
        <f t="shared" si="1"/>
        <v>0</v>
      </c>
      <c r="G26" s="1793">
        <f t="shared" si="3"/>
        <v>0</v>
      </c>
    </row>
    <row r="27" spans="1:8" ht="30" x14ac:dyDescent="0.25">
      <c r="A27" s="1653" t="s">
        <v>2071</v>
      </c>
      <c r="B27" s="1935" t="s">
        <v>2079</v>
      </c>
      <c r="C27" s="1654" t="s">
        <v>2088</v>
      </c>
      <c r="D27" s="1844">
        <v>35764</v>
      </c>
      <c r="E27" s="1540">
        <f t="shared" si="2"/>
        <v>25000</v>
      </c>
      <c r="F27" s="1933">
        <f t="shared" si="1"/>
        <v>25000</v>
      </c>
      <c r="G27" s="1793">
        <f t="shared" si="3"/>
        <v>10764</v>
      </c>
    </row>
    <row r="28" spans="1:8" ht="30" x14ac:dyDescent="0.25">
      <c r="A28" s="1653" t="s">
        <v>2071</v>
      </c>
      <c r="B28" s="1935" t="s">
        <v>2079</v>
      </c>
      <c r="C28" s="1654" t="s">
        <v>2091</v>
      </c>
      <c r="D28" s="1844">
        <v>26895.62</v>
      </c>
      <c r="E28" s="1540">
        <f t="shared" si="2"/>
        <v>25000</v>
      </c>
      <c r="F28" s="1933">
        <f t="shared" si="1"/>
        <v>25000</v>
      </c>
      <c r="G28" s="1793">
        <f t="shared" si="3"/>
        <v>1895.619999999999</v>
      </c>
    </row>
    <row r="29" spans="1:8" ht="30" x14ac:dyDescent="0.25">
      <c r="A29" s="1653" t="s">
        <v>2071</v>
      </c>
      <c r="B29" s="1935" t="s">
        <v>2079</v>
      </c>
      <c r="C29" s="1654" t="s">
        <v>2092</v>
      </c>
      <c r="D29" s="1844">
        <v>80146.28</v>
      </c>
      <c r="E29" s="1540">
        <f t="shared" si="2"/>
        <v>25000</v>
      </c>
      <c r="F29" s="1933">
        <f t="shared" si="1"/>
        <v>25000</v>
      </c>
      <c r="G29" s="1793">
        <f t="shared" si="3"/>
        <v>55146.28</v>
      </c>
    </row>
    <row r="30" spans="1:8" ht="30" x14ac:dyDescent="0.25">
      <c r="A30" s="1653" t="s">
        <v>2071</v>
      </c>
      <c r="B30" s="1935" t="s">
        <v>2079</v>
      </c>
      <c r="C30" s="1654" t="s">
        <v>2093</v>
      </c>
      <c r="D30" s="1844">
        <v>79841.16</v>
      </c>
      <c r="E30" s="1540">
        <f t="shared" si="2"/>
        <v>25000</v>
      </c>
      <c r="F30" s="1933">
        <f t="shared" si="1"/>
        <v>25000</v>
      </c>
      <c r="G30" s="1793">
        <f t="shared" si="3"/>
        <v>54841.16</v>
      </c>
    </row>
    <row r="31" spans="1:8" ht="30" x14ac:dyDescent="0.25">
      <c r="A31" s="1653" t="s">
        <v>2071</v>
      </c>
      <c r="B31" s="1935" t="s">
        <v>2079</v>
      </c>
      <c r="C31" s="1654" t="s">
        <v>2094</v>
      </c>
      <c r="D31" s="1844">
        <v>42929.61</v>
      </c>
      <c r="E31" s="1540">
        <f t="shared" si="2"/>
        <v>25000</v>
      </c>
      <c r="F31" s="1933">
        <f t="shared" si="1"/>
        <v>25000</v>
      </c>
      <c r="G31" s="1793">
        <f t="shared" si="3"/>
        <v>17929.61</v>
      </c>
    </row>
    <row r="32" spans="1:8" ht="30" x14ac:dyDescent="0.25">
      <c r="A32" s="1653" t="s">
        <v>2071</v>
      </c>
      <c r="B32" s="1935" t="s">
        <v>2079</v>
      </c>
      <c r="C32" s="1654" t="s">
        <v>2095</v>
      </c>
      <c r="D32" s="1844">
        <v>36433.199999999997</v>
      </c>
      <c r="E32" s="1540">
        <f t="shared" si="2"/>
        <v>25000</v>
      </c>
      <c r="F32" s="1933">
        <f t="shared" si="1"/>
        <v>25000</v>
      </c>
      <c r="G32" s="1793">
        <f t="shared" si="3"/>
        <v>11433.199999999997</v>
      </c>
    </row>
    <row r="33" spans="1:7" ht="30" x14ac:dyDescent="0.25">
      <c r="A33" s="1653" t="s">
        <v>2071</v>
      </c>
      <c r="B33" s="1935" t="s">
        <v>2079</v>
      </c>
      <c r="C33" s="1654" t="s">
        <v>2096</v>
      </c>
      <c r="D33" s="1844">
        <v>40648</v>
      </c>
      <c r="E33" s="1540">
        <f t="shared" si="2"/>
        <v>25000</v>
      </c>
      <c r="F33" s="1933">
        <f t="shared" si="1"/>
        <v>25000</v>
      </c>
      <c r="G33" s="1793">
        <f t="shared" si="3"/>
        <v>15648</v>
      </c>
    </row>
    <row r="34" spans="1:7" ht="30" x14ac:dyDescent="0.25">
      <c r="A34" s="1653" t="s">
        <v>2072</v>
      </c>
      <c r="B34" s="1935" t="s">
        <v>2080</v>
      </c>
      <c r="C34" s="1654" t="s">
        <v>2097</v>
      </c>
      <c r="D34" s="1844">
        <v>47123.57</v>
      </c>
      <c r="E34" s="1540">
        <f t="shared" si="2"/>
        <v>25000</v>
      </c>
      <c r="F34" s="1933">
        <f t="shared" si="1"/>
        <v>25000</v>
      </c>
      <c r="G34" s="1793">
        <f t="shared" si="3"/>
        <v>22123.57</v>
      </c>
    </row>
    <row r="35" spans="1:7" ht="30" x14ac:dyDescent="0.25">
      <c r="A35" s="1653" t="s">
        <v>2072</v>
      </c>
      <c r="B35" s="1935" t="s">
        <v>2080</v>
      </c>
      <c r="C35" s="1654" t="s">
        <v>2098</v>
      </c>
      <c r="D35" s="1844">
        <v>234345.46</v>
      </c>
      <c r="E35" s="1540">
        <f t="shared" si="2"/>
        <v>25000</v>
      </c>
      <c r="F35" s="1933">
        <f t="shared" si="1"/>
        <v>25000</v>
      </c>
      <c r="G35" s="1793">
        <f t="shared" si="3"/>
        <v>209345.46</v>
      </c>
    </row>
    <row r="36" spans="1:7" ht="30" x14ac:dyDescent="0.25">
      <c r="A36" s="1653" t="s">
        <v>2071</v>
      </c>
      <c r="B36" s="1935" t="s">
        <v>2079</v>
      </c>
      <c r="C36" s="1654" t="s">
        <v>2099</v>
      </c>
      <c r="D36" s="1844">
        <v>45238</v>
      </c>
      <c r="E36" s="1540">
        <f t="shared" si="2"/>
        <v>25000</v>
      </c>
      <c r="F36" s="1933">
        <f t="shared" si="1"/>
        <v>25000</v>
      </c>
      <c r="G36" s="1793">
        <f t="shared" si="3"/>
        <v>20238</v>
      </c>
    </row>
    <row r="37" spans="1:7" ht="30" x14ac:dyDescent="0.25">
      <c r="A37" s="1653" t="s">
        <v>2072</v>
      </c>
      <c r="B37" s="1935" t="s">
        <v>2080</v>
      </c>
      <c r="C37" s="1654" t="s">
        <v>2100</v>
      </c>
      <c r="D37" s="1844">
        <v>64440.87</v>
      </c>
      <c r="E37" s="1540">
        <f t="shared" si="2"/>
        <v>25000</v>
      </c>
      <c r="F37" s="1933">
        <f t="shared" si="1"/>
        <v>25000</v>
      </c>
      <c r="G37" s="1793">
        <f t="shared" si="3"/>
        <v>39440.870000000003</v>
      </c>
    </row>
    <row r="38" spans="1:7" x14ac:dyDescent="0.25">
      <c r="A38" s="1653" t="s">
        <v>2073</v>
      </c>
      <c r="B38" s="1936" t="s">
        <v>2081</v>
      </c>
      <c r="C38" s="1654" t="s">
        <v>2101</v>
      </c>
      <c r="D38" s="1844">
        <v>821827.62</v>
      </c>
      <c r="E38" s="1540">
        <f t="shared" si="2"/>
        <v>25000</v>
      </c>
      <c r="F38" s="1933">
        <f t="shared" si="1"/>
        <v>25000</v>
      </c>
      <c r="G38" s="1793">
        <f t="shared" si="3"/>
        <v>796827.62</v>
      </c>
    </row>
    <row r="39" spans="1:7" x14ac:dyDescent="0.25">
      <c r="A39" s="1653" t="s">
        <v>2073</v>
      </c>
      <c r="B39" s="1936" t="s">
        <v>2081</v>
      </c>
      <c r="C39" s="1654" t="s">
        <v>2102</v>
      </c>
      <c r="D39" s="1844">
        <v>295260.59999999998</v>
      </c>
      <c r="E39" s="1540">
        <f t="shared" si="2"/>
        <v>25000</v>
      </c>
      <c r="F39" s="1933">
        <f t="shared" si="1"/>
        <v>25000</v>
      </c>
      <c r="G39" s="1793">
        <f t="shared" si="3"/>
        <v>270260.59999999998</v>
      </c>
    </row>
    <row r="40" spans="1:7" x14ac:dyDescent="0.25">
      <c r="A40" s="1653" t="s">
        <v>2073</v>
      </c>
      <c r="B40" s="1936" t="s">
        <v>2081</v>
      </c>
      <c r="C40" s="1654" t="s">
        <v>2103</v>
      </c>
      <c r="D40" s="1844">
        <v>70819.240000000005</v>
      </c>
      <c r="E40" s="1540">
        <f t="shared" si="2"/>
        <v>25000</v>
      </c>
      <c r="F40" s="1933">
        <f t="shared" si="1"/>
        <v>25000</v>
      </c>
      <c r="G40" s="1793">
        <f t="shared" si="3"/>
        <v>45819.240000000005</v>
      </c>
    </row>
    <row r="41" spans="1:7" x14ac:dyDescent="0.25">
      <c r="A41" s="1653" t="s">
        <v>2073</v>
      </c>
      <c r="B41" s="1936" t="s">
        <v>2081</v>
      </c>
      <c r="C41" s="1654" t="s">
        <v>2104</v>
      </c>
      <c r="D41" s="1844">
        <v>47993.67</v>
      </c>
      <c r="E41" s="1540">
        <f t="shared" si="2"/>
        <v>25000</v>
      </c>
      <c r="F41" s="1933">
        <f t="shared" si="1"/>
        <v>25000</v>
      </c>
      <c r="G41" s="1793">
        <f t="shared" si="3"/>
        <v>22993.67</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4243038.3</v>
      </c>
      <c r="E141" s="1541">
        <f t="shared" si="0"/>
        <v>25000</v>
      </c>
      <c r="F141" s="1934">
        <f>SUM(F17:F140)</f>
        <v>575000</v>
      </c>
      <c r="G141" s="1795">
        <f>SUM(G17:G140)</f>
        <v>2040889.6699999997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326425</v>
      </c>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23980777</v>
      </c>
      <c r="F19" s="1799"/>
      <c r="G19" s="1801">
        <f>'Expenditures 15-22'!K33-SUM('Expenditures 15-22'!G33,'Expenditures 15-22'!I33)+'Expenditures 15-22'!D229</f>
        <v>23980777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3378039</v>
      </c>
      <c r="F21" s="1802"/>
      <c r="G21" s="1805">
        <f>'Expenditures 15-22'!K42-SUM('Expenditures 15-22'!G42,'Expenditures 15-22'!I42)+'Expenditures 15-22'!K120-SUM('Expenditures 15-22'!G120,'Expenditures 15-22'!I120)+'Expenditures 15-22'!K180-SUM('Expenditures 15-22'!G180,'Expenditures 15-22'!I180)+'Expenditures 15-22'!D238</f>
        <v>3378039</v>
      </c>
      <c r="H21" s="987"/>
      <c r="I21" s="162"/>
    </row>
    <row r="22" spans="1:9" s="668" customFormat="1" ht="12" customHeight="1" x14ac:dyDescent="0.2">
      <c r="A22" s="994" t="s">
        <v>564</v>
      </c>
      <c r="B22" s="995"/>
      <c r="C22" s="993">
        <v>2200</v>
      </c>
      <c r="D22" s="1802"/>
      <c r="E22" s="1804">
        <f>'Expenditures 15-22'!K47-SUM('Expenditures 15-22'!G47,'Expenditures 15-22'!I47)+'Expenditures 15-22'!D243</f>
        <v>1381379</v>
      </c>
      <c r="F22" s="1802"/>
      <c r="G22" s="1805">
        <f>'Expenditures 15-22'!K47-SUM('Expenditures 15-22'!G47,'Expenditures 15-22'!I47)+'Expenditures 15-22'!D243</f>
        <v>1381379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950492</v>
      </c>
      <c r="F23" s="1802"/>
      <c r="G23" s="1804">
        <f>'Expenditures 15-22'!K53-SUM('Expenditures 15-22'!G53,'Expenditures 15-22'!I53)+'Expenditures 15-22'!D257+'Expenditures 15-22'!K330-SUM('Expenditures 15-22'!G330,'Expenditures 15-22'!I330)</f>
        <v>950492</v>
      </c>
      <c r="H23" s="987"/>
      <c r="I23" s="162"/>
    </row>
    <row r="24" spans="1:9" s="668" customFormat="1" ht="12" customHeight="1" x14ac:dyDescent="0.2">
      <c r="A24" s="994" t="s">
        <v>566</v>
      </c>
      <c r="B24" s="995"/>
      <c r="C24" s="993">
        <v>2400</v>
      </c>
      <c r="D24" s="1802"/>
      <c r="E24" s="1804">
        <f>'Expenditures 15-22'!K57-SUM('Expenditures 15-22'!G57,'Expenditures 15-22'!I57)+'Expenditures 15-22'!D261</f>
        <v>2027291</v>
      </c>
      <c r="F24" s="1802"/>
      <c r="G24" s="1805">
        <f>'Expenditures 15-22'!K57-SUM('Expenditures 15-22'!G57,'Expenditures 15-22'!I57)+'Expenditures 15-22'!D261</f>
        <v>2027291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532103</v>
      </c>
      <c r="E26" s="1804">
        <f>'Expenditures 15-22'!K122-SUM('Expenditures 15-22'!G122,'Expenditures 15-22'!I122)+E7</f>
        <v>0</v>
      </c>
      <c r="F26" s="1804">
        <f>'Expenditures 15-22'!K59-SUM('Expenditures 15-22'!G59,'Expenditures 15-22'!I59)+'Expenditures 15-22'!D263-E7</f>
        <v>532103</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84727</v>
      </c>
      <c r="E27" s="1804">
        <f>E8</f>
        <v>0</v>
      </c>
      <c r="F27" s="1804">
        <f>'Expenditures 15-22'!K60-SUM('Expenditures 15-22'!G60,'Expenditures 15-22'!I60)+'Expenditures 15-22'!D264-E8</f>
        <v>84727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2789883</v>
      </c>
      <c r="F28" s="1806">
        <f>'Expenditures 15-22'!K61-SUM('Expenditures 15-22'!G61,'Expenditures 15-22'!I61)+'Expenditures 15-22'!K124-SUM('Expenditures 15-22'!G124,'Expenditures 15-22'!I124)+'Expenditures 15-22'!D266-E9</f>
        <v>2789883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1254139</v>
      </c>
      <c r="F29" s="1802"/>
      <c r="G29" s="1805">
        <f>'Expenditures 15-22'!K62-SUM('Expenditures 15-22'!G62,'Expenditures 15-22'!I62)+'Expenditures 15-22'!K125-SUM('Expenditures 15-22'!G125,'Expenditures 15-22'!I125)+'Expenditures 15-22'!K182-SUM('Expenditures 15-22'!G182,'Expenditures 15-22'!I182)+'Expenditures 15-22'!D267</f>
        <v>1254139</v>
      </c>
      <c r="H29" s="985"/>
    </row>
    <row r="30" spans="1:9" ht="12" customHeight="1" x14ac:dyDescent="0.2">
      <c r="A30" s="994" t="s">
        <v>100</v>
      </c>
      <c r="B30" s="997"/>
      <c r="C30" s="993">
        <v>2560</v>
      </c>
      <c r="D30" s="1802"/>
      <c r="E30" s="1804">
        <f>'Expenditures 15-22'!K63-SUM('Expenditures 15-22'!G63,'Expenditures 15-22'!I63)+'Expenditures 15-22'!D268-E10</f>
        <v>-638</v>
      </c>
      <c r="F30" s="1802"/>
      <c r="G30" s="1804">
        <f>'Expenditures 15-22'!K63-SUM('Expenditures 15-22'!G63,'Expenditures 15-22'!I63)+'Expenditures 15-22'!D268-E10</f>
        <v>-638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146365</v>
      </c>
      <c r="F35" s="1802"/>
      <c r="G35" s="1804">
        <f>'Expenditures 15-22'!K69-SUM('Expenditures 15-22'!G69,'Expenditures 15-22'!I69)+'Expenditures 15-22'!D274</f>
        <v>146365</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46867</v>
      </c>
      <c r="E37" s="1804">
        <f>E14</f>
        <v>0</v>
      </c>
      <c r="F37" s="1804">
        <f>'Expenditures 15-22'!K71-SUM('Expenditures 15-22'!G71,'Expenditures 15-22'!I71)+'Expenditures 15-22'!D276-E14</f>
        <v>46867</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223053</v>
      </c>
      <c r="F39" s="1802"/>
      <c r="G39" s="1804">
        <f>'Expenditures 15-22'!K75-SUM('Expenditures 15-22'!G75,'Expenditures 15-22'!I75)+'Expenditures 15-22'!K130-SUM('Expenditures 15-22'!G130,'Expenditures 15-22'!I130)+'Expenditures 15-22'!K185-SUM('Expenditures 15-22'!G185,'Expenditures 15-22'!I185)+'Expenditures 15-22'!D280</f>
        <v>223053</v>
      </c>
    </row>
    <row r="40" spans="1:7" ht="12" customHeight="1" x14ac:dyDescent="0.2">
      <c r="A40" s="990" t="s">
        <v>1823</v>
      </c>
      <c r="B40" s="991"/>
      <c r="C40" s="993"/>
      <c r="D40" s="1802"/>
      <c r="E40" s="1806">
        <f>-'Contracts Paid in CY 29'!G141</f>
        <v>-2040889.6699999997</v>
      </c>
      <c r="F40" s="1802"/>
      <c r="G40" s="1806">
        <f>-'Contracts Paid in CY 29'!G141</f>
        <v>-2040889.6699999997</v>
      </c>
    </row>
    <row r="41" spans="1:7" ht="12" customHeight="1" x14ac:dyDescent="0.2">
      <c r="A41" s="998" t="s">
        <v>156</v>
      </c>
      <c r="B41" s="999"/>
      <c r="C41" s="1000"/>
      <c r="D41" s="1806">
        <f>SUM(D19:D39)</f>
        <v>663697</v>
      </c>
      <c r="E41" s="1806">
        <f>SUM(E19:E40)</f>
        <v>34089890.329999998</v>
      </c>
      <c r="F41" s="1806">
        <f>SUM(F19:F39)</f>
        <v>3453580</v>
      </c>
      <c r="G41" s="1806">
        <f>SUM(G19:G40)</f>
        <v>31300007.330000002</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663697</v>
      </c>
      <c r="F43" s="1807" t="s">
        <v>473</v>
      </c>
      <c r="G43" s="1808">
        <f>F41</f>
        <v>3453580</v>
      </c>
    </row>
    <row r="44" spans="1:7" ht="12" customHeight="1" x14ac:dyDescent="0.2">
      <c r="A44" s="987"/>
      <c r="B44" s="162"/>
      <c r="C44" s="1001"/>
      <c r="D44" s="1807" t="s">
        <v>474</v>
      </c>
      <c r="E44" s="1808">
        <f>E41</f>
        <v>34089890.329999998</v>
      </c>
      <c r="F44" s="1807" t="s">
        <v>474</v>
      </c>
      <c r="G44" s="1808">
        <f>G41</f>
        <v>31300007.330000002</v>
      </c>
    </row>
    <row r="45" spans="1:7" ht="12" customHeight="1" x14ac:dyDescent="0.2">
      <c r="A45" s="987"/>
      <c r="B45" s="162"/>
      <c r="C45" s="162"/>
      <c r="D45" s="1809" t="s">
        <v>1006</v>
      </c>
      <c r="E45" s="1810">
        <f>(E43/E44)</f>
        <v>1.9469027138991093E-2</v>
      </c>
      <c r="F45" s="1809" t="s">
        <v>1006</v>
      </c>
      <c r="G45" s="1810">
        <f>(G43/G44)</f>
        <v>0.11033799332979261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Northbrook SD 28</v>
      </c>
      <c r="D6" s="2294"/>
      <c r="E6" s="2294"/>
      <c r="F6" s="1852"/>
    </row>
    <row r="7" spans="1:10" ht="11.25" customHeight="1" thickBot="1" x14ac:dyDescent="0.3">
      <c r="A7" s="1850"/>
      <c r="B7" s="1851"/>
      <c r="C7" s="2295">
        <f>COVER!A13</f>
        <v>5016028002</v>
      </c>
      <c r="D7" s="2295"/>
      <c r="E7" s="229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2105</v>
      </c>
      <c r="D11" s="1865" t="s">
        <v>2105</v>
      </c>
      <c r="E11" s="1866" t="s">
        <v>2123</v>
      </c>
      <c r="F11" s="1867" t="s">
        <v>2124</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2105</v>
      </c>
      <c r="D14" s="1865" t="s">
        <v>2105</v>
      </c>
      <c r="E14" s="1868" t="s">
        <v>2123</v>
      </c>
      <c r="F14" s="1867" t="s">
        <v>2125</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2105</v>
      </c>
      <c r="D17" s="1865" t="s">
        <v>2105</v>
      </c>
      <c r="E17" s="1868" t="s">
        <v>2123</v>
      </c>
      <c r="F17" s="1867" t="s">
        <v>2126</v>
      </c>
      <c r="H17" s="1878">
        <f t="shared" si="0"/>
        <v>5</v>
      </c>
      <c r="I17" s="1878">
        <f t="shared" si="1"/>
        <v>5</v>
      </c>
      <c r="J17" s="1878">
        <f t="shared" si="2"/>
        <v>0</v>
      </c>
    </row>
    <row r="18" spans="1:12" ht="12" customHeight="1" x14ac:dyDescent="0.2">
      <c r="A18" s="1863" t="s">
        <v>1390</v>
      </c>
      <c r="B18" s="1864"/>
      <c r="C18" s="1865" t="s">
        <v>2105</v>
      </c>
      <c r="D18" s="1865" t="s">
        <v>2105</v>
      </c>
      <c r="E18" s="1868" t="s">
        <v>2123</v>
      </c>
      <c r="F18" s="1867" t="s">
        <v>2127</v>
      </c>
      <c r="H18" s="1878">
        <f t="shared" si="0"/>
        <v>5</v>
      </c>
      <c r="I18" s="1878">
        <f t="shared" si="1"/>
        <v>5</v>
      </c>
      <c r="J18" s="1878">
        <f t="shared" si="2"/>
        <v>0</v>
      </c>
    </row>
    <row r="19" spans="1:12" ht="12" customHeight="1" x14ac:dyDescent="0.2">
      <c r="A19" s="1863" t="s">
        <v>1527</v>
      </c>
      <c r="B19" s="1864"/>
      <c r="C19" s="1865" t="s">
        <v>2105</v>
      </c>
      <c r="D19" s="1865" t="s">
        <v>2105</v>
      </c>
      <c r="E19" s="1868" t="s">
        <v>2123</v>
      </c>
      <c r="F19" s="1867" t="s">
        <v>2128</v>
      </c>
      <c r="H19" s="1878">
        <f t="shared" si="0"/>
        <v>5</v>
      </c>
      <c r="I19" s="1878">
        <f t="shared" si="1"/>
        <v>5</v>
      </c>
      <c r="J19" s="1878">
        <f t="shared" si="2"/>
        <v>0</v>
      </c>
    </row>
    <row r="20" spans="1:12" ht="12" customHeight="1" x14ac:dyDescent="0.2">
      <c r="A20" s="1863" t="s">
        <v>1528</v>
      </c>
      <c r="B20" s="1864"/>
      <c r="C20" s="1865" t="s">
        <v>2105</v>
      </c>
      <c r="D20" s="1865" t="s">
        <v>2105</v>
      </c>
      <c r="E20" s="1868" t="s">
        <v>2123</v>
      </c>
      <c r="F20" s="1867" t="s">
        <v>2129</v>
      </c>
      <c r="H20" s="1878">
        <f t="shared" si="0"/>
        <v>5</v>
      </c>
      <c r="I20" s="1878">
        <f t="shared" si="1"/>
        <v>5</v>
      </c>
      <c r="J20" s="1878">
        <f t="shared" si="2"/>
        <v>0</v>
      </c>
    </row>
    <row r="21" spans="1:12" ht="12" customHeight="1" x14ac:dyDescent="0.2">
      <c r="A21" s="1863" t="s">
        <v>1529</v>
      </c>
      <c r="B21" s="1864"/>
      <c r="C21" s="1865" t="s">
        <v>2105</v>
      </c>
      <c r="D21" s="1865" t="s">
        <v>2105</v>
      </c>
      <c r="E21" s="1868" t="s">
        <v>2123</v>
      </c>
      <c r="F21" s="1867" t="s">
        <v>2130</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2105</v>
      </c>
      <c r="D24" s="1865" t="s">
        <v>2105</v>
      </c>
      <c r="E24" s="1868" t="s">
        <v>2123</v>
      </c>
      <c r="F24" s="1867" t="s">
        <v>2131</v>
      </c>
      <c r="H24" s="1878">
        <f t="shared" si="0"/>
        <v>5</v>
      </c>
      <c r="I24" s="1878">
        <f t="shared" si="1"/>
        <v>5</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2105</v>
      </c>
      <c r="D26" s="1865" t="s">
        <v>2105</v>
      </c>
      <c r="E26" s="1868" t="s">
        <v>2123</v>
      </c>
      <c r="F26" s="1867" t="s">
        <v>2132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2105</v>
      </c>
      <c r="D28" s="1865" t="s">
        <v>2105</v>
      </c>
      <c r="E28" s="1868" t="s">
        <v>2123</v>
      </c>
      <c r="F28" s="1867" t="s">
        <v>2133</v>
      </c>
      <c r="H28" s="1878">
        <f t="shared" si="0"/>
        <v>5</v>
      </c>
      <c r="I28" s="1878">
        <f t="shared" si="1"/>
        <v>5</v>
      </c>
      <c r="J28" s="1878">
        <f t="shared" si="2"/>
        <v>0</v>
      </c>
    </row>
    <row r="29" spans="1:12" ht="12" customHeight="1" x14ac:dyDescent="0.2">
      <c r="A29" s="1863" t="s">
        <v>1537</v>
      </c>
      <c r="B29" s="1864"/>
      <c r="C29" s="1865" t="s">
        <v>2105</v>
      </c>
      <c r="D29" s="1865" t="s">
        <v>2105</v>
      </c>
      <c r="E29" s="1868" t="s">
        <v>2123</v>
      </c>
      <c r="F29" s="1867" t="s">
        <v>2134</v>
      </c>
      <c r="H29" s="1878">
        <f t="shared" si="0"/>
        <v>5</v>
      </c>
      <c r="I29" s="1878">
        <f t="shared" si="1"/>
        <v>5</v>
      </c>
      <c r="J29" s="1878">
        <f t="shared" si="2"/>
        <v>0</v>
      </c>
    </row>
    <row r="30" spans="1:12" ht="12" customHeight="1" x14ac:dyDescent="0.2">
      <c r="A30" s="1863" t="s">
        <v>1538</v>
      </c>
      <c r="B30" s="1864"/>
      <c r="C30" s="1865" t="s">
        <v>2105</v>
      </c>
      <c r="D30" s="1865" t="s">
        <v>2105</v>
      </c>
      <c r="E30" s="1868" t="s">
        <v>2123</v>
      </c>
      <c r="F30" s="1867" t="s">
        <v>2135</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2105</v>
      </c>
      <c r="D32" s="1865" t="s">
        <v>2105</v>
      </c>
      <c r="E32" s="1868" t="s">
        <v>2123</v>
      </c>
      <c r="F32" s="1867" t="s">
        <v>2136</v>
      </c>
      <c r="H32" s="1878">
        <f t="shared" si="0"/>
        <v>5</v>
      </c>
      <c r="I32" s="1878">
        <f t="shared" si="1"/>
        <v>5</v>
      </c>
      <c r="J32" s="1878">
        <f t="shared" si="2"/>
        <v>0</v>
      </c>
    </row>
    <row r="33" spans="1:11" ht="12" customHeight="1" x14ac:dyDescent="0.2">
      <c r="A33" s="1863" t="s">
        <v>1541</v>
      </c>
      <c r="B33" s="1864"/>
      <c r="C33" s="1865" t="s">
        <v>2105</v>
      </c>
      <c r="D33" s="1865" t="s">
        <v>2105</v>
      </c>
      <c r="E33" s="1868" t="s">
        <v>2123</v>
      </c>
      <c r="F33" s="1867" t="s">
        <v>2137</v>
      </c>
      <c r="H33" s="1878">
        <f t="shared" si="0"/>
        <v>5</v>
      </c>
      <c r="I33" s="1878">
        <f t="shared" si="1"/>
        <v>5</v>
      </c>
      <c r="J33" s="1878">
        <f t="shared" si="2"/>
        <v>0</v>
      </c>
    </row>
    <row r="34" spans="1:11" ht="12" customHeight="1" x14ac:dyDescent="0.25">
      <c r="A34" s="1870"/>
      <c r="B34" s="1870"/>
      <c r="C34" s="1870"/>
      <c r="D34" s="1870"/>
      <c r="E34" s="1870"/>
      <c r="F34" s="1870"/>
      <c r="H34" s="1878">
        <f>SUM(H11:H32)</f>
        <v>65</v>
      </c>
      <c r="I34" s="1878">
        <f>SUM(I11:I32)</f>
        <v>65</v>
      </c>
      <c r="J34" s="1878">
        <f>SUM(J11:J32)</f>
        <v>0</v>
      </c>
      <c r="K34" s="1878">
        <f>SUM(H34:J34)</f>
        <v>130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D43" sqref="D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Northbrook SD 28</v>
      </c>
      <c r="J6" s="2315"/>
      <c r="Q6" s="1664"/>
    </row>
    <row r="7" spans="1:17" x14ac:dyDescent="0.2">
      <c r="A7" s="2316" t="s">
        <v>869</v>
      </c>
      <c r="B7" s="2317"/>
      <c r="C7" s="2317"/>
      <c r="D7" s="2317"/>
      <c r="E7" s="2318"/>
      <c r="F7" s="1017"/>
      <c r="G7" s="1009"/>
      <c r="H7" s="1016" t="s">
        <v>372</v>
      </c>
      <c r="I7" s="2319">
        <f>COVER!A13</f>
        <v>5016028002</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774638</v>
      </c>
      <c r="F12" s="1039"/>
      <c r="G12" s="1811">
        <f t="shared" ref="G12:G18" si="0">SUM(E12:F12)</f>
        <v>774638</v>
      </c>
      <c r="H12" s="1040">
        <v>811081</v>
      </c>
      <c r="I12" s="1039"/>
      <c r="J12" s="1811">
        <f t="shared" ref="J12:J18" si="1">SUM(H12:I12)</f>
        <v>811081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496309</v>
      </c>
      <c r="F15" s="1811">
        <f>'Expenditures 15-22'!K122</f>
        <v>0</v>
      </c>
      <c r="G15" s="1811">
        <f t="shared" si="0"/>
        <v>496309</v>
      </c>
      <c r="H15" s="1040">
        <v>390815</v>
      </c>
      <c r="I15" s="1040"/>
      <c r="J15" s="1811">
        <f t="shared" si="1"/>
        <v>390815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1270947</v>
      </c>
      <c r="F19" s="1813">
        <f t="shared" si="2"/>
        <v>0</v>
      </c>
      <c r="G19" s="1813">
        <f t="shared" si="2"/>
        <v>1270947</v>
      </c>
      <c r="H19" s="1813">
        <f t="shared" si="2"/>
        <v>1201896</v>
      </c>
      <c r="I19" s="1813">
        <f t="shared" si="2"/>
        <v>0</v>
      </c>
      <c r="J19" s="1813">
        <f t="shared" si="2"/>
        <v>1201896</v>
      </c>
    </row>
    <row r="20" spans="1:10" ht="13.5" thickTop="1" x14ac:dyDescent="0.2">
      <c r="A20" s="1035">
        <v>9</v>
      </c>
      <c r="B20" s="2326" t="s">
        <v>1981</v>
      </c>
      <c r="C20" s="2326"/>
      <c r="D20" s="2327"/>
      <c r="E20" s="1046"/>
      <c r="F20" s="1046"/>
      <c r="G20" s="1046"/>
      <c r="H20" s="1046"/>
      <c r="I20" s="1046"/>
      <c r="J20" s="1814">
        <f>IF(AND(G19&gt;0,J19&gt;0),(((J19-G19)/G19)),"Enter Budget Data")</f>
        <v>-5.4330353665416421E-2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43" sqref="D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2138</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Northbrook SD 28</v>
      </c>
    </row>
    <row r="65" spans="2:2" x14ac:dyDescent="0.2">
      <c r="B65" s="1070">
        <f>COVER!A13</f>
        <v>5016028002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0</xdr:col>
                <xdr:colOff>114300</xdr:colOff>
                <xdr:row>5</xdr:row>
                <xdr:rowOff>104775</xdr:rowOff>
              </from>
              <to>
                <xdr:col>1</xdr:col>
                <xdr:colOff>904875</xdr:colOff>
                <xdr:row>10</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971550</xdr:colOff>
                <xdr:row>5</xdr:row>
                <xdr:rowOff>114300</xdr:rowOff>
              </from>
              <to>
                <xdr:col>1</xdr:col>
                <xdr:colOff>1885950</xdr:colOff>
                <xdr:row>10</xdr:row>
                <xdr:rowOff>76200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33576432</v>
      </c>
      <c r="C8" s="1815">
        <f>'Acct Summary 7-8'!D8</f>
        <v>2862914</v>
      </c>
      <c r="D8" s="1815">
        <f>'Acct Summary 7-8'!F8</f>
        <v>1155387</v>
      </c>
      <c r="E8" s="1815">
        <f>'Acct Summary 7-8'!I8</f>
        <v>148859</v>
      </c>
      <c r="F8" s="1815">
        <f>SUM(B8:E8)</f>
        <v>37743592</v>
      </c>
    </row>
    <row r="9" spans="1:8" s="1079" customFormat="1" ht="14.25" customHeight="1" thickBot="1" x14ac:dyDescent="0.25">
      <c r="A9" s="1078" t="s">
        <v>1369</v>
      </c>
      <c r="B9" s="1816">
        <f>'Acct Summary 7-8'!C17</f>
        <v>34044156</v>
      </c>
      <c r="C9" s="1816">
        <f>'Acct Summary 7-8'!D17</f>
        <v>2604535</v>
      </c>
      <c r="D9" s="1816">
        <f>'Acct Summary 7-8'!F17</f>
        <v>1254139</v>
      </c>
      <c r="E9" s="1815"/>
      <c r="F9" s="1815">
        <f>SUM(B9:E9)</f>
        <v>37902830</v>
      </c>
    </row>
    <row r="10" spans="1:8" s="1079" customFormat="1" ht="14.25" thickTop="1" thickBot="1" x14ac:dyDescent="0.25">
      <c r="A10" s="1080" t="s">
        <v>1370</v>
      </c>
      <c r="B10" s="1817">
        <f>(B8-B9)</f>
        <v>-467724</v>
      </c>
      <c r="C10" s="1817">
        <f>(C8-C9)</f>
        <v>258379</v>
      </c>
      <c r="D10" s="1817">
        <f>(D8-D9)</f>
        <v>-98752</v>
      </c>
      <c r="E10" s="1816">
        <f>(E8-E9)</f>
        <v>148859</v>
      </c>
      <c r="F10" s="1818">
        <f>SUM(F8-F9)</f>
        <v>-159238</v>
      </c>
    </row>
    <row r="11" spans="1:8" s="1079" customFormat="1" ht="14.25" thickTop="1" thickBot="1" x14ac:dyDescent="0.25">
      <c r="A11" s="1081" t="s">
        <v>1985</v>
      </c>
      <c r="B11" s="1819">
        <f>'Acct Summary 7-8'!C81</f>
        <v>11703324</v>
      </c>
      <c r="C11" s="1819">
        <f>'Acct Summary 7-8'!D81</f>
        <v>1728044</v>
      </c>
      <c r="D11" s="1819">
        <f>'Acct Summary 7-8'!F81</f>
        <v>436794</v>
      </c>
      <c r="E11" s="1819">
        <f>'Acct Summary 7-8'!I81</f>
        <v>6489363</v>
      </c>
      <c r="F11" s="1820">
        <f>SUM(B11:E11)</f>
        <v>20357525</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44"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5016028002</v>
      </c>
    </row>
    <row r="3" spans="1:2" x14ac:dyDescent="0.2">
      <c r="A3" t="s">
        <v>956</v>
      </c>
      <c r="B3" s="138" t="str">
        <f>COVER!A15</f>
        <v>Cook</v>
      </c>
    </row>
    <row r="4" spans="1:2" x14ac:dyDescent="0.2">
      <c r="A4" t="s">
        <v>1007</v>
      </c>
      <c r="B4" s="138" t="str">
        <f>COVER!A17</f>
        <v>Northbrook SD 28</v>
      </c>
    </row>
    <row r="5" spans="1:2" x14ac:dyDescent="0.2">
      <c r="A5" t="s">
        <v>704</v>
      </c>
      <c r="B5" s="138" t="str">
        <f>COVER!A38</f>
        <v>Larry Hewitt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f>COVER!T25</f>
        <v>0</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15048942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27108512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15048942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15405188</v>
      </c>
      <c r="C91" s="2" t="s">
        <v>573</v>
      </c>
      <c r="D91" s="2" t="str">
        <f t="shared" si="0"/>
        <v>Error?</v>
      </c>
    </row>
    <row r="92" spans="1:4" x14ac:dyDescent="0.2">
      <c r="A92" s="5">
        <v>31</v>
      </c>
      <c r="B92" s="138">
        <f>'Assets-Liab 5-6'!C39</f>
        <v>11550359</v>
      </c>
      <c r="D92" s="2" t="str">
        <f t="shared" si="0"/>
        <v>Error?</v>
      </c>
    </row>
    <row r="93" spans="1:4" x14ac:dyDescent="0.2">
      <c r="A93" s="5">
        <v>32</v>
      </c>
      <c r="B93" s="138">
        <f>'Assets-Liab 5-6'!C41</f>
        <v>27108512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1342978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3101794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1342978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1373750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3101794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376034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826894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376034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390100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826894</v>
      </c>
      <c r="C171" s="2" t="s">
        <v>573</v>
      </c>
      <c r="D171" s="2" t="str">
        <f t="shared" si="1"/>
        <v>Error?</v>
      </c>
    </row>
    <row r="172" spans="1:4" x14ac:dyDescent="0.2">
      <c r="A172" s="10">
        <v>111</v>
      </c>
      <c r="D172" s="2" t="str">
        <f t="shared" si="1"/>
        <v>OK</v>
      </c>
    </row>
    <row r="173" spans="1:4" x14ac:dyDescent="0.2">
      <c r="A173" s="5">
        <v>112</v>
      </c>
      <c r="B173" s="138">
        <f>'Assets-Liab 5-6'!G6</f>
        <v>627537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1536336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627537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627537</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1536336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439080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439080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439080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678040</v>
      </c>
      <c r="D273" s="2" t="str">
        <f t="shared" si="3"/>
        <v>Error?</v>
      </c>
    </row>
    <row r="274" spans="1:4" x14ac:dyDescent="0.2">
      <c r="A274" s="5">
        <v>213</v>
      </c>
      <c r="B274" s="138">
        <f>'Assets-Liab 5-6'!M17</f>
        <v>32663852</v>
      </c>
      <c r="D274" s="2" t="str">
        <f t="shared" si="3"/>
        <v>Error?</v>
      </c>
    </row>
    <row r="275" spans="1:4" x14ac:dyDescent="0.2">
      <c r="A275" s="5">
        <v>214</v>
      </c>
      <c r="B275" s="138">
        <f>'Assets-Liab 5-6'!M18</f>
        <v>167513</v>
      </c>
      <c r="D275" s="2" t="str">
        <f t="shared" si="3"/>
        <v>Error?</v>
      </c>
    </row>
    <row r="276" spans="1:4" x14ac:dyDescent="0.2">
      <c r="A276" s="5">
        <v>215</v>
      </c>
      <c r="B276" s="138">
        <f>'Assets-Liab 5-6'!M19</f>
        <v>1701899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35211304</v>
      </c>
      <c r="C279" s="2" t="s">
        <v>573</v>
      </c>
      <c r="D279" s="2" t="str">
        <f t="shared" si="3"/>
        <v>Error?</v>
      </c>
    </row>
    <row r="280" spans="1:4" x14ac:dyDescent="0.2">
      <c r="A280" s="5">
        <v>219</v>
      </c>
      <c r="B280" s="138">
        <f>'Assets-Liab 5-6'!M40</f>
        <v>35211304</v>
      </c>
      <c r="D280" s="2" t="str">
        <f t="shared" si="3"/>
        <v>Error?</v>
      </c>
    </row>
    <row r="281" spans="1:4" x14ac:dyDescent="0.2">
      <c r="A281" s="5">
        <v>220</v>
      </c>
      <c r="B281" s="138">
        <f>'Assets-Liab 5-6'!M41</f>
        <v>35211304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14039647</v>
      </c>
      <c r="D705" s="2" t="str">
        <f t="shared" si="10"/>
        <v>Error?</v>
      </c>
    </row>
    <row r="706" spans="1:4" x14ac:dyDescent="0.2">
      <c r="A706" s="5">
        <v>645</v>
      </c>
      <c r="B706" s="138">
        <f>'Expenditures 15-22'!C16</f>
        <v>359955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314775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1028091</v>
      </c>
      <c r="D718" s="2" t="str">
        <f t="shared" si="10"/>
        <v>Error?</v>
      </c>
    </row>
    <row r="719" spans="1:4" x14ac:dyDescent="0.2">
      <c r="A719" s="5">
        <v>658</v>
      </c>
      <c r="B719" s="138">
        <f>'Expenditures 15-22'!C15</f>
        <v>139288</v>
      </c>
      <c r="D719" s="2" t="str">
        <f t="shared" si="10"/>
        <v>Error?</v>
      </c>
    </row>
    <row r="720" spans="1:4" x14ac:dyDescent="0.2">
      <c r="A720" s="5">
        <v>659</v>
      </c>
      <c r="B720" s="138">
        <f>'Expenditures 15-22'!C33</f>
        <v>18695583</v>
      </c>
      <c r="C720" s="2" t="s">
        <v>573</v>
      </c>
      <c r="D720" s="2" t="str">
        <f t="shared" si="10"/>
        <v>Error?</v>
      </c>
    </row>
    <row r="721" spans="1:4" x14ac:dyDescent="0.2">
      <c r="A721" s="5">
        <v>660</v>
      </c>
      <c r="B721" s="138">
        <f>'Expenditures 15-22'!C36</f>
        <v>538907</v>
      </c>
      <c r="D721" s="2" t="str">
        <f t="shared" si="10"/>
        <v>Error?</v>
      </c>
    </row>
    <row r="722" spans="1:4" x14ac:dyDescent="0.2">
      <c r="A722" s="5">
        <v>661</v>
      </c>
      <c r="B722" s="138">
        <f>'Expenditures 15-22'!C37</f>
        <v>606204</v>
      </c>
      <c r="D722" s="2" t="str">
        <f t="shared" si="10"/>
        <v>Error?</v>
      </c>
    </row>
    <row r="723" spans="1:4" x14ac:dyDescent="0.2">
      <c r="A723" s="5">
        <v>662</v>
      </c>
      <c r="B723" s="138">
        <f>'Expenditures 15-22'!C38</f>
        <v>307125</v>
      </c>
      <c r="D723" s="2" t="str">
        <f t="shared" si="10"/>
        <v>Error?</v>
      </c>
    </row>
    <row r="724" spans="1:4" x14ac:dyDescent="0.2">
      <c r="A724" s="5">
        <v>663</v>
      </c>
      <c r="B724" s="138">
        <f>'Expenditures 15-22'!C39</f>
        <v>456189</v>
      </c>
      <c r="D724" s="2" t="str">
        <f t="shared" si="10"/>
        <v>Error?</v>
      </c>
    </row>
    <row r="725" spans="1:4" x14ac:dyDescent="0.2">
      <c r="A725" s="5">
        <v>664</v>
      </c>
      <c r="B725" s="138">
        <f>'Expenditures 15-22'!C40</f>
        <v>485672</v>
      </c>
      <c r="D725" s="2" t="str">
        <f t="shared" si="10"/>
        <v>Error?</v>
      </c>
    </row>
    <row r="726" spans="1:4" x14ac:dyDescent="0.2">
      <c r="A726" s="5">
        <v>665</v>
      </c>
      <c r="B726" s="138">
        <f>'Expenditures 15-22'!C41</f>
        <v>245152</v>
      </c>
      <c r="D726" s="2" t="str">
        <f t="shared" si="10"/>
        <v>Error?</v>
      </c>
    </row>
    <row r="727" spans="1:4" x14ac:dyDescent="0.2">
      <c r="A727" s="5">
        <v>666</v>
      </c>
      <c r="B727" s="138">
        <f>'Expenditures 15-22'!C42</f>
        <v>2639249</v>
      </c>
      <c r="C727" s="2" t="s">
        <v>573</v>
      </c>
      <c r="D727" s="2" t="str">
        <f t="shared" si="10"/>
        <v>Error?</v>
      </c>
    </row>
    <row r="728" spans="1:4" x14ac:dyDescent="0.2">
      <c r="A728" s="5">
        <v>667</v>
      </c>
      <c r="B728" s="138">
        <f>'Expenditures 15-22'!C44</f>
        <v>442273</v>
      </c>
      <c r="D728" s="2" t="str">
        <f t="shared" si="10"/>
        <v>Error?</v>
      </c>
    </row>
    <row r="729" spans="1:4" x14ac:dyDescent="0.2">
      <c r="A729" s="5">
        <v>668</v>
      </c>
      <c r="B729" s="138">
        <f>'Expenditures 15-22'!C45</f>
        <v>449769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892042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558258</v>
      </c>
      <c r="D733" s="2" t="str">
        <f t="shared" si="10"/>
        <v>Error?</v>
      </c>
    </row>
    <row r="734" spans="1:4" x14ac:dyDescent="0.2">
      <c r="A734" s="5">
        <v>673</v>
      </c>
      <c r="B734" s="138">
        <f>'Expenditures 15-22'!C53</f>
        <v>558258</v>
      </c>
      <c r="C734" s="2" t="s">
        <v>573</v>
      </c>
      <c r="D734" s="2" t="str">
        <f t="shared" si="10"/>
        <v>Error?</v>
      </c>
    </row>
    <row r="735" spans="1:4" x14ac:dyDescent="0.2">
      <c r="A735" s="5">
        <v>674</v>
      </c>
      <c r="B735" s="138">
        <f>'Expenditures 15-22'!C55</f>
        <v>1607125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1607125</v>
      </c>
      <c r="C737" s="2" t="s">
        <v>573</v>
      </c>
      <c r="D737" s="2" t="str">
        <f t="shared" si="10"/>
        <v>Error?</v>
      </c>
    </row>
    <row r="738" spans="1:4" x14ac:dyDescent="0.2">
      <c r="A738" s="5">
        <v>677</v>
      </c>
      <c r="B738" s="138">
        <f>'Expenditures 15-22'!C59</f>
        <v>345958</v>
      </c>
      <c r="D738" s="2" t="str">
        <f t="shared" si="10"/>
        <v>Error?</v>
      </c>
    </row>
    <row r="739" spans="1:4" x14ac:dyDescent="0.2">
      <c r="A739" s="5">
        <v>678</v>
      </c>
      <c r="B739" s="138">
        <f>'Expenditures 15-22'!C60</f>
        <v>62215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408173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76226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76226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6181073</v>
      </c>
      <c r="C755" s="2" t="s">
        <v>573</v>
      </c>
      <c r="D755" s="2" t="str">
        <f t="shared" si="10"/>
        <v>Error?</v>
      </c>
    </row>
    <row r="756" spans="1:4" x14ac:dyDescent="0.2">
      <c r="A756" s="5">
        <v>695</v>
      </c>
      <c r="B756" s="138">
        <f>'Expenditures 15-22'!C75</f>
        <v>160412</v>
      </c>
      <c r="D756" s="2" t="str">
        <f t="shared" si="10"/>
        <v>Error?</v>
      </c>
    </row>
    <row r="757" spans="1:4" x14ac:dyDescent="0.2">
      <c r="A757" s="5">
        <v>696</v>
      </c>
      <c r="B757" s="138">
        <f>'Expenditures 15-22'!C114</f>
        <v>25037068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2721181</v>
      </c>
      <c r="D763" s="2" t="str">
        <f t="shared" si="10"/>
        <v>Error?</v>
      </c>
    </row>
    <row r="764" spans="1:4" x14ac:dyDescent="0.2">
      <c r="A764" s="5">
        <v>703</v>
      </c>
      <c r="B764" s="138">
        <f>'Expenditures 15-22'!D16</f>
        <v>56769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61094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144348</v>
      </c>
      <c r="D776" s="2" t="str">
        <f t="shared" si="11"/>
        <v>Error?</v>
      </c>
    </row>
    <row r="777" spans="1:4" x14ac:dyDescent="0.2">
      <c r="A777" s="5">
        <v>716</v>
      </c>
      <c r="B777" s="138">
        <f>'Expenditures 15-22'!D15</f>
        <v>1733</v>
      </c>
      <c r="D777" s="2" t="str">
        <f t="shared" si="11"/>
        <v>Error?</v>
      </c>
    </row>
    <row r="778" spans="1:4" x14ac:dyDescent="0.2">
      <c r="A778" s="5">
        <v>717</v>
      </c>
      <c r="B778" s="138">
        <f>'Expenditures 15-22'!D33</f>
        <v>3747854</v>
      </c>
      <c r="C778" s="2" t="s">
        <v>573</v>
      </c>
      <c r="D778" s="2" t="str">
        <f t="shared" si="11"/>
        <v>Error?</v>
      </c>
    </row>
    <row r="779" spans="1:4" x14ac:dyDescent="0.2">
      <c r="A779" s="5">
        <v>718</v>
      </c>
      <c r="B779" s="138">
        <f>'Expenditures 15-22'!D36</f>
        <v>170356</v>
      </c>
      <c r="D779" s="2" t="str">
        <f t="shared" si="11"/>
        <v>Error?</v>
      </c>
    </row>
    <row r="780" spans="1:4" x14ac:dyDescent="0.2">
      <c r="A780" s="5">
        <v>719</v>
      </c>
      <c r="B780" s="138">
        <f>'Expenditures 15-22'!D37</f>
        <v>86449</v>
      </c>
      <c r="D780" s="2" t="str">
        <f t="shared" si="11"/>
        <v>Error?</v>
      </c>
    </row>
    <row r="781" spans="1:4" x14ac:dyDescent="0.2">
      <c r="A781" s="5">
        <v>720</v>
      </c>
      <c r="B781" s="138">
        <f>'Expenditures 15-22'!D38</f>
        <v>37650</v>
      </c>
      <c r="D781" s="2" t="str">
        <f t="shared" si="11"/>
        <v>Error?</v>
      </c>
    </row>
    <row r="782" spans="1:4" x14ac:dyDescent="0.2">
      <c r="A782" s="5">
        <v>721</v>
      </c>
      <c r="B782" s="138">
        <f>'Expenditures 15-22'!D39</f>
        <v>59444</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32299</v>
      </c>
      <c r="D784" s="2" t="str">
        <f t="shared" si="11"/>
        <v>Error?</v>
      </c>
    </row>
    <row r="785" spans="1:4" x14ac:dyDescent="0.2">
      <c r="A785" s="5">
        <v>724</v>
      </c>
      <c r="B785" s="138">
        <f>'Expenditures 15-22'!D42</f>
        <v>386198</v>
      </c>
      <c r="C785" s="2" t="s">
        <v>573</v>
      </c>
      <c r="D785" s="2" t="str">
        <f t="shared" si="11"/>
        <v>Error?</v>
      </c>
    </row>
    <row r="786" spans="1:4" x14ac:dyDescent="0.2">
      <c r="A786" s="5">
        <v>725</v>
      </c>
      <c r="B786" s="138">
        <f>'Expenditures 15-22'!D44</f>
        <v>130868</v>
      </c>
      <c r="D786" s="2" t="str">
        <f t="shared" si="11"/>
        <v>Error?</v>
      </c>
    </row>
    <row r="787" spans="1:4" x14ac:dyDescent="0.2">
      <c r="A787" s="5">
        <v>726</v>
      </c>
      <c r="B787" s="138">
        <f>'Expenditures 15-22'!D45</f>
        <v>81110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211978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155293</v>
      </c>
      <c r="D791" s="2" t="str">
        <f t="shared" si="11"/>
        <v>Error?</v>
      </c>
    </row>
    <row r="792" spans="1:4" x14ac:dyDescent="0.2">
      <c r="A792" s="5">
        <v>731</v>
      </c>
      <c r="B792" s="138">
        <f>'Expenditures 15-22'!D53</f>
        <v>155293</v>
      </c>
      <c r="C792" s="2" t="s">
        <v>573</v>
      </c>
      <c r="D792" s="2" t="str">
        <f t="shared" si="11"/>
        <v>Error?</v>
      </c>
    </row>
    <row r="793" spans="1:4" x14ac:dyDescent="0.2">
      <c r="A793" s="5">
        <v>732</v>
      </c>
      <c r="B793" s="138">
        <f>'Expenditures 15-22'!D55</f>
        <v>275291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275291</v>
      </c>
      <c r="C795" s="2" t="s">
        <v>573</v>
      </c>
      <c r="D795" s="2" t="str">
        <f t="shared" si="11"/>
        <v>Error?</v>
      </c>
    </row>
    <row r="796" spans="1:4" x14ac:dyDescent="0.2">
      <c r="A796" s="5">
        <v>735</v>
      </c>
      <c r="B796" s="138">
        <f>'Expenditures 15-22'!D59</f>
        <v>94461</v>
      </c>
      <c r="D796" s="2" t="str">
        <f t="shared" si="11"/>
        <v>Error?</v>
      </c>
    </row>
    <row r="797" spans="1:4" x14ac:dyDescent="0.2">
      <c r="A797" s="5">
        <v>736</v>
      </c>
      <c r="B797" s="138">
        <f>'Expenditures 15-22'!D60</f>
        <v>10839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105300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12783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12783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1146843</v>
      </c>
      <c r="C813" s="2" t="s">
        <v>573</v>
      </c>
      <c r="D813" s="2" t="str">
        <f t="shared" si="11"/>
        <v>Error?</v>
      </c>
    </row>
    <row r="814" spans="1:4" x14ac:dyDescent="0.2">
      <c r="A814" s="5">
        <v>753</v>
      </c>
      <c r="B814" s="138">
        <f>'Expenditures 15-22'!D75</f>
        <v>10648</v>
      </c>
      <c r="D814" s="2" t="str">
        <f t="shared" si="11"/>
        <v>Error?</v>
      </c>
    </row>
    <row r="815" spans="1:4" x14ac:dyDescent="0.2">
      <c r="A815" s="5">
        <v>754</v>
      </c>
      <c r="B815" s="138">
        <f>'Expenditures 15-22'!D114</f>
        <v>4905345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316665</v>
      </c>
      <c r="D821" s="2" t="str">
        <f t="shared" si="11"/>
        <v>Error?</v>
      </c>
    </row>
    <row r="822" spans="1:4" x14ac:dyDescent="0.2">
      <c r="A822" s="5">
        <v>761</v>
      </c>
      <c r="B822" s="138">
        <f>'Expenditures 15-22'!E16</f>
        <v>4368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6480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11886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342151</v>
      </c>
      <c r="C836" s="2" t="s">
        <v>573</v>
      </c>
      <c r="D836" s="2" t="str">
        <f t="shared" si="12"/>
        <v>Error?</v>
      </c>
    </row>
    <row r="837" spans="1:4" x14ac:dyDescent="0.2">
      <c r="A837" s="5">
        <v>776</v>
      </c>
      <c r="B837" s="138">
        <f>'Expenditures 15-22'!E36</f>
        <v>33354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1995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82908</v>
      </c>
      <c r="D841" s="2" t="str">
        <f t="shared" si="12"/>
        <v>Error?</v>
      </c>
    </row>
    <row r="842" spans="1:4" x14ac:dyDescent="0.2">
      <c r="A842" s="5">
        <v>781</v>
      </c>
      <c r="B842" s="138">
        <f>'Expenditures 15-22'!E41</f>
        <v>18556</v>
      </c>
      <c r="D842" s="2" t="str">
        <f t="shared" si="12"/>
        <v>Error?</v>
      </c>
    </row>
    <row r="843" spans="1:4" x14ac:dyDescent="0.2">
      <c r="A843" s="5">
        <v>782</v>
      </c>
      <c r="B843" s="138">
        <f>'Expenditures 15-22'!E42</f>
        <v>136813</v>
      </c>
      <c r="C843" s="2" t="s">
        <v>573</v>
      </c>
      <c r="D843" s="2" t="str">
        <f t="shared" si="12"/>
        <v>Error?</v>
      </c>
    </row>
    <row r="844" spans="1:4" x14ac:dyDescent="0.2">
      <c r="A844" s="5">
        <v>783</v>
      </c>
      <c r="B844" s="138">
        <f>'Expenditures 15-22'!E44</f>
        <v>130365</v>
      </c>
      <c r="D844" s="2" t="str">
        <f t="shared" si="12"/>
        <v>Error?</v>
      </c>
    </row>
    <row r="845" spans="1:4" x14ac:dyDescent="0.2">
      <c r="A845" s="5">
        <v>784</v>
      </c>
      <c r="B845" s="138">
        <f>'Expenditures 15-22'!E45</f>
        <v>36863</v>
      </c>
      <c r="D845" s="2" t="str">
        <f t="shared" si="12"/>
        <v>Error?</v>
      </c>
    </row>
    <row r="846" spans="1:4" x14ac:dyDescent="0.2">
      <c r="A846" s="5">
        <v>785</v>
      </c>
      <c r="B846" s="138">
        <f>'Expenditures 15-22'!E46</f>
        <v>16963</v>
      </c>
      <c r="D846" s="2" t="str">
        <f t="shared" si="12"/>
        <v>Error?</v>
      </c>
    </row>
    <row r="847" spans="1:4" x14ac:dyDescent="0.2">
      <c r="A847" s="5">
        <v>786</v>
      </c>
      <c r="B847" s="138">
        <f>'Expenditures 15-22'!E47</f>
        <v>184191</v>
      </c>
      <c r="C847" s="2" t="s">
        <v>573</v>
      </c>
      <c r="D847" s="2" t="str">
        <f t="shared" si="12"/>
        <v>Error?</v>
      </c>
    </row>
    <row r="848" spans="1:4" x14ac:dyDescent="0.2">
      <c r="A848" s="5">
        <v>787</v>
      </c>
      <c r="B848" s="138">
        <f>'Expenditures 15-22'!E49</f>
        <v>124534</v>
      </c>
      <c r="D848" s="2" t="str">
        <f t="shared" si="12"/>
        <v>Error?</v>
      </c>
    </row>
    <row r="849" spans="1:4" x14ac:dyDescent="0.2">
      <c r="A849" s="5">
        <v>788</v>
      </c>
      <c r="B849" s="138">
        <f>'Expenditures 15-22'!E50</f>
        <v>52408</v>
      </c>
      <c r="D849" s="2" t="str">
        <f t="shared" si="12"/>
        <v>Error?</v>
      </c>
    </row>
    <row r="850" spans="1:4" x14ac:dyDescent="0.2">
      <c r="A850" s="5">
        <v>789</v>
      </c>
      <c r="B850" s="138">
        <f>'Expenditures 15-22'!E53</f>
        <v>176942</v>
      </c>
      <c r="C850" s="2" t="s">
        <v>573</v>
      </c>
      <c r="D850" s="2" t="str">
        <f t="shared" si="12"/>
        <v>Error?</v>
      </c>
    </row>
    <row r="851" spans="1:4" x14ac:dyDescent="0.2">
      <c r="A851" s="5">
        <v>790</v>
      </c>
      <c r="B851" s="138">
        <f>'Expenditures 15-22'!E55</f>
        <v>4530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4530</v>
      </c>
      <c r="C853" s="2" t="s">
        <v>573</v>
      </c>
      <c r="D853" s="2" t="str">
        <f t="shared" si="12"/>
        <v>Error?</v>
      </c>
    </row>
    <row r="854" spans="1:4" x14ac:dyDescent="0.2">
      <c r="A854" s="5">
        <v>793</v>
      </c>
      <c r="B854" s="138">
        <f>'Expenditures 15-22'!E59</f>
        <v>49332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303486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352818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7253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46867</v>
      </c>
      <c r="D867" s="2" t="str">
        <f t="shared" si="12"/>
        <v>Error?</v>
      </c>
    </row>
    <row r="868" spans="1:4" x14ac:dyDescent="0.2">
      <c r="A868" s="10">
        <v>807</v>
      </c>
      <c r="D868" s="2" t="str">
        <f t="shared" si="12"/>
        <v>OK</v>
      </c>
    </row>
    <row r="869" spans="1:4" x14ac:dyDescent="0.2">
      <c r="A869" s="5">
        <v>808</v>
      </c>
      <c r="B869" s="138">
        <f>'Expenditures 15-22'!E72</f>
        <v>54120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909414</v>
      </c>
      <c r="C871" s="2" t="s">
        <v>573</v>
      </c>
      <c r="D871" s="2" t="str">
        <f t="shared" si="12"/>
        <v>Error?</v>
      </c>
    </row>
    <row r="872" spans="1:4" x14ac:dyDescent="0.2">
      <c r="A872" s="5">
        <v>811</v>
      </c>
      <c r="B872" s="138">
        <f>'Expenditures 15-22'!E75</f>
        <v>19253</v>
      </c>
      <c r="D872" s="2" t="str">
        <f t="shared" si="12"/>
        <v>Error?</v>
      </c>
    </row>
    <row r="873" spans="1:4" x14ac:dyDescent="0.2">
      <c r="A873" s="5">
        <v>812</v>
      </c>
      <c r="B873" s="138">
        <f>'Expenditures 15-22'!E114</f>
        <v>1582919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438620</v>
      </c>
      <c r="D879" s="2" t="str">
        <f t="shared" si="12"/>
        <v>Error?</v>
      </c>
    </row>
    <row r="880" spans="1:4" x14ac:dyDescent="0.2">
      <c r="A880" s="5">
        <v>819</v>
      </c>
      <c r="B880" s="138">
        <f>'Expenditures 15-22'!F16</f>
        <v>464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3880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7854</v>
      </c>
      <c r="D892" s="2" t="str">
        <f t="shared" si="12"/>
        <v>Error?</v>
      </c>
    </row>
    <row r="893" spans="1:4" x14ac:dyDescent="0.2">
      <c r="A893" s="5">
        <v>832</v>
      </c>
      <c r="B893" s="138">
        <f>'Expenditures 15-22'!F15</f>
        <v>14235</v>
      </c>
      <c r="D893" s="2" t="str">
        <f t="shared" si="12"/>
        <v>Error?</v>
      </c>
    </row>
    <row r="894" spans="1:4" x14ac:dyDescent="0.2">
      <c r="A894" s="5">
        <v>833</v>
      </c>
      <c r="B894" s="138">
        <f>'Expenditures 15-22'!F33</f>
        <v>483515</v>
      </c>
      <c r="C894" s="2" t="s">
        <v>573</v>
      </c>
      <c r="D894" s="2" t="str">
        <f t="shared" si="12"/>
        <v>Error?</v>
      </c>
    </row>
    <row r="895" spans="1:4" x14ac:dyDescent="0.2">
      <c r="A895" s="5">
        <v>834</v>
      </c>
      <c r="B895" s="138">
        <f>'Expenditures 15-22'!F36</f>
        <v>79831</v>
      </c>
      <c r="D895" s="2" t="str">
        <f t="shared" ref="D895:D958" si="13">IF(ISBLANK(B895),"OK",IF(A895-B895=0,"OK","Error?"))</f>
        <v>Error?</v>
      </c>
    </row>
    <row r="896" spans="1:4" x14ac:dyDescent="0.2">
      <c r="A896" s="5">
        <v>835</v>
      </c>
      <c r="B896" s="138">
        <f>'Expenditures 15-22'!F37</f>
        <v>379</v>
      </c>
      <c r="D896" s="2" t="str">
        <f t="shared" si="13"/>
        <v>Error?</v>
      </c>
    </row>
    <row r="897" spans="1:4" x14ac:dyDescent="0.2">
      <c r="A897" s="5">
        <v>836</v>
      </c>
      <c r="B897" s="138">
        <f>'Expenditures 15-22'!F38</f>
        <v>4020</v>
      </c>
      <c r="D897" s="2" t="str">
        <f t="shared" si="13"/>
        <v>Error?</v>
      </c>
    </row>
    <row r="898" spans="1:4" x14ac:dyDescent="0.2">
      <c r="A898" s="5">
        <v>837</v>
      </c>
      <c r="B898" s="138">
        <f>'Expenditures 15-22'!F39</f>
        <v>18861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1027</v>
      </c>
      <c r="D900" s="2" t="str">
        <f t="shared" si="13"/>
        <v>Error?</v>
      </c>
    </row>
    <row r="901" spans="1:4" x14ac:dyDescent="0.2">
      <c r="A901" s="5">
        <v>840</v>
      </c>
      <c r="B901" s="138">
        <f>'Expenditures 15-22'!F42</f>
        <v>104118</v>
      </c>
      <c r="C901" s="2" t="s">
        <v>573</v>
      </c>
      <c r="D901" s="2" t="str">
        <f t="shared" si="13"/>
        <v>Error?</v>
      </c>
    </row>
    <row r="902" spans="1:4" x14ac:dyDescent="0.2">
      <c r="A902" s="5">
        <v>841</v>
      </c>
      <c r="B902" s="138">
        <f>'Expenditures 15-22'!F44</f>
        <v>1551</v>
      </c>
      <c r="D902" s="2" t="str">
        <f t="shared" si="13"/>
        <v>Error?</v>
      </c>
    </row>
    <row r="903" spans="1:4" x14ac:dyDescent="0.2">
      <c r="A903" s="5">
        <v>842</v>
      </c>
      <c r="B903" s="138">
        <f>'Expenditures 15-22'!F45</f>
        <v>61746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63297</v>
      </c>
      <c r="C905" s="2" t="s">
        <v>573</v>
      </c>
      <c r="D905" s="2" t="str">
        <f t="shared" si="13"/>
        <v>Error?</v>
      </c>
    </row>
    <row r="906" spans="1:4" x14ac:dyDescent="0.2">
      <c r="A906" s="5">
        <v>845</v>
      </c>
      <c r="B906" s="138">
        <f>'Expenditures 15-22'!F49</f>
        <v>3375</v>
      </c>
      <c r="D906" s="2" t="str">
        <f t="shared" si="13"/>
        <v>Error?</v>
      </c>
    </row>
    <row r="907" spans="1:4" x14ac:dyDescent="0.2">
      <c r="A907" s="5">
        <v>846</v>
      </c>
      <c r="B907" s="138">
        <f>'Expenditures 15-22'!F50</f>
        <v>2690</v>
      </c>
      <c r="D907" s="2" t="str">
        <f t="shared" si="13"/>
        <v>Error?</v>
      </c>
    </row>
    <row r="908" spans="1:4" x14ac:dyDescent="0.2">
      <c r="A908" s="5">
        <v>847</v>
      </c>
      <c r="B908" s="138">
        <f>'Expenditures 15-22'!F53</f>
        <v>6065</v>
      </c>
      <c r="C908" s="2" t="s">
        <v>573</v>
      </c>
      <c r="D908" s="2" t="str">
        <f t="shared" si="13"/>
        <v>Error?</v>
      </c>
    </row>
    <row r="909" spans="1:4" x14ac:dyDescent="0.2">
      <c r="A909" s="5">
        <v>848</v>
      </c>
      <c r="B909" s="138">
        <f>'Expenditures 15-22'!F55</f>
        <v>2475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2475</v>
      </c>
      <c r="C911" s="2" t="s">
        <v>573</v>
      </c>
      <c r="D911" s="2" t="str">
        <f t="shared" si="13"/>
        <v>Error?</v>
      </c>
    </row>
    <row r="912" spans="1:4" x14ac:dyDescent="0.2">
      <c r="A912" s="5">
        <v>851</v>
      </c>
      <c r="B912" s="138">
        <f>'Expenditures 15-22'!F59</f>
        <v>5442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22301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27743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1354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1354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205052</v>
      </c>
      <c r="C929" s="2" t="s">
        <v>573</v>
      </c>
      <c r="D929" s="2" t="str">
        <f t="shared" si="13"/>
        <v>Error?</v>
      </c>
    </row>
    <row r="930" spans="1:4" x14ac:dyDescent="0.2">
      <c r="A930" s="5">
        <v>869</v>
      </c>
      <c r="B930" s="138">
        <f>'Expenditures 15-22'!F75</f>
        <v>8591</v>
      </c>
      <c r="D930" s="2" t="str">
        <f t="shared" si="13"/>
        <v>Error?</v>
      </c>
    </row>
    <row r="931" spans="1:4" x14ac:dyDescent="0.2">
      <c r="A931" s="5">
        <v>870</v>
      </c>
      <c r="B931" s="138">
        <f>'Expenditures 15-22'!F114</f>
        <v>697158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97031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9735</v>
      </c>
      <c r="D1022" s="2" t="str">
        <f t="shared" si="14"/>
        <v>Error?</v>
      </c>
    </row>
    <row r="1023" spans="1:4" x14ac:dyDescent="0.2">
      <c r="A1023" s="5">
        <v>962</v>
      </c>
      <c r="B1023" s="138">
        <f>'Expenditures 15-22'!H50</f>
        <v>5989</v>
      </c>
      <c r="D1023" s="2" t="str">
        <f t="shared" ref="D1023:D1086" si="15">IF(ISBLANK(B1023),"OK",IF(A1023-B1023=0,"OK","Error?"))</f>
        <v>Error?</v>
      </c>
    </row>
    <row r="1024" spans="1:4" x14ac:dyDescent="0.2">
      <c r="A1024" s="5">
        <v>963</v>
      </c>
      <c r="B1024" s="138">
        <f>'Expenditures 15-22'!H53</f>
        <v>15724</v>
      </c>
      <c r="C1024" s="2" t="s">
        <v>573</v>
      </c>
      <c r="D1024" s="2" t="str">
        <f t="shared" si="15"/>
        <v>Error?</v>
      </c>
    </row>
    <row r="1025" spans="1:4" x14ac:dyDescent="0.2">
      <c r="A1025" s="5">
        <v>964</v>
      </c>
      <c r="B1025" s="138">
        <f>'Expenditures 15-22'!H55</f>
        <v>1017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1017</v>
      </c>
      <c r="C1027" s="2" t="s">
        <v>573</v>
      </c>
      <c r="D1027" s="2" t="str">
        <f t="shared" si="15"/>
        <v>Error?</v>
      </c>
    </row>
    <row r="1028" spans="1:4" x14ac:dyDescent="0.2">
      <c r="A1028" s="5">
        <v>967</v>
      </c>
      <c r="B1028" s="138">
        <f>'Expenditures 15-22'!H59</f>
        <v>789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789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842</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842</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18372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878381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993784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18275647</v>
      </c>
      <c r="C1093" s="2" t="s">
        <v>573</v>
      </c>
      <c r="D1093" s="2" t="str">
        <f t="shared" si="16"/>
        <v>Error?</v>
      </c>
    </row>
    <row r="1094" spans="1:4" x14ac:dyDescent="0.2">
      <c r="A1094" s="5">
        <v>1033</v>
      </c>
      <c r="B1094" s="138">
        <f>'Expenditures 15-22'!K16</f>
        <v>421556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386229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1195969</v>
      </c>
      <c r="C1106" s="2" t="s">
        <v>573</v>
      </c>
      <c r="D1106" s="2" t="str">
        <f t="shared" si="16"/>
        <v>Error?</v>
      </c>
    </row>
    <row r="1107" spans="1:4" x14ac:dyDescent="0.2">
      <c r="A1107" s="5">
        <v>1046</v>
      </c>
      <c r="B1107" s="138">
        <f>'Expenditures 15-22'!K15</f>
        <v>155256</v>
      </c>
      <c r="C1107" s="2" t="s">
        <v>573</v>
      </c>
      <c r="D1107" s="2" t="str">
        <f t="shared" si="16"/>
        <v>Error?</v>
      </c>
    </row>
    <row r="1108" spans="1:4" x14ac:dyDescent="0.2">
      <c r="A1108" s="5">
        <v>1047</v>
      </c>
      <c r="B1108" s="138">
        <f>'Expenditures 15-22'!K33</f>
        <v>24145119</v>
      </c>
      <c r="C1108" s="2" t="s">
        <v>573</v>
      </c>
      <c r="D1108" s="2" t="str">
        <f t="shared" si="16"/>
        <v>Error?</v>
      </c>
    </row>
    <row r="1109" spans="1:4" x14ac:dyDescent="0.2">
      <c r="A1109" s="5">
        <v>1048</v>
      </c>
      <c r="B1109" s="138">
        <f>'Expenditures 15-22'!K36</f>
        <v>838338</v>
      </c>
      <c r="C1109" s="2" t="s">
        <v>573</v>
      </c>
      <c r="D1109" s="2" t="str">
        <f t="shared" si="16"/>
        <v>Error?</v>
      </c>
    </row>
    <row r="1110" spans="1:4" x14ac:dyDescent="0.2">
      <c r="A1110" s="5">
        <v>1049</v>
      </c>
      <c r="B1110" s="138">
        <f>'Expenditures 15-22'!K37</f>
        <v>693032</v>
      </c>
      <c r="C1110" s="2" t="s">
        <v>573</v>
      </c>
      <c r="D1110" s="2" t="str">
        <f t="shared" si="16"/>
        <v>Error?</v>
      </c>
    </row>
    <row r="1111" spans="1:4" x14ac:dyDescent="0.2">
      <c r="A1111" s="5">
        <v>1050</v>
      </c>
      <c r="B1111" s="138">
        <f>'Expenditures 15-22'!K38</f>
        <v>350790</v>
      </c>
      <c r="C1111" s="2" t="s">
        <v>573</v>
      </c>
      <c r="D1111" s="2" t="str">
        <f t="shared" si="16"/>
        <v>Error?</v>
      </c>
    </row>
    <row r="1112" spans="1:4" x14ac:dyDescent="0.2">
      <c r="A1112" s="5">
        <v>1051</v>
      </c>
      <c r="B1112" s="138">
        <f>'Expenditures 15-22'!K39</f>
        <v>534494</v>
      </c>
      <c r="C1112" s="2" t="s">
        <v>573</v>
      </c>
      <c r="D1112" s="2" t="str">
        <f t="shared" si="16"/>
        <v>Error?</v>
      </c>
    </row>
    <row r="1113" spans="1:4" x14ac:dyDescent="0.2">
      <c r="A1113" s="5">
        <v>1052</v>
      </c>
      <c r="B1113" s="138">
        <f>'Expenditures 15-22'!K40</f>
        <v>568580</v>
      </c>
      <c r="C1113" s="2" t="s">
        <v>573</v>
      </c>
      <c r="D1113" s="2" t="str">
        <f t="shared" si="16"/>
        <v>Error?</v>
      </c>
    </row>
    <row r="1114" spans="1:4" x14ac:dyDescent="0.2">
      <c r="A1114" s="5">
        <v>1053</v>
      </c>
      <c r="B1114" s="138">
        <f>'Expenditures 15-22'!K41</f>
        <v>314207</v>
      </c>
      <c r="C1114" s="2" t="s">
        <v>573</v>
      </c>
      <c r="D1114" s="2" t="str">
        <f t="shared" si="16"/>
        <v>Error?</v>
      </c>
    </row>
    <row r="1115" spans="1:4" x14ac:dyDescent="0.2">
      <c r="A1115" s="5">
        <v>1054</v>
      </c>
      <c r="B1115" s="138">
        <f>'Expenditures 15-22'!K42</f>
        <v>3299441</v>
      </c>
      <c r="C1115" s="2" t="s">
        <v>573</v>
      </c>
      <c r="D1115" s="2" t="str">
        <f t="shared" si="16"/>
        <v>Error?</v>
      </c>
    </row>
    <row r="1116" spans="1:4" x14ac:dyDescent="0.2">
      <c r="A1116" s="5">
        <v>1055</v>
      </c>
      <c r="B1116" s="138">
        <f>'Expenditures 15-22'!K44</f>
        <v>705057</v>
      </c>
      <c r="C1116" s="2" t="s">
        <v>573</v>
      </c>
      <c r="D1116" s="2" t="str">
        <f t="shared" si="16"/>
        <v>Error?</v>
      </c>
    </row>
    <row r="1117" spans="1:4" x14ac:dyDescent="0.2">
      <c r="A1117" s="5">
        <v>1056</v>
      </c>
      <c r="B1117" s="138">
        <f>'Expenditures 15-22'!K45</f>
        <v>639067</v>
      </c>
      <c r="C1117" s="2" t="s">
        <v>573</v>
      </c>
      <c r="D1117" s="2" t="str">
        <f t="shared" si="16"/>
        <v>Error?</v>
      </c>
    </row>
    <row r="1118" spans="1:4" x14ac:dyDescent="0.2">
      <c r="A1118" s="5">
        <v>1057</v>
      </c>
      <c r="B1118" s="138">
        <f>'Expenditures 15-22'!K46</f>
        <v>16963</v>
      </c>
      <c r="C1118" s="2" t="s">
        <v>573</v>
      </c>
      <c r="D1118" s="2" t="str">
        <f t="shared" si="16"/>
        <v>Error?</v>
      </c>
    </row>
    <row r="1119" spans="1:4" x14ac:dyDescent="0.2">
      <c r="A1119" s="5">
        <v>1058</v>
      </c>
      <c r="B1119" s="138">
        <f>'Expenditures 15-22'!K47</f>
        <v>1361087</v>
      </c>
      <c r="C1119" s="2" t="s">
        <v>573</v>
      </c>
      <c r="D1119" s="2" t="str">
        <f t="shared" si="16"/>
        <v>Error?</v>
      </c>
    </row>
    <row r="1120" spans="1:4" x14ac:dyDescent="0.2">
      <c r="A1120" s="5">
        <v>1059</v>
      </c>
      <c r="B1120" s="138">
        <f>'Expenditures 15-22'!K49</f>
        <v>137644</v>
      </c>
      <c r="C1120" s="2" t="s">
        <v>573</v>
      </c>
      <c r="D1120" s="2" t="str">
        <f t="shared" si="16"/>
        <v>Error?</v>
      </c>
    </row>
    <row r="1121" spans="1:4" x14ac:dyDescent="0.2">
      <c r="A1121" s="5">
        <v>1060</v>
      </c>
      <c r="B1121" s="138">
        <f>'Expenditures 15-22'!K50</f>
        <v>774638</v>
      </c>
      <c r="C1121" s="2" t="s">
        <v>573</v>
      </c>
      <c r="D1121" s="2" t="str">
        <f t="shared" si="16"/>
        <v>Error?</v>
      </c>
    </row>
    <row r="1122" spans="1:4" x14ac:dyDescent="0.2">
      <c r="A1122" s="5">
        <v>1061</v>
      </c>
      <c r="B1122" s="138">
        <f>'Expenditures 15-22'!K53</f>
        <v>912282</v>
      </c>
      <c r="C1122" s="2" t="s">
        <v>573</v>
      </c>
      <c r="D1122" s="2" t="str">
        <f t="shared" si="16"/>
        <v>Error?</v>
      </c>
    </row>
    <row r="1123" spans="1:4" x14ac:dyDescent="0.2">
      <c r="A1123" s="5">
        <v>1062</v>
      </c>
      <c r="B1123" s="138">
        <f>'Expenditures 15-22'!K55</f>
        <v>1895728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1895728</v>
      </c>
      <c r="C1125" s="2" t="s">
        <v>573</v>
      </c>
      <c r="D1125" s="2" t="str">
        <f t="shared" si="16"/>
        <v>Error?</v>
      </c>
    </row>
    <row r="1126" spans="1:4" x14ac:dyDescent="0.2">
      <c r="A1126" s="5">
        <v>1065</v>
      </c>
      <c r="B1126" s="138">
        <f>'Expenditures 15-22'!K59</f>
        <v>496309</v>
      </c>
      <c r="C1126" s="2" t="s">
        <v>573</v>
      </c>
      <c r="D1126" s="2" t="str">
        <f t="shared" si="16"/>
        <v>Error?</v>
      </c>
    </row>
    <row r="1127" spans="1:4" x14ac:dyDescent="0.2">
      <c r="A1127" s="5">
        <v>1066</v>
      </c>
      <c r="B1127" s="138">
        <f>'Expenditures 15-22'!K60</f>
        <v>73054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326425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895788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98458</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46867</v>
      </c>
      <c r="C1139" s="2" t="s">
        <v>573</v>
      </c>
      <c r="D1139" s="2" t="str">
        <f t="shared" si="16"/>
        <v>Error?</v>
      </c>
    </row>
    <row r="1140" spans="1:4" x14ac:dyDescent="0.2">
      <c r="A1140" s="10">
        <v>1079</v>
      </c>
      <c r="D1140" s="2" t="str">
        <f t="shared" si="16"/>
        <v>OK</v>
      </c>
    </row>
    <row r="1141" spans="1:4" x14ac:dyDescent="0.2">
      <c r="A1141" s="5">
        <v>1080</v>
      </c>
      <c r="B1141" s="138">
        <f>'Expenditures 15-22'!K72</f>
        <v>145325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8509651</v>
      </c>
      <c r="C1143" s="2" t="s">
        <v>573</v>
      </c>
      <c r="D1143" s="2" t="str">
        <f t="shared" si="16"/>
        <v>Error?</v>
      </c>
    </row>
    <row r="1144" spans="1:4" x14ac:dyDescent="0.2">
      <c r="A1144" s="5">
        <v>1083</v>
      </c>
      <c r="B1144" s="138">
        <f>'Expenditures 15-22'!K75</f>
        <v>198904</v>
      </c>
      <c r="C1144" s="2" t="s">
        <v>573</v>
      </c>
      <c r="D1144" s="2" t="str">
        <f t="shared" si="16"/>
        <v>Error?</v>
      </c>
    </row>
    <row r="1145" spans="1:4" x14ac:dyDescent="0.2">
      <c r="A1145" s="5">
        <v>1084</v>
      </c>
      <c r="B1145" s="138">
        <f>'Expenditures 15-22'!K102</f>
        <v>1190482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34044156</v>
      </c>
      <c r="C1152" s="2" t="s">
        <v>573</v>
      </c>
      <c r="D1152" s="2" t="str">
        <f t="shared" si="17"/>
        <v>Error?</v>
      </c>
    </row>
    <row r="1153" spans="1:4" x14ac:dyDescent="0.2">
      <c r="A1153" s="5">
        <v>1092</v>
      </c>
      <c r="B1153" s="138">
        <f>'Expenditures 15-22'!K115</f>
        <v>-467724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1297855</v>
      </c>
      <c r="D1221" s="2" t="str">
        <f t="shared" si="18"/>
        <v>Error?</v>
      </c>
    </row>
    <row r="1222" spans="1:4" x14ac:dyDescent="0.2">
      <c r="A1222" s="10">
        <v>1161</v>
      </c>
      <c r="D1222" s="2" t="str">
        <f t="shared" si="18"/>
        <v>OK</v>
      </c>
    </row>
    <row r="1223" spans="1:4" x14ac:dyDescent="0.2">
      <c r="A1223" s="5">
        <v>1162</v>
      </c>
      <c r="B1223" s="138">
        <f>'Expenditures 15-22'!C127</f>
        <v>1297855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1297855</v>
      </c>
      <c r="C1225" s="2" t="s">
        <v>573</v>
      </c>
      <c r="D1225" s="2" t="str">
        <f t="shared" si="18"/>
        <v>Error?</v>
      </c>
    </row>
    <row r="1226" spans="1:4" x14ac:dyDescent="0.2">
      <c r="A1226" s="5">
        <v>1165</v>
      </c>
      <c r="B1226" s="138">
        <f>'Expenditures 15-22'!C151</f>
        <v>1297855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198494</v>
      </c>
      <c r="D1229" s="2" t="str">
        <f t="shared" si="18"/>
        <v>Error?</v>
      </c>
    </row>
    <row r="1230" spans="1:4" x14ac:dyDescent="0.2">
      <c r="A1230" s="10">
        <v>1169</v>
      </c>
      <c r="D1230" s="2" t="str">
        <f t="shared" si="18"/>
        <v>OK</v>
      </c>
    </row>
    <row r="1231" spans="1:4" x14ac:dyDescent="0.2">
      <c r="A1231" s="5">
        <v>1170</v>
      </c>
      <c r="B1231" s="138">
        <f>'Expenditures 15-22'!D127</f>
        <v>198494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198494</v>
      </c>
      <c r="C1233" s="2" t="s">
        <v>573</v>
      </c>
      <c r="D1233" s="2" t="str">
        <f t="shared" si="18"/>
        <v>Error?</v>
      </c>
    </row>
    <row r="1234" spans="1:4" x14ac:dyDescent="0.2">
      <c r="A1234" s="5">
        <v>1173</v>
      </c>
      <c r="B1234" s="138">
        <f>'Expenditures 15-22'!D151</f>
        <v>198494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700104</v>
      </c>
      <c r="D1237" s="2" t="str">
        <f t="shared" si="18"/>
        <v>Error?</v>
      </c>
    </row>
    <row r="1238" spans="1:4" x14ac:dyDescent="0.2">
      <c r="A1238" s="10">
        <v>1177</v>
      </c>
      <c r="D1238" s="2" t="str">
        <f t="shared" si="18"/>
        <v>OK</v>
      </c>
    </row>
    <row r="1239" spans="1:4" x14ac:dyDescent="0.2">
      <c r="A1239" s="5">
        <v>1178</v>
      </c>
      <c r="B1239" s="138">
        <f>'Expenditures 15-22'!E127</f>
        <v>700104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700104</v>
      </c>
      <c r="C1241" s="2" t="s">
        <v>573</v>
      </c>
      <c r="D1241" s="2" t="str">
        <f t="shared" si="18"/>
        <v>Error?</v>
      </c>
    </row>
    <row r="1242" spans="1:4" x14ac:dyDescent="0.2">
      <c r="A1242" s="5">
        <v>1181</v>
      </c>
      <c r="B1242" s="138">
        <f>'Expenditures 15-22'!E151</f>
        <v>700104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396204</v>
      </c>
      <c r="D1245" s="2" t="str">
        <f t="shared" si="18"/>
        <v>Error?</v>
      </c>
    </row>
    <row r="1246" spans="1:4" x14ac:dyDescent="0.2">
      <c r="A1246" s="10">
        <v>1185</v>
      </c>
      <c r="D1246" s="2" t="str">
        <f t="shared" si="18"/>
        <v>OK</v>
      </c>
    </row>
    <row r="1247" spans="1:4" x14ac:dyDescent="0.2">
      <c r="A1247" s="5">
        <v>1186</v>
      </c>
      <c r="B1247" s="138">
        <f>'Expenditures 15-22'!F127</f>
        <v>396204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396204</v>
      </c>
      <c r="C1249" s="2" t="s">
        <v>573</v>
      </c>
      <c r="D1249" s="2" t="str">
        <f t="shared" si="18"/>
        <v>Error?</v>
      </c>
    </row>
    <row r="1250" spans="1:4" x14ac:dyDescent="0.2">
      <c r="A1250" s="5">
        <v>1189</v>
      </c>
      <c r="B1250" s="138">
        <f>'Expenditures 15-22'!F151</f>
        <v>396204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6316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6316</v>
      </c>
      <c r="C1258" s="2" t="s">
        <v>573</v>
      </c>
      <c r="D1258" s="2" t="str">
        <f t="shared" si="18"/>
        <v>Error?</v>
      </c>
    </row>
    <row r="1259" spans="1:4" x14ac:dyDescent="0.2">
      <c r="A1259" s="5">
        <v>1198</v>
      </c>
      <c r="B1259" s="138">
        <f>'Expenditures 15-22'!G151</f>
        <v>6316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2604535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2604535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2604535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2604535</v>
      </c>
      <c r="C1288" s="2" t="s">
        <v>573</v>
      </c>
      <c r="D1288" s="2" t="str">
        <f t="shared" si="19"/>
        <v>Error?</v>
      </c>
    </row>
    <row r="1289" spans="1:4" x14ac:dyDescent="0.2">
      <c r="A1289" s="5">
        <v>1228</v>
      </c>
      <c r="B1289" s="138">
        <f>'Expenditures 15-22'!K152</f>
        <v>258379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1254139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1254139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1254139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1254139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1254139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1254139</v>
      </c>
      <c r="C1388" s="2" t="s">
        <v>573</v>
      </c>
      <c r="D1388" s="2" t="str">
        <f t="shared" si="20"/>
        <v>Error?</v>
      </c>
    </row>
    <row r="1389" spans="1:4" x14ac:dyDescent="0.2">
      <c r="A1389" s="5">
        <v>1328</v>
      </c>
      <c r="B1389" s="138">
        <f>'Expenditures 15-22'!K211</f>
        <v>-98752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4910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4264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20047</v>
      </c>
      <c r="D1408" s="2" t="str">
        <f t="shared" si="21"/>
        <v>Error?</v>
      </c>
    </row>
    <row r="1409" spans="1:4" x14ac:dyDescent="0.2">
      <c r="A1409" s="5">
        <v>1348</v>
      </c>
      <c r="B1409" s="138">
        <f>'Expenditures 15-22'!D224</f>
        <v>5611</v>
      </c>
      <c r="D1409" s="2" t="str">
        <f t="shared" si="21"/>
        <v>Error?</v>
      </c>
    </row>
    <row r="1410" spans="1:4" x14ac:dyDescent="0.2">
      <c r="A1410" s="5">
        <v>1349</v>
      </c>
      <c r="B1410" s="138">
        <f>'Expenditures 15-22'!D229</f>
        <v>614643</v>
      </c>
      <c r="C1410" s="2" t="s">
        <v>573</v>
      </c>
      <c r="D1410" s="2" t="str">
        <f t="shared" si="21"/>
        <v>Error?</v>
      </c>
    </row>
    <row r="1411" spans="1:4" x14ac:dyDescent="0.2">
      <c r="A1411" s="5">
        <v>1350</v>
      </c>
      <c r="B1411" s="138">
        <f>'Expenditures 15-22'!D232</f>
        <v>18176</v>
      </c>
      <c r="D1411" s="2" t="str">
        <f t="shared" si="21"/>
        <v>Error?</v>
      </c>
    </row>
    <row r="1412" spans="1:4" x14ac:dyDescent="0.2">
      <c r="A1412" s="5">
        <v>1351</v>
      </c>
      <c r="B1412" s="138">
        <f>'Expenditures 15-22'!D233</f>
        <v>8461</v>
      </c>
      <c r="D1412" s="2" t="str">
        <f t="shared" si="21"/>
        <v>Error?</v>
      </c>
    </row>
    <row r="1413" spans="1:4" x14ac:dyDescent="0.2">
      <c r="A1413" s="5">
        <v>1352</v>
      </c>
      <c r="B1413" s="138">
        <f>'Expenditures 15-22'!D234</f>
        <v>25438</v>
      </c>
      <c r="D1413" s="2" t="str">
        <f t="shared" si="21"/>
        <v>Error?</v>
      </c>
    </row>
    <row r="1414" spans="1:4" x14ac:dyDescent="0.2">
      <c r="A1414" s="5">
        <v>1353</v>
      </c>
      <c r="B1414" s="138">
        <f>'Expenditures 15-22'!D235</f>
        <v>6481</v>
      </c>
      <c r="D1414" s="2" t="str">
        <f t="shared" si="21"/>
        <v>Error?</v>
      </c>
    </row>
    <row r="1415" spans="1:4" x14ac:dyDescent="0.2">
      <c r="A1415" s="5">
        <v>1354</v>
      </c>
      <c r="B1415" s="138">
        <f>'Expenditures 15-22'!D236</f>
        <v>6707</v>
      </c>
      <c r="D1415" s="2" t="str">
        <f t="shared" si="21"/>
        <v>Error?</v>
      </c>
    </row>
    <row r="1416" spans="1:4" x14ac:dyDescent="0.2">
      <c r="A1416" s="5">
        <v>1355</v>
      </c>
      <c r="B1416" s="138">
        <f>'Expenditures 15-22'!D237</f>
        <v>46398</v>
      </c>
      <c r="D1416" s="2" t="str">
        <f t="shared" si="21"/>
        <v>Error?</v>
      </c>
    </row>
    <row r="1417" spans="1:4" x14ac:dyDescent="0.2">
      <c r="A1417" s="5">
        <v>1356</v>
      </c>
      <c r="B1417" s="138">
        <f>'Expenditures 15-22'!D238</f>
        <v>111661</v>
      </c>
      <c r="C1417" s="2" t="s">
        <v>573</v>
      </c>
      <c r="D1417" s="2" t="str">
        <f t="shared" si="21"/>
        <v>Error?</v>
      </c>
    </row>
    <row r="1418" spans="1:4" x14ac:dyDescent="0.2">
      <c r="A1418" s="5">
        <v>1357</v>
      </c>
      <c r="B1418" s="138">
        <f>'Expenditures 15-22'!D240</f>
        <v>10444</v>
      </c>
      <c r="D1418" s="2" t="str">
        <f t="shared" si="21"/>
        <v>Error?</v>
      </c>
    </row>
    <row r="1419" spans="1:4" x14ac:dyDescent="0.2">
      <c r="A1419" s="5">
        <v>1358</v>
      </c>
      <c r="B1419" s="138">
        <f>'Expenditures 15-22'!D241</f>
        <v>19427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29871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38210</v>
      </c>
      <c r="D1423" s="2" t="str">
        <f t="shared" si="21"/>
        <v>Error?</v>
      </c>
    </row>
    <row r="1424" spans="1:4" x14ac:dyDescent="0.2">
      <c r="A1424" s="5">
        <v>1363</v>
      </c>
      <c r="B1424" s="138">
        <f>'Expenditures 15-22'!D257</f>
        <v>38210</v>
      </c>
      <c r="C1424" s="2" t="s">
        <v>573</v>
      </c>
      <c r="D1424" s="2" t="str">
        <f t="shared" si="21"/>
        <v>Error?</v>
      </c>
    </row>
    <row r="1425" spans="1:4" x14ac:dyDescent="0.2">
      <c r="A1425" s="5">
        <v>1364</v>
      </c>
      <c r="B1425" s="138">
        <f>'Expenditures 15-22'!D259</f>
        <v>136853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136853</v>
      </c>
      <c r="C1427" s="2" t="s">
        <v>573</v>
      </c>
      <c r="D1427" s="2" t="str">
        <f t="shared" si="21"/>
        <v>Error?</v>
      </c>
    </row>
    <row r="1428" spans="1:4" x14ac:dyDescent="0.2">
      <c r="A1428" s="5">
        <v>1367</v>
      </c>
      <c r="B1428" s="138">
        <f>'Expenditures 15-22'!D263</f>
        <v>36121</v>
      </c>
      <c r="D1428" s="2" t="str">
        <f t="shared" si="21"/>
        <v>Error?</v>
      </c>
    </row>
    <row r="1429" spans="1:4" x14ac:dyDescent="0.2">
      <c r="A1429" s="5">
        <v>1368</v>
      </c>
      <c r="B1429" s="138">
        <f>'Expenditures 15-22'!D264</f>
        <v>11673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197226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245020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47907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47907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609522</v>
      </c>
      <c r="C1446" s="2" t="s">
        <v>573</v>
      </c>
      <c r="D1446" s="2" t="str">
        <f t="shared" si="21"/>
        <v>Error?</v>
      </c>
    </row>
    <row r="1447" spans="1:4" x14ac:dyDescent="0.2">
      <c r="A1447" s="5">
        <v>1386</v>
      </c>
      <c r="B1447" s="138">
        <f>'Expenditures 15-22'!D280</f>
        <v>24149</v>
      </c>
      <c r="D1447" s="2" t="str">
        <f t="shared" si="21"/>
        <v>Error?</v>
      </c>
    </row>
    <row r="1448" spans="1:4" x14ac:dyDescent="0.2">
      <c r="A1448" s="5">
        <v>1387</v>
      </c>
      <c r="B1448" s="138">
        <f>'Expenditures 15-22'!D295</f>
        <v>1248314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4910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4264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20047</v>
      </c>
      <c r="C1472" s="2" t="s">
        <v>573</v>
      </c>
      <c r="D1472" s="2" t="str">
        <f t="shared" si="22"/>
        <v>Error?</v>
      </c>
    </row>
    <row r="1473" spans="1:4" x14ac:dyDescent="0.2">
      <c r="A1473" s="5">
        <v>1412</v>
      </c>
      <c r="B1473" s="138">
        <f>'Expenditures 15-22'!K224</f>
        <v>5611</v>
      </c>
      <c r="C1473" s="2" t="s">
        <v>573</v>
      </c>
      <c r="D1473" s="2" t="str">
        <f t="shared" si="22"/>
        <v>Error?</v>
      </c>
    </row>
    <row r="1474" spans="1:4" x14ac:dyDescent="0.2">
      <c r="A1474" s="5">
        <v>1413</v>
      </c>
      <c r="B1474" s="138">
        <f>'Expenditures 15-22'!K229</f>
        <v>614643</v>
      </c>
      <c r="C1474" s="2" t="s">
        <v>573</v>
      </c>
      <c r="D1474" s="2" t="str">
        <f t="shared" si="22"/>
        <v>Error?</v>
      </c>
    </row>
    <row r="1475" spans="1:4" x14ac:dyDescent="0.2">
      <c r="A1475" s="5">
        <v>1414</v>
      </c>
      <c r="B1475" s="138">
        <f>'Expenditures 15-22'!K232</f>
        <v>18176</v>
      </c>
      <c r="C1475" s="2" t="s">
        <v>573</v>
      </c>
      <c r="D1475" s="2" t="str">
        <f t="shared" si="22"/>
        <v>Error?</v>
      </c>
    </row>
    <row r="1476" spans="1:4" x14ac:dyDescent="0.2">
      <c r="A1476" s="5">
        <v>1415</v>
      </c>
      <c r="B1476" s="138">
        <f>'Expenditures 15-22'!K233</f>
        <v>8461</v>
      </c>
      <c r="C1476" s="2" t="s">
        <v>573</v>
      </c>
      <c r="D1476" s="2" t="str">
        <f t="shared" si="22"/>
        <v>Error?</v>
      </c>
    </row>
    <row r="1477" spans="1:4" x14ac:dyDescent="0.2">
      <c r="A1477" s="5">
        <v>1416</v>
      </c>
      <c r="B1477" s="138">
        <f>'Expenditures 15-22'!K234</f>
        <v>25438</v>
      </c>
      <c r="C1477" s="2" t="s">
        <v>573</v>
      </c>
      <c r="D1477" s="2" t="str">
        <f t="shared" si="22"/>
        <v>Error?</v>
      </c>
    </row>
    <row r="1478" spans="1:4" x14ac:dyDescent="0.2">
      <c r="A1478" s="5">
        <v>1417</v>
      </c>
      <c r="B1478" s="138">
        <f>'Expenditures 15-22'!K235</f>
        <v>6481</v>
      </c>
      <c r="C1478" s="2" t="s">
        <v>573</v>
      </c>
      <c r="D1478" s="2" t="str">
        <f t="shared" si="22"/>
        <v>Error?</v>
      </c>
    </row>
    <row r="1479" spans="1:4" x14ac:dyDescent="0.2">
      <c r="A1479" s="5">
        <v>1418</v>
      </c>
      <c r="B1479" s="138">
        <f>'Expenditures 15-22'!K236</f>
        <v>6707</v>
      </c>
      <c r="C1479" s="2" t="s">
        <v>573</v>
      </c>
      <c r="D1479" s="2" t="str">
        <f t="shared" si="22"/>
        <v>Error?</v>
      </c>
    </row>
    <row r="1480" spans="1:4" x14ac:dyDescent="0.2">
      <c r="A1480" s="5">
        <v>1419</v>
      </c>
      <c r="B1480" s="138">
        <f>'Expenditures 15-22'!K237</f>
        <v>46398</v>
      </c>
      <c r="C1480" s="2" t="s">
        <v>573</v>
      </c>
      <c r="D1480" s="2" t="str">
        <f t="shared" si="22"/>
        <v>Error?</v>
      </c>
    </row>
    <row r="1481" spans="1:4" x14ac:dyDescent="0.2">
      <c r="A1481" s="5">
        <v>1420</v>
      </c>
      <c r="B1481" s="138">
        <f>'Expenditures 15-22'!K238</f>
        <v>111661</v>
      </c>
      <c r="C1481" s="2" t="s">
        <v>573</v>
      </c>
      <c r="D1481" s="2" t="str">
        <f t="shared" si="22"/>
        <v>Error?</v>
      </c>
    </row>
    <row r="1482" spans="1:4" x14ac:dyDescent="0.2">
      <c r="A1482" s="5">
        <v>1421</v>
      </c>
      <c r="B1482" s="138">
        <f>'Expenditures 15-22'!K240</f>
        <v>10444</v>
      </c>
      <c r="C1482" s="2" t="s">
        <v>573</v>
      </c>
      <c r="D1482" s="2" t="str">
        <f t="shared" si="22"/>
        <v>Error?</v>
      </c>
    </row>
    <row r="1483" spans="1:4" x14ac:dyDescent="0.2">
      <c r="A1483" s="5">
        <v>1422</v>
      </c>
      <c r="B1483" s="138">
        <f>'Expenditures 15-22'!K241</f>
        <v>19427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29871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38210</v>
      </c>
      <c r="C1487" s="2" t="s">
        <v>573</v>
      </c>
      <c r="D1487" s="2" t="str">
        <f t="shared" si="22"/>
        <v>Error?</v>
      </c>
    </row>
    <row r="1488" spans="1:4" x14ac:dyDescent="0.2">
      <c r="A1488" s="5">
        <v>1427</v>
      </c>
      <c r="B1488" s="138">
        <f>'Expenditures 15-22'!K257</f>
        <v>38210</v>
      </c>
      <c r="C1488" s="2" t="s">
        <v>573</v>
      </c>
      <c r="D1488" s="2" t="str">
        <f t="shared" si="22"/>
        <v>Error?</v>
      </c>
    </row>
    <row r="1489" spans="1:4" x14ac:dyDescent="0.2">
      <c r="A1489" s="5">
        <v>1428</v>
      </c>
      <c r="B1489" s="138">
        <f>'Expenditures 15-22'!K259</f>
        <v>136853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136853</v>
      </c>
      <c r="C1491" s="2" t="s">
        <v>573</v>
      </c>
      <c r="D1491" s="2" t="str">
        <f t="shared" si="22"/>
        <v>Error?</v>
      </c>
    </row>
    <row r="1492" spans="1:4" x14ac:dyDescent="0.2">
      <c r="A1492" s="5">
        <v>1431</v>
      </c>
      <c r="B1492" s="138">
        <f>'Expenditures 15-22'!K263</f>
        <v>36121</v>
      </c>
      <c r="C1492" s="2" t="s">
        <v>573</v>
      </c>
      <c r="D1492" s="2" t="str">
        <f t="shared" si="22"/>
        <v>Error?</v>
      </c>
    </row>
    <row r="1493" spans="1:4" x14ac:dyDescent="0.2">
      <c r="A1493" s="5">
        <v>1432</v>
      </c>
      <c r="B1493" s="138">
        <f>'Expenditures 15-22'!K264</f>
        <v>11673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197226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245020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47907</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47907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609522</v>
      </c>
      <c r="C1510" s="2" t="s">
        <v>573</v>
      </c>
      <c r="D1510" s="2" t="str">
        <f t="shared" si="22"/>
        <v>Error?</v>
      </c>
    </row>
    <row r="1511" spans="1:4" x14ac:dyDescent="0.2">
      <c r="A1511" s="5">
        <v>1450</v>
      </c>
      <c r="B1511" s="138">
        <f>'Expenditures 15-22'!K280</f>
        <v>24149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1248314</v>
      </c>
      <c r="C1517" s="2" t="s">
        <v>573</v>
      </c>
      <c r="D1517" s="2" t="str">
        <f t="shared" si="22"/>
        <v>Error?</v>
      </c>
    </row>
    <row r="1518" spans="1:4" x14ac:dyDescent="0.2">
      <c r="A1518" s="5">
        <v>1457</v>
      </c>
      <c r="B1518" s="138">
        <f>'Expenditures 15-22'!K296</f>
        <v>75059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31096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31096</v>
      </c>
      <c r="C1535" s="2" t="s">
        <v>573</v>
      </c>
      <c r="D1535" s="2" t="str">
        <f t="shared" ref="D1535:D1598" si="23">IF(ISBLANK(B1535),"OK",IF(A1535-B1535=0,"OK","Error?"))</f>
        <v>Error?</v>
      </c>
    </row>
    <row r="1536" spans="1:4" x14ac:dyDescent="0.2">
      <c r="A1536" s="5">
        <v>1475</v>
      </c>
      <c r="B1536" s="138">
        <f>'Expenditures 15-22'!E312</f>
        <v>31096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874306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874306</v>
      </c>
      <c r="C1547" s="2" t="s">
        <v>573</v>
      </c>
      <c r="D1547" s="2" t="str">
        <f t="shared" si="23"/>
        <v>Error?</v>
      </c>
    </row>
    <row r="1548" spans="1:4" x14ac:dyDescent="0.2">
      <c r="A1548" s="5">
        <v>1487</v>
      </c>
      <c r="B1548" s="138">
        <f>'Expenditures 15-22'!G312</f>
        <v>874306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905402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905402</v>
      </c>
      <c r="C1559" s="2" t="s">
        <v>573</v>
      </c>
      <c r="D1559" s="2" t="str">
        <f t="shared" si="23"/>
        <v>Error?</v>
      </c>
    </row>
    <row r="1560" spans="1:4" x14ac:dyDescent="0.2">
      <c r="A1560" s="5">
        <v>1499</v>
      </c>
      <c r="B1560" s="138">
        <f>'Expenditures 15-22'!K312</f>
        <v>905402</v>
      </c>
      <c r="C1560" s="2" t="s">
        <v>573</v>
      </c>
      <c r="D1560" s="2" t="str">
        <f t="shared" si="23"/>
        <v>Error?</v>
      </c>
    </row>
    <row r="1561" spans="1:4" x14ac:dyDescent="0.2">
      <c r="A1561" s="5">
        <v>1500</v>
      </c>
      <c r="B1561" s="138">
        <f>'Expenditures 15-22'!K313</f>
        <v>-905402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12171048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11703324</v>
      </c>
      <c r="C1630" s="2" t="s">
        <v>573</v>
      </c>
      <c r="D1630" s="2" t="str">
        <f t="shared" si="24"/>
        <v>Error?</v>
      </c>
    </row>
    <row r="1631" spans="1:4" x14ac:dyDescent="0.2">
      <c r="A1631" s="5">
        <v>1570</v>
      </c>
      <c r="B1631" s="138">
        <f>'Acct Summary 7-8'!D79</f>
        <v>2375067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1728044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535546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436794</v>
      </c>
      <c r="C1672" s="2" t="s">
        <v>573</v>
      </c>
      <c r="D1672" s="2" t="str">
        <f t="shared" si="25"/>
        <v>Error?</v>
      </c>
    </row>
    <row r="1673" spans="1:4" x14ac:dyDescent="0.2">
      <c r="A1673" s="5">
        <v>1612</v>
      </c>
      <c r="B1673" s="138">
        <f>'Acct Summary 7-8'!G79</f>
        <v>833740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908799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28830521</v>
      </c>
      <c r="C1744" s="2" t="s">
        <v>573</v>
      </c>
      <c r="D1744" s="2" t="str">
        <f t="shared" si="26"/>
        <v>Error?</v>
      </c>
    </row>
    <row r="1745" spans="1:5" x14ac:dyDescent="0.2">
      <c r="A1745" s="5">
        <v>1684</v>
      </c>
      <c r="B1745" s="138">
        <f>'Tax Sched 23'!B5</f>
        <v>2694402</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755003</v>
      </c>
      <c r="C1747" s="2" t="s">
        <v>573</v>
      </c>
      <c r="D1747" s="2" t="str">
        <f t="shared" si="26"/>
        <v>Error?</v>
      </c>
    </row>
    <row r="1748" spans="1:5" x14ac:dyDescent="0.2">
      <c r="A1748" s="5">
        <v>1687</v>
      </c>
      <c r="B1748" s="138">
        <f>'Tax Sched 23'!B8</f>
        <v>613392</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33554951</v>
      </c>
      <c r="C1759" s="2" t="s">
        <v>573</v>
      </c>
      <c r="D1759" s="2" t="str">
        <f t="shared" si="26"/>
        <v>Error?</v>
      </c>
    </row>
    <row r="1760" spans="1:5" x14ac:dyDescent="0.2">
      <c r="A1760" s="5">
        <v>1699</v>
      </c>
      <c r="B1760" s="138">
        <f>'Tax Sched 23'!D4</f>
        <v>13063917</v>
      </c>
      <c r="C1760" s="2" t="s">
        <v>573</v>
      </c>
      <c r="D1760" s="2" t="str">
        <f t="shared" si="26"/>
        <v>Error?</v>
      </c>
    </row>
    <row r="1761" spans="1:5" x14ac:dyDescent="0.2">
      <c r="A1761" s="5">
        <v>1700</v>
      </c>
      <c r="B1761" s="138">
        <f>'Tax Sched 23'!D5</f>
        <v>1287380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361037</v>
      </c>
      <c r="C1763" s="2" t="s">
        <v>573</v>
      </c>
      <c r="D1763" s="2" t="str">
        <f t="shared" si="26"/>
        <v>Error?</v>
      </c>
    </row>
    <row r="1764" spans="1:5" x14ac:dyDescent="0.2">
      <c r="A1764" s="5">
        <v>1703</v>
      </c>
      <c r="B1764" s="138">
        <f>'Tax Sched 23'!D8</f>
        <v>306405</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15329896</v>
      </c>
      <c r="C1775" s="2" t="s">
        <v>573</v>
      </c>
      <c r="D1775" s="2" t="str">
        <f t="shared" si="26"/>
        <v>Error?</v>
      </c>
    </row>
    <row r="1776" spans="1:5" x14ac:dyDescent="0.2">
      <c r="A1776" s="5">
        <v>1715</v>
      </c>
      <c r="B1776" s="138">
        <f>'Tax Sched 23'!C4</f>
        <v>15766604</v>
      </c>
      <c r="D1776" s="2" t="str">
        <f t="shared" si="26"/>
        <v>Error?</v>
      </c>
    </row>
    <row r="1777" spans="1:4" x14ac:dyDescent="0.2">
      <c r="A1777" s="5">
        <v>1716</v>
      </c>
      <c r="B1777" s="138">
        <f>'Tax Sched 23'!C5</f>
        <v>1407022</v>
      </c>
      <c r="D1777" s="2" t="str">
        <f t="shared" si="26"/>
        <v>Error?</v>
      </c>
    </row>
    <row r="1778" spans="1:4" x14ac:dyDescent="0.2">
      <c r="A1778" s="5">
        <v>1717</v>
      </c>
      <c r="B1778" s="138">
        <f>'Tax Sched 23'!C6</f>
        <v>0</v>
      </c>
      <c r="D1778" s="2" t="str">
        <f t="shared" si="26"/>
        <v>Error?</v>
      </c>
    </row>
    <row r="1779" spans="1:4" x14ac:dyDescent="0.2">
      <c r="A1779" s="5">
        <v>1718</v>
      </c>
      <c r="B1779" s="138">
        <f>'Tax Sched 23'!C7</f>
        <v>393966</v>
      </c>
      <c r="D1779" s="2" t="str">
        <f t="shared" si="26"/>
        <v>Error?</v>
      </c>
    </row>
    <row r="1780" spans="1:4" x14ac:dyDescent="0.2">
      <c r="A1780" s="5">
        <v>1719</v>
      </c>
      <c r="B1780" s="138">
        <f>'Tax Sched 23'!C8</f>
        <v>306987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18225055</v>
      </c>
      <c r="C1791" s="2" t="s">
        <v>573</v>
      </c>
      <c r="D1791" s="2" t="str">
        <f t="shared" ref="D1791:D1854" si="27">IF(ISBLANK(B1791),"OK",IF(A1791-B1791=0,"OK","Error?"))</f>
        <v>Error?</v>
      </c>
    </row>
    <row r="1792" spans="1:4" x14ac:dyDescent="0.2">
      <c r="A1792" s="5">
        <v>1731</v>
      </c>
      <c r="B1792" s="138">
        <f>'Tax Sched 23'!F4</f>
        <v>15048942</v>
      </c>
      <c r="C1792" s="2" t="s">
        <v>573</v>
      </c>
      <c r="D1792" s="2" t="str">
        <f t="shared" si="27"/>
        <v>Error?</v>
      </c>
    </row>
    <row r="1793" spans="1:4" x14ac:dyDescent="0.2">
      <c r="A1793" s="5">
        <v>1732</v>
      </c>
      <c r="B1793" s="138">
        <f>'Tax Sched 23'!F5</f>
        <v>1342978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376034</v>
      </c>
      <c r="C1795" s="2" t="s">
        <v>573</v>
      </c>
      <c r="D1795" s="2" t="str">
        <f t="shared" si="27"/>
        <v>Error?</v>
      </c>
    </row>
    <row r="1796" spans="1:4" x14ac:dyDescent="0.2">
      <c r="A1796" s="5">
        <v>1735</v>
      </c>
      <c r="B1796" s="138">
        <f>'Tax Sched 23'!F8</f>
        <v>293013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17395491</v>
      </c>
      <c r="C1807" s="2" t="s">
        <v>573</v>
      </c>
      <c r="D1807" s="2" t="str">
        <f t="shared" si="27"/>
        <v>Error?</v>
      </c>
    </row>
    <row r="1808" spans="1:4" x14ac:dyDescent="0.2">
      <c r="A1808" s="5">
        <v>1747</v>
      </c>
      <c r="B1808" s="138">
        <f>'Tax Sched 23'!E4</f>
        <v>30815546</v>
      </c>
      <c r="D1808" s="2" t="str">
        <f t="shared" si="27"/>
        <v>Error?</v>
      </c>
    </row>
    <row r="1809" spans="1:4" x14ac:dyDescent="0.2">
      <c r="A1809" s="5">
        <v>1748</v>
      </c>
      <c r="B1809" s="138">
        <f>'Tax Sched 23'!E5</f>
        <v>2750000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770000</v>
      </c>
      <c r="D1811" s="2" t="str">
        <f t="shared" si="27"/>
        <v>Error?</v>
      </c>
    </row>
    <row r="1812" spans="1:4" x14ac:dyDescent="0.2">
      <c r="A1812" s="5">
        <v>1751</v>
      </c>
      <c r="B1812" s="138">
        <f>'Tax Sched 23'!E8</f>
        <v>600000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35620546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678040</v>
      </c>
      <c r="D2008" s="2" t="str">
        <f t="shared" si="30"/>
        <v>Error?</v>
      </c>
    </row>
    <row r="2009" spans="1:4" x14ac:dyDescent="0.2">
      <c r="A2009" s="5">
        <v>1948</v>
      </c>
      <c r="B2009" s="138">
        <f>'Cap Outlay Deprec 26'!C8</f>
        <v>55571385</v>
      </c>
      <c r="D2009" s="2" t="str">
        <f t="shared" si="30"/>
        <v>Error?</v>
      </c>
    </row>
    <row r="2010" spans="1:4" x14ac:dyDescent="0.2">
      <c r="A2010" s="5">
        <v>1949</v>
      </c>
      <c r="B2010" s="138">
        <f>'Cap Outlay Deprec 26'!C10</f>
        <v>793484</v>
      </c>
      <c r="D2010" s="2" t="str">
        <f t="shared" si="30"/>
        <v>Error?</v>
      </c>
    </row>
    <row r="2011" spans="1:4" x14ac:dyDescent="0.2">
      <c r="A2011" s="5">
        <v>1950</v>
      </c>
      <c r="B2011" s="138">
        <f>'Cap Outlay Deprec 26'!C12</f>
        <v>10174255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67217164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209115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165170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374285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60628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60628</v>
      </c>
      <c r="C2025" s="2" t="s">
        <v>573</v>
      </c>
      <c r="D2025" s="2" t="str">
        <f t="shared" si="30"/>
        <v>Error?</v>
      </c>
    </row>
    <row r="2026" spans="1:4" x14ac:dyDescent="0.2">
      <c r="A2026" s="5">
        <v>1965</v>
      </c>
      <c r="B2026" s="138">
        <f>'Cap Outlay Deprec 26'!F5</f>
        <v>678040</v>
      </c>
      <c r="C2026" s="2" t="s">
        <v>573</v>
      </c>
      <c r="D2026" s="2" t="str">
        <f t="shared" si="30"/>
        <v>Error?</v>
      </c>
    </row>
    <row r="2027" spans="1:4" x14ac:dyDescent="0.2">
      <c r="A2027" s="5">
        <v>1966</v>
      </c>
      <c r="B2027" s="138">
        <f>'Cap Outlay Deprec 26'!F8</f>
        <v>55780500</v>
      </c>
      <c r="C2027" s="2" t="s">
        <v>573</v>
      </c>
      <c r="D2027" s="2" t="str">
        <f t="shared" si="30"/>
        <v>Error?</v>
      </c>
    </row>
    <row r="2028" spans="1:4" x14ac:dyDescent="0.2">
      <c r="A2028" s="5">
        <v>1967</v>
      </c>
      <c r="B2028" s="138">
        <f>'Cap Outlay Deprec 26'!F10</f>
        <v>793484</v>
      </c>
      <c r="C2028" s="2" t="s">
        <v>573</v>
      </c>
      <c r="D2028" s="2" t="str">
        <f t="shared" si="30"/>
        <v>Error?</v>
      </c>
    </row>
    <row r="2029" spans="1:4" x14ac:dyDescent="0.2">
      <c r="A2029" s="5">
        <v>1968</v>
      </c>
      <c r="B2029" s="138">
        <f>'Cap Outlay Deprec 26'!F12</f>
        <v>10278797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67530821</v>
      </c>
      <c r="C2031" s="2" t="s">
        <v>573</v>
      </c>
      <c r="D2031" s="2" t="str">
        <f t="shared" si="30"/>
        <v>Error?</v>
      </c>
    </row>
    <row r="2032" spans="1:4" x14ac:dyDescent="0.2">
      <c r="A2032" s="10">
        <v>1971</v>
      </c>
      <c r="D2032" s="2" t="str">
        <f t="shared" si="30"/>
        <v>OK</v>
      </c>
    </row>
    <row r="2033" spans="1:4" x14ac:dyDescent="0.2">
      <c r="A2033" s="5">
        <v>1972</v>
      </c>
      <c r="B2033" s="138">
        <f>'Cap Outlay Deprec 26'!H8</f>
        <v>21825929</v>
      </c>
      <c r="D2033" s="2" t="str">
        <f t="shared" si="30"/>
        <v>Error?</v>
      </c>
    </row>
    <row r="2034" spans="1:4" x14ac:dyDescent="0.2">
      <c r="A2034" s="5">
        <v>1973</v>
      </c>
      <c r="B2034" s="138">
        <f>'Cap Outlay Deprec 26'!H10</f>
        <v>615689</v>
      </c>
      <c r="D2034" s="2" t="str">
        <f t="shared" si="30"/>
        <v>Error?</v>
      </c>
    </row>
    <row r="2035" spans="1:4" x14ac:dyDescent="0.2">
      <c r="A2035" s="5">
        <v>1974</v>
      </c>
      <c r="B2035" s="138">
        <f>'Cap Outlay Deprec 26'!H12</f>
        <v>8328302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30769920</v>
      </c>
      <c r="C2037" s="2" t="s">
        <v>573</v>
      </c>
      <c r="D2037" s="2" t="str">
        <f t="shared" si="30"/>
        <v>Error?</v>
      </c>
    </row>
    <row r="2038" spans="1:4" x14ac:dyDescent="0.2">
      <c r="A2038" s="10">
        <v>1977</v>
      </c>
      <c r="D2038" s="2" t="str">
        <f t="shared" si="30"/>
        <v>OK</v>
      </c>
    </row>
    <row r="2039" spans="1:4" x14ac:dyDescent="0.2">
      <c r="A2039" s="5">
        <v>1978</v>
      </c>
      <c r="B2039" s="138">
        <f>'Cap Outlay Deprec 26'!I8</f>
        <v>1290719</v>
      </c>
      <c r="D2039" s="2" t="str">
        <f t="shared" si="30"/>
        <v>Error?</v>
      </c>
    </row>
    <row r="2040" spans="1:4" x14ac:dyDescent="0.2">
      <c r="A2040" s="5">
        <v>1979</v>
      </c>
      <c r="B2040" s="138">
        <f>'Cap Outlay Deprec 26'!I10</f>
        <v>10282</v>
      </c>
      <c r="D2040" s="2" t="str">
        <f t="shared" si="30"/>
        <v>Error?</v>
      </c>
    </row>
    <row r="2041" spans="1:4" x14ac:dyDescent="0.2">
      <c r="A2041" s="5">
        <v>1980</v>
      </c>
      <c r="B2041" s="138">
        <f>'Cap Outlay Deprec 26'!I12</f>
        <v>296633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1597634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48037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48037</v>
      </c>
      <c r="C2049" s="2" t="s">
        <v>573</v>
      </c>
      <c r="D2049" s="2" t="str">
        <f t="shared" si="31"/>
        <v>Error?</v>
      </c>
    </row>
    <row r="2050" spans="1:4" x14ac:dyDescent="0.2">
      <c r="A2050" s="10">
        <v>1989</v>
      </c>
      <c r="D2050" s="2" t="str">
        <f t="shared" si="31"/>
        <v>OK</v>
      </c>
    </row>
    <row r="2051" spans="1:4" x14ac:dyDescent="0.2">
      <c r="A2051" s="5">
        <v>1990</v>
      </c>
      <c r="B2051" s="138">
        <f>'Cap Outlay Deprec 26'!K8</f>
        <v>23116648</v>
      </c>
      <c r="C2051" s="2" t="s">
        <v>573</v>
      </c>
      <c r="D2051" s="2" t="str">
        <f t="shared" si="31"/>
        <v>Error?</v>
      </c>
    </row>
    <row r="2052" spans="1:4" x14ac:dyDescent="0.2">
      <c r="A2052" s="5">
        <v>1991</v>
      </c>
      <c r="B2052" s="138">
        <f>'Cap Outlay Deprec 26'!K10</f>
        <v>625971</v>
      </c>
      <c r="C2052" s="2" t="s">
        <v>573</v>
      </c>
      <c r="D2052" s="2" t="str">
        <f t="shared" si="31"/>
        <v>Error?</v>
      </c>
    </row>
    <row r="2053" spans="1:4" x14ac:dyDescent="0.2">
      <c r="A2053" s="5">
        <v>1992</v>
      </c>
      <c r="B2053" s="138">
        <f>'Cap Outlay Deprec 26'!K12</f>
        <v>8576898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32319517</v>
      </c>
      <c r="C2055" s="2" t="s">
        <v>573</v>
      </c>
      <c r="D2055" s="2" t="str">
        <f t="shared" si="31"/>
        <v>Error?</v>
      </c>
    </row>
    <row r="2056" spans="1:4" x14ac:dyDescent="0.2">
      <c r="A2056" s="5">
        <v>1995</v>
      </c>
      <c r="B2056" s="138">
        <f>'Cap Outlay Deprec 26'!L5</f>
        <v>678040</v>
      </c>
      <c r="C2056" s="2" t="s">
        <v>573</v>
      </c>
      <c r="D2056" s="2" t="str">
        <f t="shared" si="31"/>
        <v>Error?</v>
      </c>
    </row>
    <row r="2057" spans="1:4" x14ac:dyDescent="0.2">
      <c r="A2057" s="5">
        <v>1996</v>
      </c>
      <c r="B2057" s="138">
        <f>'Cap Outlay Deprec 26'!L8</f>
        <v>32663852</v>
      </c>
      <c r="C2057" s="2" t="s">
        <v>573</v>
      </c>
      <c r="D2057" s="2" t="str">
        <f t="shared" si="31"/>
        <v>Error?</v>
      </c>
    </row>
    <row r="2058" spans="1:4" x14ac:dyDescent="0.2">
      <c r="A2058" s="5">
        <v>1997</v>
      </c>
      <c r="B2058" s="138">
        <f>'Cap Outlay Deprec 26'!L10</f>
        <v>167513</v>
      </c>
      <c r="C2058" s="2" t="s">
        <v>573</v>
      </c>
      <c r="D2058" s="2" t="str">
        <f t="shared" si="31"/>
        <v>Error?</v>
      </c>
    </row>
    <row r="2059" spans="1:4" x14ac:dyDescent="0.2">
      <c r="A2059" s="5">
        <v>1998</v>
      </c>
      <c r="B2059" s="138">
        <f>'Cap Outlay Deprec 26'!L12</f>
        <v>1701899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35211304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878381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1190482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152965</v>
      </c>
      <c r="D2435" s="2" t="str">
        <f t="shared" si="37"/>
        <v>Error?</v>
      </c>
    </row>
    <row r="2436" spans="1:4" x14ac:dyDescent="0.2">
      <c r="A2436" s="10">
        <v>2375</v>
      </c>
      <c r="D2436" s="2" t="str">
        <f t="shared" si="37"/>
        <v>OK</v>
      </c>
    </row>
    <row r="2437" spans="1:4" x14ac:dyDescent="0.2">
      <c r="A2437" s="5">
        <v>2376</v>
      </c>
      <c r="B2437" s="138">
        <f>'Assets-Liab 5-6'!D38</f>
        <v>1728044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436794</v>
      </c>
      <c r="D2475" s="2" t="str">
        <f t="shared" si="37"/>
        <v>Error?</v>
      </c>
    </row>
    <row r="2476" spans="1:4" x14ac:dyDescent="0.2">
      <c r="A2476" s="10">
        <v>2415</v>
      </c>
      <c r="D2476" s="2" t="str">
        <f t="shared" si="37"/>
        <v>OK</v>
      </c>
    </row>
    <row r="2477" spans="1:4" x14ac:dyDescent="0.2">
      <c r="A2477" s="5">
        <v>2416</v>
      </c>
      <c r="B2477" s="138">
        <f>'Assets-Liab 5-6'!G38</f>
        <v>908799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31874952</v>
      </c>
      <c r="C2551" s="2" t="s">
        <v>573</v>
      </c>
      <c r="D2551" s="2" t="str">
        <f t="shared" si="38"/>
        <v>Error?</v>
      </c>
    </row>
    <row r="2552" spans="1:4" x14ac:dyDescent="0.2">
      <c r="A2552" s="10">
        <v>2491</v>
      </c>
      <c r="D2552" s="2" t="str">
        <f t="shared" si="38"/>
        <v>OK</v>
      </c>
    </row>
    <row r="2553" spans="1:4" x14ac:dyDescent="0.2">
      <c r="A2553" s="5">
        <v>2492</v>
      </c>
      <c r="B2553" s="138">
        <f>'Acct Summary 7-8'!C6</f>
        <v>1064395</v>
      </c>
      <c r="C2553" s="2" t="s">
        <v>573</v>
      </c>
      <c r="D2553" s="2" t="str">
        <f t="shared" si="38"/>
        <v>Error?</v>
      </c>
    </row>
    <row r="2554" spans="1:4" x14ac:dyDescent="0.2">
      <c r="A2554" s="5">
        <v>2493</v>
      </c>
      <c r="B2554" s="138">
        <f>'Acct Summary 7-8'!C7</f>
        <v>637085</v>
      </c>
      <c r="C2554" s="2" t="s">
        <v>573</v>
      </c>
      <c r="D2554" s="2" t="str">
        <f t="shared" si="38"/>
        <v>Error?</v>
      </c>
    </row>
    <row r="2555" spans="1:4" x14ac:dyDescent="0.2">
      <c r="A2555" s="5">
        <v>2494</v>
      </c>
      <c r="B2555" s="138">
        <f>'Acct Summary 7-8'!C8</f>
        <v>33576432</v>
      </c>
      <c r="C2555" s="2" t="s">
        <v>573</v>
      </c>
      <c r="D2555" s="2" t="str">
        <f t="shared" si="38"/>
        <v>Error?</v>
      </c>
    </row>
    <row r="2556" spans="1:4" x14ac:dyDescent="0.2">
      <c r="A2556" s="5">
        <v>2495</v>
      </c>
      <c r="B2556" s="138">
        <f>'Acct Summary 7-8'!C12</f>
        <v>24145119</v>
      </c>
      <c r="C2556" s="2" t="s">
        <v>573</v>
      </c>
      <c r="D2556" s="2" t="str">
        <f t="shared" si="38"/>
        <v>Error?</v>
      </c>
    </row>
    <row r="2557" spans="1:4" x14ac:dyDescent="0.2">
      <c r="A2557" s="5">
        <v>2496</v>
      </c>
      <c r="B2557" s="138">
        <f>'Acct Summary 7-8'!C13</f>
        <v>8509651</v>
      </c>
      <c r="C2557" s="2" t="s">
        <v>573</v>
      </c>
      <c r="D2557" s="2" t="str">
        <f t="shared" si="38"/>
        <v>Error?</v>
      </c>
    </row>
    <row r="2558" spans="1:4" x14ac:dyDescent="0.2">
      <c r="A2558" s="5">
        <v>2497</v>
      </c>
      <c r="B2558" s="138">
        <f>'Acct Summary 7-8'!C14</f>
        <v>198904</v>
      </c>
      <c r="C2558" s="2" t="s">
        <v>573</v>
      </c>
      <c r="D2558" s="2" t="str">
        <f t="shared" si="38"/>
        <v>Error?</v>
      </c>
    </row>
    <row r="2559" spans="1:4" x14ac:dyDescent="0.2">
      <c r="A2559" s="5">
        <v>2498</v>
      </c>
      <c r="B2559" s="138">
        <f>'Acct Summary 7-8'!C15</f>
        <v>1190482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34044156</v>
      </c>
      <c r="C2561" s="2" t="s">
        <v>573</v>
      </c>
      <c r="D2561" s="2" t="str">
        <f t="shared" si="39"/>
        <v>Error?</v>
      </c>
    </row>
    <row r="2562" spans="1:4" x14ac:dyDescent="0.2">
      <c r="A2562" s="5">
        <v>2501</v>
      </c>
      <c r="B2562" s="138">
        <f>'Acct Summary 7-8'!C20</f>
        <v>-467724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2862914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2862914</v>
      </c>
      <c r="C2568" s="2" t="s">
        <v>573</v>
      </c>
      <c r="D2568" s="2" t="str">
        <f t="shared" si="39"/>
        <v>Error?</v>
      </c>
    </row>
    <row r="2569" spans="1:4" x14ac:dyDescent="0.2">
      <c r="A2569" s="5">
        <v>2508</v>
      </c>
      <c r="B2569" s="138">
        <f>'Acct Summary 7-8'!D13</f>
        <v>2604535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2604535</v>
      </c>
      <c r="C2573" s="2" t="s">
        <v>573</v>
      </c>
      <c r="D2573" s="2" t="str">
        <f t="shared" si="39"/>
        <v>Error?</v>
      </c>
    </row>
    <row r="2574" spans="1:4" x14ac:dyDescent="0.2">
      <c r="A2574" s="5">
        <v>2513</v>
      </c>
      <c r="B2574" s="138">
        <f>'Acct Summary 7-8'!D20</f>
        <v>258379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924771</v>
      </c>
      <c r="C2591" s="2" t="s">
        <v>573</v>
      </c>
      <c r="D2591" s="2" t="str">
        <f t="shared" si="39"/>
        <v>Error?</v>
      </c>
    </row>
    <row r="2592" spans="1:4" x14ac:dyDescent="0.2">
      <c r="A2592" s="10">
        <v>2531</v>
      </c>
      <c r="D2592" s="2" t="str">
        <f t="shared" si="39"/>
        <v>OK</v>
      </c>
    </row>
    <row r="2593" spans="1:4" x14ac:dyDescent="0.2">
      <c r="A2593" s="5">
        <v>2532</v>
      </c>
      <c r="B2593" s="138">
        <f>'Acct Summary 7-8'!F6</f>
        <v>230616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1155387</v>
      </c>
      <c r="C2595" s="2" t="s">
        <v>573</v>
      </c>
      <c r="D2595" s="2" t="str">
        <f t="shared" si="39"/>
        <v>Error?</v>
      </c>
    </row>
    <row r="2596" spans="1:4" x14ac:dyDescent="0.2">
      <c r="A2596" s="5">
        <v>2535</v>
      </c>
      <c r="B2596" s="138">
        <f>'Acct Summary 7-8'!F13</f>
        <v>1254139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1254139</v>
      </c>
      <c r="C2600" s="2" t="s">
        <v>573</v>
      </c>
      <c r="D2600" s="2" t="str">
        <f t="shared" si="39"/>
        <v>Error?</v>
      </c>
    </row>
    <row r="2601" spans="1:4" x14ac:dyDescent="0.2">
      <c r="A2601" s="5">
        <v>2540</v>
      </c>
      <c r="B2601" s="138">
        <f>'Acct Summary 7-8'!F20</f>
        <v>-98752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1323373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1323373</v>
      </c>
      <c r="C2606" s="2" t="s">
        <v>573</v>
      </c>
      <c r="D2606" s="2" t="str">
        <f t="shared" si="39"/>
        <v>Error?</v>
      </c>
    </row>
    <row r="2607" spans="1:4" x14ac:dyDescent="0.2">
      <c r="A2607" s="5">
        <v>2546</v>
      </c>
      <c r="B2607" s="138">
        <f>'Acct Summary 7-8'!G12</f>
        <v>614643</v>
      </c>
      <c r="C2607" s="2" t="s">
        <v>573</v>
      </c>
      <c r="D2607" s="2" t="str">
        <f t="shared" si="39"/>
        <v>Error?</v>
      </c>
    </row>
    <row r="2608" spans="1:4" x14ac:dyDescent="0.2">
      <c r="A2608" s="5">
        <v>2547</v>
      </c>
      <c r="B2608" s="138">
        <f>'Acct Summary 7-8'!G13</f>
        <v>609522</v>
      </c>
      <c r="C2608" s="2" t="s">
        <v>573</v>
      </c>
      <c r="D2608" s="2" t="str">
        <f t="shared" si="39"/>
        <v>Error?</v>
      </c>
    </row>
    <row r="2609" spans="1:4" x14ac:dyDescent="0.2">
      <c r="A2609" s="5">
        <v>2548</v>
      </c>
      <c r="B2609" s="138">
        <f>'Acct Summary 7-8'!G14</f>
        <v>24149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1248314</v>
      </c>
      <c r="C2612" s="2" t="s">
        <v>573</v>
      </c>
      <c r="D2612" s="2" t="str">
        <f t="shared" si="39"/>
        <v>Error?</v>
      </c>
    </row>
    <row r="2613" spans="1:4" x14ac:dyDescent="0.2">
      <c r="A2613" s="5">
        <v>2552</v>
      </c>
      <c r="B2613" s="138">
        <f>'Acct Summary 7-8'!G20</f>
        <v>75059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905402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905402</v>
      </c>
      <c r="C2661" s="2" t="s">
        <v>573</v>
      </c>
      <c r="D2661" s="2" t="str">
        <f t="shared" si="40"/>
        <v>Error?</v>
      </c>
    </row>
    <row r="2662" spans="1:4" x14ac:dyDescent="0.2">
      <c r="A2662" s="5">
        <v>2601</v>
      </c>
      <c r="B2662" s="138">
        <f>'Acct Summary 7-8'!H20</f>
        <v>-905402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905402</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312101</v>
      </c>
      <c r="C2789" s="2" t="s">
        <v>573</v>
      </c>
      <c r="D2789" s="2" t="str">
        <f t="shared" si="42"/>
        <v>Error?</v>
      </c>
    </row>
    <row r="2790" spans="1:4" x14ac:dyDescent="0.2">
      <c r="A2790" s="5">
        <v>2729</v>
      </c>
      <c r="B2790" s="138">
        <f>'Expenditures 15-22'!E102</f>
        <v>312101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905402</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6489363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44469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6489363</v>
      </c>
      <c r="D2912" s="2" t="str">
        <f t="shared" si="44"/>
        <v>Error?</v>
      </c>
    </row>
    <row r="2913" spans="1:4" x14ac:dyDescent="0.2">
      <c r="A2913" s="5">
        <v>2852</v>
      </c>
      <c r="B2913" s="138">
        <f>'Assets-Liab 5-6'!I41</f>
        <v>6489363</v>
      </c>
      <c r="C2913" s="2" t="s">
        <v>573</v>
      </c>
      <c r="D2913" s="2" t="str">
        <f t="shared" si="44"/>
        <v>Error?</v>
      </c>
    </row>
    <row r="2914" spans="1:4" x14ac:dyDescent="0.2">
      <c r="A2914" s="5">
        <v>2853</v>
      </c>
      <c r="B2914" s="138">
        <f>'Assets-Liab 5-6'!L33</f>
        <v>44469</v>
      </c>
      <c r="D2914" s="2" t="str">
        <f t="shared" si="44"/>
        <v>Error?</v>
      </c>
    </row>
    <row r="2915" spans="1:4" x14ac:dyDescent="0.2">
      <c r="A2915" s="10">
        <v>2854</v>
      </c>
      <c r="D2915" s="2" t="str">
        <f t="shared" si="44"/>
        <v>OK</v>
      </c>
    </row>
    <row r="2916" spans="1:4" x14ac:dyDescent="0.2">
      <c r="A2916" s="5">
        <v>2855</v>
      </c>
      <c r="B2916" s="138">
        <f>'Assets-Liab 5-6'!L34</f>
        <v>44469</v>
      </c>
      <c r="C2916" s="2" t="s">
        <v>573</v>
      </c>
      <c r="D2916" s="2" t="str">
        <f t="shared" si="44"/>
        <v>Error?</v>
      </c>
    </row>
    <row r="2917" spans="1:4" x14ac:dyDescent="0.2">
      <c r="A2917" s="5">
        <v>2856</v>
      </c>
      <c r="B2917" s="138">
        <f>'Assets-Liab 5-6'!L41</f>
        <v>44469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312101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878381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1190482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148859</v>
      </c>
      <c r="C3225" s="2" t="s">
        <v>573</v>
      </c>
      <c r="D3225" s="2" t="str">
        <f t="shared" si="49"/>
        <v>Error?</v>
      </c>
    </row>
    <row r="3226" spans="1:4" x14ac:dyDescent="0.2">
      <c r="A3226" s="5">
        <v>3165</v>
      </c>
      <c r="B3226" s="138">
        <f>'Acct Summary 7-8'!I8</f>
        <v>148859</v>
      </c>
      <c r="C3226" s="2" t="s">
        <v>573</v>
      </c>
      <c r="D3226" s="2" t="str">
        <f t="shared" si="49"/>
        <v>Error?</v>
      </c>
    </row>
    <row r="3227" spans="1:4" x14ac:dyDescent="0.2">
      <c r="A3227" s="5">
        <v>3166</v>
      </c>
      <c r="B3227" s="138">
        <f>'Acct Summary 7-8'!I20</f>
        <v>148859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-467724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905402</v>
      </c>
      <c r="C3237" s="2" t="s">
        <v>573</v>
      </c>
      <c r="D3237" s="2" t="str">
        <f t="shared" si="49"/>
        <v>Error?</v>
      </c>
    </row>
    <row r="3238" spans="1:4" x14ac:dyDescent="0.2">
      <c r="A3238" s="5">
        <v>3177</v>
      </c>
      <c r="B3238" s="138">
        <f>'Acct Summary 7-8'!D77</f>
        <v>-905402</v>
      </c>
      <c r="C3238" s="2" t="s">
        <v>573</v>
      </c>
      <c r="D3238" s="2" t="str">
        <f t="shared" si="49"/>
        <v>Error?</v>
      </c>
    </row>
    <row r="3239" spans="1:4" x14ac:dyDescent="0.2">
      <c r="A3239" s="5">
        <v>3178</v>
      </c>
      <c r="B3239" s="138">
        <f>'Acct Summary 7-8'!D78</f>
        <v>-647023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-98752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75059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905402</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905402</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148859</v>
      </c>
      <c r="C3320" s="2" t="s">
        <v>573</v>
      </c>
      <c r="D3320" s="2" t="str">
        <f t="shared" si="50"/>
        <v>Error?</v>
      </c>
    </row>
    <row r="3321" spans="1:4" x14ac:dyDescent="0.2">
      <c r="A3321" s="5">
        <v>3260</v>
      </c>
      <c r="B3321" s="138">
        <f>'Acct Summary 7-8'!I79</f>
        <v>6340504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6489363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2421496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658796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97031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3180722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373094</v>
      </c>
      <c r="D3387" s="2" t="str">
        <f t="shared" si="51"/>
        <v>Error?</v>
      </c>
    </row>
    <row r="3388" spans="1:4" x14ac:dyDescent="0.2">
      <c r="A3388" s="5">
        <v>3327</v>
      </c>
      <c r="B3388" s="138">
        <f>'Expenditures 15-22'!D217</f>
        <v>185266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373094</v>
      </c>
      <c r="C3390" s="2" t="s">
        <v>573</v>
      </c>
      <c r="D3390" s="2" t="str">
        <f t="shared" si="51"/>
        <v>Error?</v>
      </c>
    </row>
    <row r="3391" spans="1:4" x14ac:dyDescent="0.2">
      <c r="A3391" s="5">
        <v>3330</v>
      </c>
      <c r="B3391" s="138">
        <f>'Expenditures 15-22'!K217</f>
        <v>185266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11848385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1738272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393783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908799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439080</v>
      </c>
      <c r="D3425" s="2" t="str">
        <f t="shared" si="52"/>
        <v>Error?</v>
      </c>
    </row>
    <row r="3426" spans="1:4" x14ac:dyDescent="0.2">
      <c r="A3426" s="10">
        <v>3365</v>
      </c>
      <c r="D3426" s="2" t="str">
        <f t="shared" si="52"/>
        <v>OK</v>
      </c>
    </row>
    <row r="3427" spans="1:4" x14ac:dyDescent="0.2">
      <c r="A3427" s="5">
        <v>3366</v>
      </c>
      <c r="B3427" s="138">
        <f>'Assets-Liab 5-6'!I4</f>
        <v>6489363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44469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661633</v>
      </c>
      <c r="C3446" s="2" t="s">
        <v>573</v>
      </c>
      <c r="D3446" s="2" t="str">
        <f t="shared" si="52"/>
        <v>Error?</v>
      </c>
    </row>
    <row r="3447" spans="1:4" x14ac:dyDescent="0.2">
      <c r="A3447" s="5">
        <v>3386</v>
      </c>
      <c r="B3447" s="138">
        <f>'Tax Sched 23'!D16</f>
        <v>311157</v>
      </c>
      <c r="C3447" s="2" t="s">
        <v>573</v>
      </c>
      <c r="D3447" s="2" t="str">
        <f t="shared" si="52"/>
        <v>Error?</v>
      </c>
    </row>
    <row r="3448" spans="1:4" x14ac:dyDescent="0.2">
      <c r="A3448" s="5">
        <v>3387</v>
      </c>
      <c r="B3448" s="138">
        <f>'Tax Sched 23'!C16</f>
        <v>350476</v>
      </c>
      <c r="D3448" s="2" t="str">
        <f t="shared" si="52"/>
        <v>Error?</v>
      </c>
    </row>
    <row r="3449" spans="1:4" x14ac:dyDescent="0.2">
      <c r="A3449" s="5">
        <v>3388</v>
      </c>
      <c r="B3449" s="138">
        <f>'Tax Sched 23'!F16</f>
        <v>334524</v>
      </c>
      <c r="C3449" s="2" t="s">
        <v>573</v>
      </c>
      <c r="D3449" s="2" t="str">
        <f t="shared" si="52"/>
        <v>Error?</v>
      </c>
    </row>
    <row r="3450" spans="1:4" x14ac:dyDescent="0.2">
      <c r="A3450" s="5">
        <v>3389</v>
      </c>
      <c r="B3450" s="138">
        <f>'Tax Sched 23'!E16</f>
        <v>685000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326425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13735559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47311991</v>
      </c>
      <c r="C4122" s="2" t="s">
        <v>573</v>
      </c>
      <c r="D4122" s="2" t="str">
        <f t="shared" si="63"/>
        <v>Error?</v>
      </c>
    </row>
    <row r="4123" spans="1:4" x14ac:dyDescent="0.2">
      <c r="A4123" s="5">
        <v>4062</v>
      </c>
      <c r="B4123" s="138">
        <f>'Acct Summary 7-8'!D10</f>
        <v>2862914</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1155387</v>
      </c>
      <c r="C4125" s="2" t="s">
        <v>573</v>
      </c>
      <c r="D4125" s="2" t="str">
        <f t="shared" si="63"/>
        <v>Error?</v>
      </c>
    </row>
    <row r="4126" spans="1:4" x14ac:dyDescent="0.2">
      <c r="A4126" s="5">
        <v>4065</v>
      </c>
      <c r="B4126" s="138">
        <f>'Acct Summary 7-8'!G10</f>
        <v>1323373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148859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13735559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47779715</v>
      </c>
      <c r="C4136" s="2" t="s">
        <v>573</v>
      </c>
      <c r="D4136" s="2" t="str">
        <f t="shared" si="63"/>
        <v>Error?</v>
      </c>
    </row>
    <row r="4137" spans="1:4" x14ac:dyDescent="0.2">
      <c r="A4137" s="5">
        <v>4076</v>
      </c>
      <c r="B4137" s="138">
        <f>'Acct Summary 7-8'!D19</f>
        <v>2604535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1254139</v>
      </c>
      <c r="C4139" s="2" t="s">
        <v>573</v>
      </c>
      <c r="D4139" s="2" t="str">
        <f t="shared" si="63"/>
        <v>Error?</v>
      </c>
    </row>
    <row r="4140" spans="1:4" x14ac:dyDescent="0.2">
      <c r="A4140" s="5">
        <v>4079</v>
      </c>
      <c r="B4140" s="138">
        <f>'Acct Summary 7-8'!G19</f>
        <v>1248314</v>
      </c>
      <c r="C4140" s="2" t="s">
        <v>573</v>
      </c>
      <c r="D4140" s="2" t="str">
        <f t="shared" si="63"/>
        <v>Error?</v>
      </c>
    </row>
    <row r="4141" spans="1:4" x14ac:dyDescent="0.2">
      <c r="A4141" s="5">
        <v>4080</v>
      </c>
      <c r="B4141" s="138">
        <f>'Acct Summary 7-8'!H19</f>
        <v>905402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2568.9</v>
      </c>
      <c r="C4265" s="2" t="s">
        <v>573</v>
      </c>
      <c r="D4265" s="2" t="str">
        <f t="shared" si="65"/>
        <v>Error?</v>
      </c>
      <c r="E4265" s="128"/>
    </row>
    <row r="4266" spans="1:5" x14ac:dyDescent="0.2">
      <c r="A4266" s="12">
        <v>4205</v>
      </c>
      <c r="B4266" s="138">
        <f>('FP Info 3'!F10)*100000</f>
        <v>229.20000000000002</v>
      </c>
      <c r="C4266" s="2" t="s">
        <v>573</v>
      </c>
      <c r="D4266" s="2" t="str">
        <f t="shared" si="65"/>
        <v>Error?</v>
      </c>
      <c r="E4266" s="128"/>
    </row>
    <row r="4267" spans="1:5" x14ac:dyDescent="0.2">
      <c r="A4267" s="12">
        <v>4206</v>
      </c>
      <c r="B4267" s="138">
        <f>('FP Info 3'!H10)*100000</f>
        <v>64.2</v>
      </c>
      <c r="C4267" s="2" t="s">
        <v>573</v>
      </c>
      <c r="D4267" s="2" t="str">
        <f t="shared" si="65"/>
        <v>Error?</v>
      </c>
      <c r="E4267" s="128"/>
    </row>
    <row r="4268" spans="1:5" x14ac:dyDescent="0.2">
      <c r="A4268" s="12">
        <v>4207</v>
      </c>
      <c r="B4268" s="138">
        <f>('FP Info 3'!J10)*100000</f>
        <v>2862</v>
      </c>
      <c r="C4268" s="2" t="s">
        <v>573</v>
      </c>
      <c r="D4268" s="2" t="str">
        <f t="shared" si="65"/>
        <v>Error?</v>
      </c>
    </row>
    <row r="4269" spans="1:5" x14ac:dyDescent="0.2">
      <c r="A4269" s="12">
        <v>4208</v>
      </c>
      <c r="B4269" s="138">
        <f>'FP Info 3'!J16</f>
        <v>20357525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16363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101663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1199569100</v>
      </c>
      <c r="D4995" s="2" t="str">
        <f t="shared" si="77"/>
        <v>Error?</v>
      </c>
    </row>
    <row r="4996" spans="1:4" x14ac:dyDescent="0.2">
      <c r="A4996" s="12">
        <v>4935</v>
      </c>
      <c r="B4996" s="138">
        <f>'FP Info 3'!H31</f>
        <v>82770267.900000006</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28830521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28830521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1101310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1101310</v>
      </c>
      <c r="C5071" s="2" t="s">
        <v>573</v>
      </c>
      <c r="D5071" s="2" t="str">
        <f t="shared" si="78"/>
        <v>Error?</v>
      </c>
    </row>
    <row r="5072" spans="1:4" x14ac:dyDescent="0.2">
      <c r="A5072" s="5">
        <v>5011</v>
      </c>
      <c r="B5072" s="138">
        <f>'Revenues 9-14'!C20</f>
        <v>3209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235199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143252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381660</v>
      </c>
      <c r="C5087" s="2" t="s">
        <v>573</v>
      </c>
      <c r="D5087" s="2" t="str">
        <f t="shared" si="78"/>
        <v>Error?</v>
      </c>
    </row>
    <row r="5088" spans="1:4" x14ac:dyDescent="0.2">
      <c r="A5088" s="5">
        <v>5027</v>
      </c>
      <c r="B5088" s="138">
        <f>'Revenues 9-14'!C65</f>
        <v>391665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391665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10755</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295424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66870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66870</v>
      </c>
      <c r="C5102" s="2" t="s">
        <v>573</v>
      </c>
      <c r="D5102" s="2" t="str">
        <f t="shared" si="78"/>
        <v>Error?</v>
      </c>
    </row>
    <row r="5103" spans="1:4" x14ac:dyDescent="0.2">
      <c r="A5103" s="5">
        <v>5042</v>
      </c>
      <c r="B5103" s="138">
        <f>'Revenues 9-14'!C84</f>
        <v>281059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281059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526443</v>
      </c>
      <c r="C5120" s="2" t="s">
        <v>573</v>
      </c>
      <c r="D5120" s="2" t="str">
        <f t="shared" si="79"/>
        <v>Error?</v>
      </c>
    </row>
    <row r="5121" spans="1:4" x14ac:dyDescent="0.2">
      <c r="A5121" s="5">
        <v>5060</v>
      </c>
      <c r="B5121" s="138">
        <f>'Revenues 9-14'!C109</f>
        <v>31874952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1050885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1050885</v>
      </c>
      <c r="C5132" s="2" t="s">
        <v>573</v>
      </c>
      <c r="D5132" s="2" t="str">
        <f t="shared" si="79"/>
        <v>Error?</v>
      </c>
    </row>
    <row r="5133" spans="1:4" x14ac:dyDescent="0.2">
      <c r="A5133" s="5">
        <v>5072</v>
      </c>
      <c r="B5133" s="138">
        <f>'Revenues 9-14'!C125</f>
        <v>11987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11987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13510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1064395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19054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19054</v>
      </c>
      <c r="C5246" s="2" t="s">
        <v>573</v>
      </c>
      <c r="D5246" s="2" t="str">
        <f t="shared" si="80"/>
        <v>Error?</v>
      </c>
    </row>
    <row r="5247" spans="1:4" x14ac:dyDescent="0.2">
      <c r="A5247" s="5">
        <v>5186</v>
      </c>
      <c r="B5247" s="138">
        <f>'Revenues 9-14'!C200</f>
        <v>103845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103845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8081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317998</v>
      </c>
      <c r="D5278" s="2" t="str">
        <f t="shared" si="81"/>
        <v>Error?</v>
      </c>
    </row>
    <row r="5279" spans="1:4" x14ac:dyDescent="0.2">
      <c r="A5279" s="5">
        <v>5218</v>
      </c>
      <c r="B5279" s="138">
        <f>'Revenues 9-14'!C214</f>
        <v>41497</v>
      </c>
      <c r="D5279" s="2" t="str">
        <f t="shared" si="81"/>
        <v>Error?</v>
      </c>
    </row>
    <row r="5280" spans="1:4" x14ac:dyDescent="0.2">
      <c r="A5280" s="5">
        <v>5219</v>
      </c>
      <c r="B5280" s="138">
        <f>'Revenues 9-14'!C215</f>
        <v>28584</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396160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637085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637085</v>
      </c>
      <c r="C5326" s="2" t="s">
        <v>573</v>
      </c>
      <c r="D5326" s="2" t="str">
        <f t="shared" si="82"/>
        <v>Error?</v>
      </c>
    </row>
    <row r="5327" spans="1:5" x14ac:dyDescent="0.2">
      <c r="A5327" s="5">
        <v>5266</v>
      </c>
      <c r="B5327" s="138">
        <f>'Revenues 9-14'!C268</f>
        <v>33576432</v>
      </c>
      <c r="C5327" s="2" t="s">
        <v>573</v>
      </c>
      <c r="D5327" s="2" t="str">
        <f t="shared" si="82"/>
        <v>Error?</v>
      </c>
    </row>
    <row r="5328" spans="1:5" x14ac:dyDescent="0.2">
      <c r="A5328" s="5">
        <v>5267</v>
      </c>
      <c r="B5328" s="138">
        <f>'Revenues 9-14'!D5</f>
        <v>2694402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2694402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53633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53633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41261</v>
      </c>
      <c r="D5349" s="2" t="str">
        <f t="shared" si="82"/>
        <v>Error?</v>
      </c>
    </row>
    <row r="5350" spans="1:4" x14ac:dyDescent="0.2">
      <c r="A5350" s="5">
        <v>5289</v>
      </c>
      <c r="B5350" s="138">
        <f>'Revenues 9-14'!D96</f>
        <v>73618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114879</v>
      </c>
      <c r="C5355" s="2" t="s">
        <v>573</v>
      </c>
      <c r="D5355" s="2" t="str">
        <f t="shared" si="82"/>
        <v>Error?</v>
      </c>
    </row>
    <row r="5356" spans="1:4" x14ac:dyDescent="0.2">
      <c r="A5356" s="5">
        <v>5295</v>
      </c>
      <c r="B5356" s="138">
        <f>'Revenues 9-14'!D109</f>
        <v>2862914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2862914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755003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755003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134383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19490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153873</v>
      </c>
      <c r="C5579" s="2" t="s">
        <v>573</v>
      </c>
      <c r="D5579" s="2" t="str">
        <f t="shared" si="86"/>
        <v>Error?</v>
      </c>
    </row>
    <row r="5580" spans="1:4" x14ac:dyDescent="0.2">
      <c r="A5580" s="5">
        <v>5519</v>
      </c>
      <c r="B5580" s="138">
        <f>'Revenues 9-14'!F65</f>
        <v>15895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15895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924771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8108</v>
      </c>
      <c r="D5615" s="2" t="str">
        <f t="shared" si="86"/>
        <v>Error?</v>
      </c>
    </row>
    <row r="5616" spans="1:4" x14ac:dyDescent="0.2">
      <c r="A5616" s="10">
        <v>5555</v>
      </c>
      <c r="D5616" s="2" t="str">
        <f t="shared" si="86"/>
        <v>OK</v>
      </c>
    </row>
    <row r="5617" spans="1:5" x14ac:dyDescent="0.2">
      <c r="A5617" s="5">
        <v>5556</v>
      </c>
      <c r="B5617" s="138">
        <f>'Revenues 9-14'!F153</f>
        <v>222508</v>
      </c>
      <c r="D5617" s="2" t="str">
        <f t="shared" si="86"/>
        <v>Error?</v>
      </c>
    </row>
    <row r="5618" spans="1:5" x14ac:dyDescent="0.2">
      <c r="A5618" s="5">
        <v>5557</v>
      </c>
      <c r="B5618" s="138">
        <f>'Revenues 9-14'!F155</f>
        <v>230616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230616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230616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1155387</v>
      </c>
      <c r="C5720" s="2" t="s">
        <v>573</v>
      </c>
      <c r="D5720" s="2" t="str">
        <f t="shared" si="88"/>
        <v>Error?</v>
      </c>
    </row>
    <row r="5721" spans="1:4" x14ac:dyDescent="0.2">
      <c r="A5721" s="5">
        <v>5660</v>
      </c>
      <c r="B5721" s="138">
        <f>'Revenues 9-14'!G5</f>
        <v>613392</v>
      </c>
      <c r="D5721" s="2" t="str">
        <f t="shared" si="88"/>
        <v>Error?</v>
      </c>
    </row>
    <row r="5722" spans="1:4" x14ac:dyDescent="0.2">
      <c r="A5722" s="5">
        <v>5661</v>
      </c>
      <c r="B5722" s="138">
        <f>'Revenues 9-14'!G7</f>
        <v>0</v>
      </c>
      <c r="D5722" s="2" t="str">
        <f t="shared" si="88"/>
        <v>Error?</v>
      </c>
    </row>
    <row r="5723" spans="1:4" x14ac:dyDescent="0.2">
      <c r="A5723" s="5">
        <v>5662</v>
      </c>
      <c r="B5723" s="138">
        <f>'Revenues 9-14'!G8</f>
        <v>661633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1275025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23348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1323373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148859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148859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148859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1323373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148859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284669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1721.8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58220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57077</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152965</v>
      </c>
      <c r="D6113" s="2" t="str">
        <f t="shared" si="94"/>
        <v>Error?</v>
      </c>
      <c r="E6113" s="2" t="s">
        <v>190</v>
      </c>
    </row>
    <row r="6114" spans="1:5" x14ac:dyDescent="0.2">
      <c r="A6114">
        <v>6053</v>
      </c>
      <c r="B6114" s="138">
        <f>'Assets-Liab 5-6'!D11</f>
        <v>20544</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239534</v>
      </c>
      <c r="D6142" s="2" t="str">
        <f t="shared" si="94"/>
        <v>Error?</v>
      </c>
      <c r="E6142" s="2" t="s">
        <v>190</v>
      </c>
    </row>
    <row r="6143" spans="1:5" x14ac:dyDescent="0.2">
      <c r="A6143">
        <v>6082</v>
      </c>
      <c r="B6143" s="138">
        <f>'Assets-Liab 5-6'!D27</f>
        <v>4850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14066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439080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116712</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25922</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-467724</v>
      </c>
      <c r="D6267" s="2" t="str">
        <f t="shared" si="96"/>
        <v>Error?</v>
      </c>
      <c r="E6267" s="2" t="s">
        <v>190</v>
      </c>
    </row>
    <row r="6268" spans="1:5" x14ac:dyDescent="0.2">
      <c r="A6268">
        <v>6207</v>
      </c>
      <c r="B6268" s="138">
        <f>'Acct Summary 7-8'!D82</f>
        <v>-647023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-98752</v>
      </c>
      <c r="D6270" s="2" t="str">
        <f t="shared" si="96"/>
        <v>Error?</v>
      </c>
      <c r="E6270" s="2" t="s">
        <v>190</v>
      </c>
    </row>
    <row r="6271" spans="1:5" x14ac:dyDescent="0.2">
      <c r="A6271">
        <v>6210</v>
      </c>
      <c r="B6271" s="138">
        <f>'Acct Summary 7-8'!G82</f>
        <v>75059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148859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-3.9965056081502998E-2</v>
      </c>
      <c r="D6276" s="2" t="str">
        <f t="shared" si="97"/>
        <v>Error?</v>
      </c>
      <c r="E6276" s="2" t="s">
        <v>190</v>
      </c>
    </row>
    <row r="6277" spans="1:5" x14ac:dyDescent="0.2">
      <c r="A6277">
        <v>6216</v>
      </c>
      <c r="B6277" s="138">
        <f>'Acct Summary 7-8'!D83</f>
        <v>-0.37442507250972779</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-0.22608369162580072</v>
      </c>
      <c r="D6279" s="2" t="str">
        <f t="shared" si="97"/>
        <v>Error?</v>
      </c>
      <c r="E6279" s="2" t="s">
        <v>190</v>
      </c>
    </row>
    <row r="6280" spans="1:5" x14ac:dyDescent="0.2">
      <c r="A6280">
        <v>6219</v>
      </c>
      <c r="B6280" s="138">
        <f>'Acct Summary 7-8'!G83</f>
        <v>8.2591420104995719E-2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2.2938923281067804E-2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523463</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759534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15661</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529740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1790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776985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15890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17173</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33063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9579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9579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5290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5290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327</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638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965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48897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825882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5562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5562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5562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5562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21451</v>
      </c>
      <c r="D7075" s="2" t="str">
        <f t="shared" si="109"/>
        <v>Error?</v>
      </c>
    </row>
    <row r="7076" spans="1:4" x14ac:dyDescent="0.2">
      <c r="A7076">
        <v>7015</v>
      </c>
      <c r="B7076" s="138">
        <f>'Expenditures 15-22'!K218</f>
        <v>21451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392331</v>
      </c>
      <c r="D7251" s="2" t="str">
        <f t="shared" si="112"/>
        <v>Error?</v>
      </c>
    </row>
    <row r="7252" spans="1:4" x14ac:dyDescent="0.2">
      <c r="A7252">
        <f t="shared" si="113"/>
        <v>7191</v>
      </c>
      <c r="B7252" s="138">
        <f>'Expenditures 15-22'!D9</f>
        <v>103933</v>
      </c>
      <c r="D7252" s="2" t="str">
        <f t="shared" si="112"/>
        <v>Error?</v>
      </c>
    </row>
    <row r="7253" spans="1:4" x14ac:dyDescent="0.2">
      <c r="A7253">
        <f t="shared" si="113"/>
        <v>7192</v>
      </c>
      <c r="B7253" s="138">
        <f>'Expenditures 15-22'!E9</f>
        <v>2752</v>
      </c>
      <c r="D7253" s="2" t="str">
        <f t="shared" si="112"/>
        <v>Error?</v>
      </c>
    </row>
    <row r="7254" spans="1:4" x14ac:dyDescent="0.2">
      <c r="A7254">
        <f t="shared" si="113"/>
        <v>7193</v>
      </c>
      <c r="B7254" s="138">
        <f>'Expenditures 15-22'!F9</f>
        <v>15063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831444</v>
      </c>
      <c r="D7624" s="2" t="str">
        <f t="shared" si="124"/>
        <v>Error?</v>
      </c>
      <c r="E7624" s="2" t="s">
        <v>19</v>
      </c>
    </row>
    <row r="7625" spans="1:5" x14ac:dyDescent="0.2">
      <c r="A7625">
        <f t="shared" si="123"/>
        <v>7564</v>
      </c>
      <c r="B7625" s="138">
        <f>'Cap Outlay Deprec 26'!I17</f>
        <v>83144.399999999994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1680778.4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242603</v>
      </c>
      <c r="D7759" s="2" t="str">
        <f t="shared" si="127"/>
        <v>Error?</v>
      </c>
      <c r="E7759" s="4" t="s">
        <v>1333</v>
      </c>
    </row>
    <row r="7760" spans="1:6" x14ac:dyDescent="0.2">
      <c r="A7760">
        <v>7699</v>
      </c>
      <c r="B7760" s="138">
        <f>'Aud Quest 2'!J90</f>
        <v>242604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4243038.3</v>
      </c>
      <c r="D7797" s="2" t="str">
        <f t="shared" si="127"/>
        <v>Error?</v>
      </c>
      <c r="E7797" s="4" t="s">
        <v>1904</v>
      </c>
    </row>
    <row r="7798" spans="1:5" x14ac:dyDescent="0.2">
      <c r="A7798">
        <v>7737</v>
      </c>
      <c r="B7798" s="138">
        <f>'Contracts Paid in CY 29'!F141</f>
        <v>575000</v>
      </c>
      <c r="D7798" s="2" t="str">
        <f t="shared" si="127"/>
        <v>Error?</v>
      </c>
      <c r="E7798" s="4" t="s">
        <v>1904</v>
      </c>
    </row>
    <row r="7799" spans="1:5" x14ac:dyDescent="0.2">
      <c r="A7799">
        <v>7738</v>
      </c>
      <c r="B7799" s="138">
        <f>'Contracts Paid in CY 29'!G141</f>
        <v>2040889.6699999997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D43" sqref="D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Northbrook SD 28</v>
      </c>
      <c r="B7" s="2401"/>
      <c r="C7" s="2401"/>
      <c r="D7" s="2402"/>
      <c r="E7" s="2403">
        <f>COVER!A13</f>
        <v>5016028002</v>
      </c>
      <c r="F7" s="2404"/>
      <c r="G7" s="2410" t="str">
        <f>COVER!T23</f>
        <v>065-033233</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Lauterbach &amp; Amen, LLP</v>
      </c>
      <c r="H9" s="2416"/>
      <c r="I9" s="2416"/>
      <c r="J9" s="2416"/>
      <c r="K9" s="2416"/>
      <c r="L9" s="2417"/>
    </row>
    <row r="10" spans="1:29" ht="13.5" customHeight="1" x14ac:dyDescent="0.2">
      <c r="A10" s="2390" t="str">
        <f>COVER!A38</f>
        <v>Larry Hewitt</v>
      </c>
      <c r="B10" s="2391"/>
      <c r="C10" s="2391"/>
      <c r="D10" s="2391"/>
      <c r="E10" s="2391"/>
      <c r="F10" s="2392"/>
      <c r="G10" s="2384" t="str">
        <f>COVER!T17</f>
        <v>668 N River Road</v>
      </c>
      <c r="H10" s="2385"/>
      <c r="I10" s="2385"/>
      <c r="J10" s="2385"/>
      <c r="K10" s="2385"/>
      <c r="L10" s="2386"/>
    </row>
    <row r="11" spans="1:29" ht="13.5" customHeight="1" x14ac:dyDescent="0.2">
      <c r="A11" s="1184" t="s">
        <v>1519</v>
      </c>
      <c r="B11" s="1185"/>
      <c r="C11" s="1186"/>
      <c r="D11" s="1191"/>
      <c r="E11" s="1186"/>
      <c r="F11" s="1190"/>
      <c r="G11" s="2384" t="str">
        <f>COVER!T19</f>
        <v>Naperville</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f>COVER!T25</f>
        <v>0</v>
      </c>
      <c r="J13" s="2397"/>
      <c r="K13" s="2397"/>
      <c r="L13" s="2398"/>
    </row>
    <row r="14" spans="1:29" ht="13.5" customHeight="1" x14ac:dyDescent="0.2">
      <c r="A14" s="2384" t="str">
        <f>COVER!A19</f>
        <v>1475 Maple Avenue</v>
      </c>
      <c r="B14" s="2385"/>
      <c r="C14" s="2385"/>
      <c r="D14" s="2385"/>
      <c r="E14" s="2385"/>
      <c r="F14" s="2386"/>
      <c r="G14" s="1195" t="s">
        <v>1185</v>
      </c>
      <c r="H14" s="1193"/>
      <c r="I14" s="1193"/>
      <c r="J14" s="1193"/>
      <c r="K14" s="1193"/>
      <c r="L14" s="1194"/>
    </row>
    <row r="15" spans="1:29" ht="13.5" customHeight="1" x14ac:dyDescent="0.2">
      <c r="A15" s="2384" t="str">
        <f>COVER!A21</f>
        <v>Northbrook</v>
      </c>
      <c r="B15" s="2385"/>
      <c r="C15" s="2385"/>
      <c r="D15" s="2385"/>
      <c r="E15" s="2385"/>
      <c r="F15" s="2386"/>
      <c r="G15" s="2381" t="str">
        <f>COVER!T15</f>
        <v>Matt Beran</v>
      </c>
      <c r="H15" s="2382"/>
      <c r="I15" s="2382"/>
      <c r="J15" s="2382"/>
      <c r="K15" s="2382"/>
      <c r="L15" s="2383"/>
    </row>
    <row r="16" spans="1:29" ht="12.2" customHeight="1" x14ac:dyDescent="0.2">
      <c r="A16" s="2406">
        <f>COVER!A25</f>
        <v>0</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630-393-1483</v>
      </c>
      <c r="H18" s="2401"/>
      <c r="I18" s="2401"/>
      <c r="J18" s="2401"/>
      <c r="K18" s="2400" t="str">
        <f>COVER!X21</f>
        <v>630-393-2516</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3" sqref="D4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Northbrook SD 28</v>
      </c>
      <c r="B1" s="2399"/>
      <c r="C1" s="2399"/>
      <c r="D1" s="2399"/>
    </row>
    <row r="2" spans="1:11" s="1212" customFormat="1" ht="12.75" x14ac:dyDescent="0.2">
      <c r="A2" s="2423">
        <f>'Single Audit Cover'!E7</f>
        <v>5016028002</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Northbrook SD 28</v>
      </c>
      <c r="B1" s="2426"/>
      <c r="C1" s="2426"/>
      <c r="D1" s="2426"/>
      <c r="E1" s="2426"/>
    </row>
    <row r="2" spans="1:5" x14ac:dyDescent="0.2">
      <c r="A2" s="2427">
        <f>'Single Audit Cover'!E7</f>
        <v>5016028002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637085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-101663</v>
      </c>
    </row>
    <row r="19" spans="1:4" ht="13.5" thickBot="1" x14ac:dyDescent="0.25">
      <c r="A19" s="1262" t="s">
        <v>1235</v>
      </c>
      <c r="D19" s="1263">
        <f>SUM(D10:D17)</f>
        <v>535422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535422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535422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Northbrook SD 28</v>
      </c>
      <c r="C1" s="2430"/>
      <c r="D1" s="2430"/>
      <c r="E1" s="2430"/>
      <c r="F1" s="2430"/>
      <c r="G1" s="2430"/>
      <c r="H1" s="2430"/>
      <c r="I1" s="2430"/>
      <c r="J1" s="2430"/>
      <c r="K1" s="2430"/>
      <c r="L1" s="2430"/>
      <c r="M1" s="2430"/>
    </row>
    <row r="2" spans="2:14" ht="15" x14ac:dyDescent="0.2">
      <c r="B2" s="2431">
        <f>'Single Audit Cover'!E7</f>
        <v>5016028002</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Northbrook SD 28</v>
      </c>
      <c r="B1" s="2443"/>
      <c r="C1" s="2443"/>
      <c r="D1" s="2443"/>
      <c r="E1" s="2443"/>
      <c r="F1" s="2443"/>
    </row>
    <row r="2" spans="1:7" ht="13.5" customHeight="1" x14ac:dyDescent="0.2">
      <c r="A2" s="2431">
        <f>'Single Audit Cover'!E7</f>
        <v>5016028002</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2105</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8108</v>
      </c>
      <c r="G88" s="276">
        <v>222508</v>
      </c>
      <c r="H88" s="276">
        <v>11987</v>
      </c>
      <c r="I88" s="276"/>
      <c r="J88" s="277">
        <f>SUM(E88:I88)</f>
        <v>242603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242604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2106</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43" sqref="C43:F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Northbrook SD 28</v>
      </c>
      <c r="C1" s="2458"/>
      <c r="D1" s="2458"/>
      <c r="E1" s="2458"/>
      <c r="F1" s="2458"/>
      <c r="G1" s="2458"/>
      <c r="H1" s="2458"/>
      <c r="I1" s="2458"/>
      <c r="J1" s="1406"/>
    </row>
    <row r="2" spans="2:10" s="317" customFormat="1" ht="12.75" customHeight="1" x14ac:dyDescent="0.2">
      <c r="B2" s="2459">
        <f>'Single Audit Cover'!E7</f>
        <v>5016028002</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Northbrook SD 28</v>
      </c>
      <c r="C1" s="2457"/>
      <c r="D1" s="2457"/>
      <c r="E1" s="2457"/>
      <c r="F1" s="2457"/>
      <c r="G1" s="2457"/>
      <c r="H1" s="2457"/>
      <c r="I1" s="2457"/>
      <c r="J1" s="2457"/>
      <c r="K1" s="2457"/>
      <c r="L1" s="1371"/>
      <c r="M1" s="1371"/>
    </row>
    <row r="2" spans="1:13" ht="12" customHeight="1" x14ac:dyDescent="0.2">
      <c r="B2" s="2459">
        <f>'Single Audit Cover'!E7</f>
        <v>5016028002</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Northbrook SD 28</v>
      </c>
      <c r="C1" s="2457"/>
      <c r="D1" s="2457"/>
      <c r="E1" s="1469"/>
    </row>
    <row r="2" spans="2:5" s="1279" customFormat="1" ht="12.75" customHeight="1" x14ac:dyDescent="0.2">
      <c r="B2" s="2459">
        <f>'Single Audit Cover'!E7</f>
        <v>5016028002</v>
      </c>
      <c r="C2" s="2459"/>
      <c r="D2" s="2459"/>
      <c r="E2" s="1470"/>
    </row>
    <row r="3" spans="2:5" ht="12.75" customHeight="1" x14ac:dyDescent="0.2">
      <c r="B3" s="2473" t="s">
        <v>1766</v>
      </c>
      <c r="C3" s="2473"/>
      <c r="D3" s="2473"/>
      <c r="E3" s="1271"/>
    </row>
    <row r="4" spans="2:5" s="1279" customFormat="1" ht="12.75" customHeight="1" x14ac:dyDescent="0.2">
      <c r="B4" s="2477" t="str">
        <f>'Single Audit Cover'!A4</f>
        <v>Year Ending June 30, 2019</v>
      </c>
      <c r="C4" s="2477"/>
      <c r="D4" s="247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Northbrook SD 28</v>
      </c>
      <c r="C1" s="2481"/>
      <c r="D1" s="2481"/>
      <c r="E1" s="2481"/>
      <c r="F1" s="2481"/>
      <c r="G1" s="2481"/>
      <c r="H1" s="2481"/>
      <c r="I1" s="2481"/>
      <c r="J1" s="2481"/>
      <c r="K1" s="2481"/>
      <c r="L1" s="1449"/>
    </row>
    <row r="2" spans="1:12" ht="12.75" customHeight="1" x14ac:dyDescent="0.2">
      <c r="B2" s="2482">
        <f>'Single Audit Cover'!E7</f>
        <v>5016028002</v>
      </c>
      <c r="C2" s="2482"/>
      <c r="D2" s="2482"/>
      <c r="E2" s="2482"/>
      <c r="F2" s="2482"/>
      <c r="G2" s="2482"/>
      <c r="H2" s="2482"/>
      <c r="I2" s="2482"/>
      <c r="J2" s="2482"/>
      <c r="K2" s="2482"/>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1199569100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2.5689E-2</v>
      </c>
      <c r="E10" s="356" t="s">
        <v>1005</v>
      </c>
      <c r="F10" s="355">
        <v>2.2920000000000002E-3</v>
      </c>
      <c r="G10" s="356" t="s">
        <v>1005</v>
      </c>
      <c r="H10" s="355">
        <v>6.4199999999999999E-4</v>
      </c>
      <c r="I10" s="356" t="s">
        <v>1006</v>
      </c>
      <c r="J10" s="1732">
        <f>ROUND(D10+F10+H10,5)</f>
        <v>2.862E-2</v>
      </c>
      <c r="K10" s="222"/>
      <c r="L10" s="355">
        <v>0</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37743592</v>
      </c>
      <c r="E16" s="356"/>
      <c r="F16" s="1733">
        <f>SUM('Acct Summary 7-8'!C17,'Acct Summary 7-8'!D17,'Acct Summary 7-8'!F17)</f>
        <v>37902830</v>
      </c>
      <c r="G16" s="356"/>
      <c r="H16" s="1733">
        <f>SUM(D16-F16)</f>
        <v>-159238</v>
      </c>
      <c r="I16" s="222"/>
      <c r="J16" s="1733">
        <f>SUM('Acct Summary 7-8'!C81,'Acct Summary 7-8'!D81,'Acct Summary 7-8'!F81,'Acct Summary 7-8'!I81)</f>
        <v>20357525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2105</v>
      </c>
      <c r="C31" s="367" t="s">
        <v>586</v>
      </c>
      <c r="D31" s="237" t="s">
        <v>1072</v>
      </c>
      <c r="E31" s="222"/>
      <c r="F31" s="222"/>
      <c r="G31" s="363"/>
      <c r="H31" s="1735">
        <f>IF(B31="X",(J7*0.069),IF(B32="X",(J7*0.138),"Enter x in a.or b."))</f>
        <v>82770267.900000006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Northbrook SD 28</v>
      </c>
      <c r="E7" s="391"/>
      <c r="G7" s="252"/>
      <c r="H7" s="387"/>
      <c r="I7" s="387"/>
      <c r="J7" s="387"/>
      <c r="K7" s="387"/>
      <c r="L7" s="329"/>
      <c r="M7" s="329"/>
      <c r="N7" s="329"/>
      <c r="O7" s="329"/>
      <c r="P7" s="329"/>
    </row>
    <row r="8" spans="1:18" ht="12.75" x14ac:dyDescent="0.2">
      <c r="A8" s="329"/>
      <c r="B8" s="329"/>
      <c r="C8" s="389" t="s">
        <v>1125</v>
      </c>
      <c r="D8" s="392">
        <f>COVER!A13</f>
        <v>5016028002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20357525</v>
      </c>
      <c r="I12" s="404"/>
      <c r="J12" s="404"/>
      <c r="K12" s="405">
        <f>TRUNC((H12/H13*100000),5)/100000</f>
        <v>0.53936374149999999</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37743592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37902830</v>
      </c>
      <c r="I17" s="404"/>
      <c r="J17" s="416"/>
      <c r="K17" s="405">
        <f>TRUNC((H17/H18*100000),5)/100000</f>
        <v>1.0042189413</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37743592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104.14075709999999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20469803</v>
      </c>
      <c r="I24" s="422"/>
      <c r="J24" s="422"/>
      <c r="K24" s="423">
        <f>TRUNC(((H24/H25*100000)/100000),2)</f>
        <v>194.42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105285.63889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29181917.495700002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82770267.900000006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8" activePane="bottomLeft" state="frozen"/>
      <selection activeCell="D43" sqref="D43"/>
      <selection pane="bottomLeft" activeCell="D43" sqref="D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11848385</v>
      </c>
      <c r="D4" s="466">
        <v>1738272</v>
      </c>
      <c r="E4" s="466"/>
      <c r="F4" s="466">
        <v>393783</v>
      </c>
      <c r="G4" s="466">
        <v>908799</v>
      </c>
      <c r="H4" s="466">
        <v>439080</v>
      </c>
      <c r="I4" s="466">
        <v>6489363</v>
      </c>
      <c r="J4" s="467"/>
      <c r="K4" s="466"/>
      <c r="L4" s="466">
        <f>26024+18445</f>
        <v>44469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15048942</v>
      </c>
      <c r="D6" s="466">
        <v>1342978</v>
      </c>
      <c r="E6" s="466"/>
      <c r="F6" s="466">
        <v>376034</v>
      </c>
      <c r="G6" s="471">
        <v>627537</v>
      </c>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58220</v>
      </c>
      <c r="D8" s="467"/>
      <c r="E8" s="467"/>
      <c r="F8" s="467">
        <v>57077</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152965</v>
      </c>
      <c r="D11" s="467">
        <v>20544</v>
      </c>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27108512</v>
      </c>
      <c r="D13" s="1737">
        <f t="shared" ref="D13:L13" si="0">SUM(D4:D12)</f>
        <v>3101794</v>
      </c>
      <c r="E13" s="1737">
        <f t="shared" si="0"/>
        <v>0</v>
      </c>
      <c r="F13" s="1737">
        <f t="shared" si="0"/>
        <v>826894</v>
      </c>
      <c r="G13" s="1737">
        <f t="shared" si="0"/>
        <v>1536336</v>
      </c>
      <c r="H13" s="1737">
        <f t="shared" si="0"/>
        <v>439080</v>
      </c>
      <c r="I13" s="1737">
        <f t="shared" si="0"/>
        <v>6489363</v>
      </c>
      <c r="J13" s="1737">
        <f t="shared" si="0"/>
        <v>0</v>
      </c>
      <c r="K13" s="1737">
        <f t="shared" si="0"/>
        <v>0</v>
      </c>
      <c r="L13" s="1737">
        <f t="shared" si="0"/>
        <v>44469</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678040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32663852</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167513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1701899</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35211304</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239534</v>
      </c>
      <c r="D27" s="467">
        <v>4850</v>
      </c>
      <c r="E27" s="467"/>
      <c r="F27" s="467">
        <v>14066</v>
      </c>
      <c r="G27" s="467"/>
      <c r="H27" s="467">
        <v>439080</v>
      </c>
      <c r="I27" s="467"/>
      <c r="J27" s="467"/>
      <c r="K27" s="467"/>
      <c r="L27" s="468"/>
      <c r="M27" s="468"/>
      <c r="N27" s="468"/>
    </row>
    <row r="28" spans="1:14" ht="13.5" customHeight="1" x14ac:dyDescent="0.2">
      <c r="A28" s="473" t="s">
        <v>648</v>
      </c>
      <c r="B28" s="470">
        <v>440</v>
      </c>
      <c r="C28" s="467">
        <v>116712</v>
      </c>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v>25922</v>
      </c>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15048942</v>
      </c>
      <c r="D32" s="492">
        <v>1342978</v>
      </c>
      <c r="E32" s="474"/>
      <c r="F32" s="474">
        <v>376034</v>
      </c>
      <c r="G32" s="474">
        <v>627537</v>
      </c>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18445+26024</f>
        <v>44469</v>
      </c>
      <c r="M33" s="468"/>
      <c r="N33" s="469"/>
    </row>
    <row r="34" spans="1:14" ht="13.5" customHeight="1" thickBot="1" x14ac:dyDescent="0.25">
      <c r="A34" s="1738" t="s">
        <v>654</v>
      </c>
      <c r="B34" s="1739"/>
      <c r="C34" s="1740">
        <f>SUM(C25:C33)</f>
        <v>15405188</v>
      </c>
      <c r="D34" s="1740">
        <f t="shared" ref="D34:K34" si="1">SUM(D25:D33)</f>
        <v>1373750</v>
      </c>
      <c r="E34" s="1740">
        <f t="shared" si="1"/>
        <v>0</v>
      </c>
      <c r="F34" s="1740">
        <f t="shared" si="1"/>
        <v>390100</v>
      </c>
      <c r="G34" s="1740">
        <f t="shared" si="1"/>
        <v>627537</v>
      </c>
      <c r="H34" s="1740">
        <f t="shared" si="1"/>
        <v>439080</v>
      </c>
      <c r="I34" s="1740">
        <f t="shared" si="1"/>
        <v>0</v>
      </c>
      <c r="J34" s="1740">
        <f t="shared" si="1"/>
        <v>0</v>
      </c>
      <c r="K34" s="1740">
        <f t="shared" si="1"/>
        <v>0</v>
      </c>
      <c r="L34" s="1721">
        <f>SUM(L33)</f>
        <v>44469</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152965</v>
      </c>
      <c r="D38" s="466">
        <v>1728044</v>
      </c>
      <c r="E38" s="466"/>
      <c r="F38" s="466">
        <v>436794</v>
      </c>
      <c r="G38" s="466">
        <v>908799</v>
      </c>
      <c r="H38" s="466"/>
      <c r="I38" s="466"/>
      <c r="J38" s="467"/>
      <c r="K38" s="466"/>
      <c r="L38" s="481"/>
      <c r="M38" s="497"/>
      <c r="N38" s="497"/>
    </row>
    <row r="39" spans="1:14" s="329" customFormat="1" ht="13.5" customHeight="1" x14ac:dyDescent="0.2">
      <c r="A39" s="496" t="s">
        <v>342</v>
      </c>
      <c r="B39" s="483">
        <v>730</v>
      </c>
      <c r="C39" s="466">
        <v>11550359</v>
      </c>
      <c r="D39" s="466"/>
      <c r="E39" s="466"/>
      <c r="F39" s="466"/>
      <c r="G39" s="466"/>
      <c r="H39" s="466"/>
      <c r="I39" s="466">
        <v>6489363</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35211304</v>
      </c>
      <c r="N40" s="497"/>
    </row>
    <row r="41" spans="1:14" ht="13.5" customHeight="1" thickBot="1" x14ac:dyDescent="0.25">
      <c r="A41" s="1736" t="s">
        <v>655</v>
      </c>
      <c r="B41" s="1706"/>
      <c r="C41" s="1688">
        <f>(SUM(C34,C37,C38,C39))</f>
        <v>27108512</v>
      </c>
      <c r="D41" s="1688">
        <f t="shared" ref="D41:L41" si="2">SUM(D34,D37,D38:D39)</f>
        <v>3101794</v>
      </c>
      <c r="E41" s="1688">
        <f t="shared" si="2"/>
        <v>0</v>
      </c>
      <c r="F41" s="1688">
        <f t="shared" si="2"/>
        <v>826894</v>
      </c>
      <c r="G41" s="1688">
        <f t="shared" si="2"/>
        <v>1536336</v>
      </c>
      <c r="H41" s="1688">
        <f t="shared" si="2"/>
        <v>439080</v>
      </c>
      <c r="I41" s="1688">
        <f t="shared" si="2"/>
        <v>6489363</v>
      </c>
      <c r="J41" s="1688">
        <f t="shared" si="2"/>
        <v>0</v>
      </c>
      <c r="K41" s="1688">
        <f t="shared" si="2"/>
        <v>0</v>
      </c>
      <c r="L41" s="1688">
        <f t="shared" si="2"/>
        <v>44469</v>
      </c>
      <c r="M41" s="1688">
        <f>SUM(M40)</f>
        <v>35211304</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72" activePane="bottomLeft" state="frozen"/>
      <selection activeCell="D43" sqref="D43"/>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31874952</v>
      </c>
      <c r="D4" s="1742">
        <f>'Revenues 9-14'!D109</f>
        <v>2862914</v>
      </c>
      <c r="E4" s="1742">
        <f>'Revenues 9-14'!E109</f>
        <v>0</v>
      </c>
      <c r="F4" s="1742">
        <f>'Revenues 9-14'!F109</f>
        <v>924771</v>
      </c>
      <c r="G4" s="1742">
        <f>'Revenues 9-14'!G109</f>
        <v>1323373</v>
      </c>
      <c r="H4" s="1742">
        <f>'Revenues 9-14'!H109</f>
        <v>0</v>
      </c>
      <c r="I4" s="1742">
        <f>'Revenues 9-14'!I109</f>
        <v>148859</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1064395</v>
      </c>
      <c r="D6" s="1743">
        <f>'Revenues 9-14'!D170</f>
        <v>0</v>
      </c>
      <c r="E6" s="1743">
        <f>'Revenues 9-14'!E170</f>
        <v>0</v>
      </c>
      <c r="F6" s="1743">
        <f>'Revenues 9-14'!F170</f>
        <v>230616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637085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33576432</v>
      </c>
      <c r="D8" s="1688">
        <f t="shared" ref="D8:K8" si="0">SUM(D4:D7)</f>
        <v>2862914</v>
      </c>
      <c r="E8" s="1688">
        <f t="shared" si="0"/>
        <v>0</v>
      </c>
      <c r="F8" s="1688">
        <f t="shared" si="0"/>
        <v>1155387</v>
      </c>
      <c r="G8" s="1688">
        <f t="shared" si="0"/>
        <v>1323373</v>
      </c>
      <c r="H8" s="1688">
        <f t="shared" si="0"/>
        <v>0</v>
      </c>
      <c r="I8" s="1688">
        <f t="shared" si="0"/>
        <v>148859</v>
      </c>
      <c r="J8" s="1688">
        <f t="shared" si="0"/>
        <v>0</v>
      </c>
      <c r="K8" s="1688">
        <f t="shared" si="0"/>
        <v>0</v>
      </c>
      <c r="L8" s="347"/>
    </row>
    <row r="9" spans="1:13" ht="15.75" thickTop="1" x14ac:dyDescent="0.2">
      <c r="A9" s="514" t="s">
        <v>1653</v>
      </c>
      <c r="B9" s="515">
        <v>3998</v>
      </c>
      <c r="C9" s="481">
        <v>13735559</v>
      </c>
      <c r="D9" s="516"/>
      <c r="E9" s="481"/>
      <c r="F9" s="481"/>
      <c r="G9" s="517"/>
      <c r="H9" s="481"/>
      <c r="I9" s="509" t="s">
        <v>1169</v>
      </c>
      <c r="J9" s="478"/>
      <c r="K9" s="481"/>
      <c r="L9" s="347"/>
    </row>
    <row r="10" spans="1:13" s="519" customFormat="1" ht="13.5" thickBot="1" x14ac:dyDescent="0.25">
      <c r="A10" s="1736" t="s">
        <v>1173</v>
      </c>
      <c r="B10" s="1709"/>
      <c r="C10" s="1688">
        <f>SUM(C8:C9)</f>
        <v>47311991</v>
      </c>
      <c r="D10" s="1688">
        <f t="shared" ref="D10:K10" si="1">SUM(D8:D9)</f>
        <v>2862914</v>
      </c>
      <c r="E10" s="1688">
        <f t="shared" si="1"/>
        <v>0</v>
      </c>
      <c r="F10" s="1688">
        <f t="shared" si="1"/>
        <v>1155387</v>
      </c>
      <c r="G10" s="1688">
        <f t="shared" si="1"/>
        <v>1323373</v>
      </c>
      <c r="H10" s="1688">
        <f t="shared" si="1"/>
        <v>0</v>
      </c>
      <c r="I10" s="1688">
        <f t="shared" si="1"/>
        <v>148859</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24145119</v>
      </c>
      <c r="D12" s="520" t="s">
        <v>1169</v>
      </c>
      <c r="E12" s="468" t="s">
        <v>1169</v>
      </c>
      <c r="F12" s="468" t="s">
        <v>1169</v>
      </c>
      <c r="G12" s="1742">
        <f>'Expenditures 15-22'!K229</f>
        <v>614643</v>
      </c>
      <c r="H12" s="521"/>
      <c r="I12" s="468" t="s">
        <v>1169</v>
      </c>
      <c r="J12" s="468" t="s">
        <v>1169</v>
      </c>
      <c r="K12" s="521" t="s">
        <v>1169</v>
      </c>
      <c r="L12" s="347"/>
    </row>
    <row r="13" spans="1:13" ht="15.75" customHeight="1" x14ac:dyDescent="0.2">
      <c r="A13" s="1576" t="s">
        <v>457</v>
      </c>
      <c r="B13" s="1578">
        <v>2000</v>
      </c>
      <c r="C13" s="1743">
        <f>'Expenditures 15-22'!K74</f>
        <v>8509651</v>
      </c>
      <c r="D13" s="1743">
        <f>'Expenditures 15-22'!K129</f>
        <v>2604535</v>
      </c>
      <c r="E13" s="469" t="s">
        <v>1169</v>
      </c>
      <c r="F13" s="1743">
        <f>'Expenditures 15-22'!K184</f>
        <v>1254139</v>
      </c>
      <c r="G13" s="1743">
        <f>'Expenditures 15-22'!K279</f>
        <v>609522</v>
      </c>
      <c r="H13" s="1743">
        <f>'Expenditures 15-22'!K303</f>
        <v>905402</v>
      </c>
      <c r="I13" s="468" t="s">
        <v>1169</v>
      </c>
      <c r="J13" s="1743">
        <f>'Expenditures 15-22'!K330</f>
        <v>0</v>
      </c>
      <c r="K13" s="1747">
        <f>'Expenditures 15-22'!K352</f>
        <v>0</v>
      </c>
      <c r="L13" s="347"/>
    </row>
    <row r="14" spans="1:13" ht="15.75" customHeight="1" x14ac:dyDescent="0.2">
      <c r="A14" s="1576" t="s">
        <v>449</v>
      </c>
      <c r="B14" s="1578">
        <v>3000</v>
      </c>
      <c r="C14" s="1743">
        <f>'Expenditures 15-22'!K75</f>
        <v>198904</v>
      </c>
      <c r="D14" s="1743">
        <f>'Expenditures 15-22'!K130</f>
        <v>0</v>
      </c>
      <c r="E14" s="520" t="s">
        <v>1169</v>
      </c>
      <c r="F14" s="1743">
        <f>'Expenditures 15-22'!K185</f>
        <v>0</v>
      </c>
      <c r="G14" s="1743">
        <f>'Expenditures 15-22'!K280</f>
        <v>24149</v>
      </c>
      <c r="H14" s="512"/>
      <c r="I14" s="468" t="s">
        <v>1169</v>
      </c>
      <c r="J14" s="468" t="s">
        <v>1169</v>
      </c>
      <c r="K14" s="512" t="s">
        <v>1169</v>
      </c>
      <c r="L14" s="347"/>
    </row>
    <row r="15" spans="1:13" ht="15.75" customHeight="1" x14ac:dyDescent="0.2">
      <c r="A15" s="1576" t="s">
        <v>107</v>
      </c>
      <c r="B15" s="1578">
        <v>4000</v>
      </c>
      <c r="C15" s="1743">
        <f>'Expenditures 15-22'!K102</f>
        <v>1190482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34044156</v>
      </c>
      <c r="D17" s="1688">
        <f t="shared" si="2"/>
        <v>2604535</v>
      </c>
      <c r="E17" s="1688">
        <f t="shared" si="2"/>
        <v>0</v>
      </c>
      <c r="F17" s="1688">
        <f t="shared" si="2"/>
        <v>1254139</v>
      </c>
      <c r="G17" s="1688">
        <f t="shared" si="2"/>
        <v>1248314</v>
      </c>
      <c r="H17" s="1688">
        <f t="shared" si="2"/>
        <v>905402</v>
      </c>
      <c r="I17" s="468"/>
      <c r="J17" s="1688">
        <f>SUM(J12:J16)</f>
        <v>0</v>
      </c>
      <c r="K17" s="1688">
        <f>SUM(K12:K16)</f>
        <v>0</v>
      </c>
      <c r="L17" s="347"/>
    </row>
    <row r="18" spans="1:12" ht="15" customHeight="1" thickTop="1" x14ac:dyDescent="0.2">
      <c r="A18" s="1744" t="s">
        <v>1654</v>
      </c>
      <c r="B18" s="1745">
        <v>4180</v>
      </c>
      <c r="C18" s="1742">
        <f t="shared" ref="C18:H18" si="3">C9</f>
        <v>13735559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47779715</v>
      </c>
      <c r="D19" s="1688">
        <f t="shared" si="4"/>
        <v>2604535</v>
      </c>
      <c r="E19" s="1688">
        <f t="shared" si="4"/>
        <v>0</v>
      </c>
      <c r="F19" s="1688">
        <f t="shared" si="4"/>
        <v>1254139</v>
      </c>
      <c r="G19" s="1688">
        <f t="shared" si="4"/>
        <v>1248314</v>
      </c>
      <c r="H19" s="1688">
        <f t="shared" si="4"/>
        <v>905402</v>
      </c>
      <c r="I19" s="468"/>
      <c r="J19" s="1688">
        <f>SUM(J17:J18)</f>
        <v>0</v>
      </c>
      <c r="K19" s="1688">
        <f>SUM(K17:K18)</f>
        <v>0</v>
      </c>
      <c r="L19" s="347"/>
    </row>
    <row r="20" spans="1:12" ht="16.5" thickTop="1" thickBot="1" x14ac:dyDescent="0.25">
      <c r="A20" s="2123" t="s">
        <v>1655</v>
      </c>
      <c r="B20" s="2124"/>
      <c r="C20" s="1746">
        <f>C8-C17</f>
        <v>-467724</v>
      </c>
      <c r="D20" s="1746">
        <f t="shared" ref="D20:K20" si="5">D8-D17</f>
        <v>258379</v>
      </c>
      <c r="E20" s="1746">
        <f t="shared" si="5"/>
        <v>0</v>
      </c>
      <c r="F20" s="1746">
        <f t="shared" si="5"/>
        <v>-98752</v>
      </c>
      <c r="G20" s="1746">
        <f t="shared" si="5"/>
        <v>75059</v>
      </c>
      <c r="H20" s="1746">
        <f t="shared" si="5"/>
        <v>-905402</v>
      </c>
      <c r="I20" s="1746">
        <f t="shared" si="5"/>
        <v>148859</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v>905402</v>
      </c>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905402</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v>905402</v>
      </c>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905402</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-905402</v>
      </c>
      <c r="E77" s="1703">
        <f t="shared" si="8"/>
        <v>0</v>
      </c>
      <c r="F77" s="1703">
        <f t="shared" si="8"/>
        <v>0</v>
      </c>
      <c r="G77" s="1703">
        <f t="shared" si="8"/>
        <v>0</v>
      </c>
      <c r="H77" s="1703">
        <f t="shared" si="8"/>
        <v>905402</v>
      </c>
      <c r="I77" s="1703">
        <f t="shared" si="8"/>
        <v>0</v>
      </c>
      <c r="J77" s="1703">
        <f t="shared" si="8"/>
        <v>0</v>
      </c>
      <c r="K77" s="1703">
        <f t="shared" si="8"/>
        <v>0</v>
      </c>
      <c r="L77" s="347"/>
    </row>
    <row r="78" spans="1:12" ht="21.75" customHeight="1" thickTop="1" thickBot="1" x14ac:dyDescent="0.25">
      <c r="A78" s="2119" t="s">
        <v>597</v>
      </c>
      <c r="B78" s="2120"/>
      <c r="C78" s="1702">
        <f t="shared" ref="C78:K78" si="9">C20+C77</f>
        <v>-467724</v>
      </c>
      <c r="D78" s="1702">
        <f t="shared" si="9"/>
        <v>-647023</v>
      </c>
      <c r="E78" s="1702">
        <f t="shared" si="9"/>
        <v>0</v>
      </c>
      <c r="F78" s="1702">
        <f t="shared" si="9"/>
        <v>-98752</v>
      </c>
      <c r="G78" s="1702">
        <f t="shared" si="9"/>
        <v>75059</v>
      </c>
      <c r="H78" s="1702">
        <f t="shared" si="9"/>
        <v>0</v>
      </c>
      <c r="I78" s="1702">
        <f t="shared" si="9"/>
        <v>148859</v>
      </c>
      <c r="J78" s="1702">
        <f t="shared" si="9"/>
        <v>0</v>
      </c>
      <c r="K78" s="1702">
        <f t="shared" si="9"/>
        <v>0</v>
      </c>
      <c r="L78" s="533"/>
    </row>
    <row r="79" spans="1:12" ht="13.5" thickTop="1" x14ac:dyDescent="0.2">
      <c r="A79" s="1494" t="s">
        <v>1949</v>
      </c>
      <c r="B79" s="534"/>
      <c r="C79" s="478">
        <v>12171048</v>
      </c>
      <c r="D79" s="535">
        <v>2375067</v>
      </c>
      <c r="E79" s="535"/>
      <c r="F79" s="535">
        <v>535546</v>
      </c>
      <c r="G79" s="535">
        <v>833740</v>
      </c>
      <c r="H79" s="535">
        <v>0</v>
      </c>
      <c r="I79" s="535">
        <v>6340504</v>
      </c>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11703324</v>
      </c>
      <c r="D81" s="1688">
        <f>SUM(D78:D80)</f>
        <v>1728044</v>
      </c>
      <c r="E81" s="1688">
        <f t="shared" ref="E81:K81" si="10">SUM(E78:E80)</f>
        <v>0</v>
      </c>
      <c r="F81" s="1688">
        <f t="shared" si="10"/>
        <v>436794</v>
      </c>
      <c r="G81" s="1688">
        <f t="shared" si="10"/>
        <v>908799</v>
      </c>
      <c r="H81" s="1688">
        <f t="shared" si="10"/>
        <v>0</v>
      </c>
      <c r="I81" s="1688">
        <f t="shared" si="10"/>
        <v>6489363</v>
      </c>
      <c r="J81" s="1688">
        <f t="shared" si="10"/>
        <v>0</v>
      </c>
      <c r="K81" s="1688">
        <f t="shared" si="10"/>
        <v>0</v>
      </c>
      <c r="L81" s="347"/>
    </row>
    <row r="82" spans="1:12" ht="0.75" customHeight="1" thickTop="1" thickBot="1" x14ac:dyDescent="0.25">
      <c r="A82" s="536" t="s">
        <v>343</v>
      </c>
      <c r="B82" s="537"/>
      <c r="C82" s="538">
        <f>(C81-C79)</f>
        <v>-467724</v>
      </c>
      <c r="D82" s="538">
        <f t="shared" ref="D82:K82" si="11">(D81-D79)</f>
        <v>-647023</v>
      </c>
      <c r="E82" s="538">
        <f t="shared" si="11"/>
        <v>0</v>
      </c>
      <c r="F82" s="538">
        <f t="shared" si="11"/>
        <v>-98752</v>
      </c>
      <c r="G82" s="538">
        <f t="shared" si="11"/>
        <v>75059</v>
      </c>
      <c r="H82" s="538">
        <f t="shared" si="11"/>
        <v>0</v>
      </c>
      <c r="I82" s="538">
        <f t="shared" si="11"/>
        <v>148859</v>
      </c>
      <c r="J82" s="538">
        <f t="shared" si="11"/>
        <v>0</v>
      </c>
      <c r="K82" s="538">
        <f t="shared" si="11"/>
        <v>0</v>
      </c>
    </row>
    <row r="83" spans="1:12" ht="14.25" hidden="1" thickTop="1" thickBot="1" x14ac:dyDescent="0.25">
      <c r="A83" s="539" t="s">
        <v>344</v>
      </c>
      <c r="B83" s="464"/>
      <c r="C83" s="540">
        <f>C82/C81</f>
        <v>-3.9965056081502998E-2</v>
      </c>
      <c r="D83" s="540">
        <f t="shared" ref="D83:K83" si="12">D82/D81</f>
        <v>-0.37442507250972779</v>
      </c>
      <c r="E83" s="540" t="e">
        <f t="shared" si="12"/>
        <v>#DIV/0!</v>
      </c>
      <c r="F83" s="540">
        <f t="shared" si="12"/>
        <v>-0.22608369162580072</v>
      </c>
      <c r="G83" s="540">
        <f t="shared" si="12"/>
        <v>8.2591420104995719E-2</v>
      </c>
      <c r="H83" s="540" t="e">
        <f t="shared" si="12"/>
        <v>#DIV/0!</v>
      </c>
      <c r="I83" s="540">
        <f t="shared" si="12"/>
        <v>2.2938923281067804E-2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activeCell="D43" sqref="D43"/>
      <selection pane="bottomLeft" activeCell="E16" sqref="E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28830521</v>
      </c>
      <c r="D5" s="481">
        <v>2694402</v>
      </c>
      <c r="E5" s="466"/>
      <c r="F5" s="548">
        <v>755003</v>
      </c>
      <c r="G5" s="466">
        <v>613392</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661633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28830521</v>
      </c>
      <c r="D12" s="1707">
        <f t="shared" si="0"/>
        <v>2694402</v>
      </c>
      <c r="E12" s="1707">
        <f t="shared" si="0"/>
        <v>0</v>
      </c>
      <c r="F12" s="1707">
        <f t="shared" si="0"/>
        <v>755003</v>
      </c>
      <c r="G12" s="1707">
        <f t="shared" si="0"/>
        <v>1275025</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1101310</v>
      </c>
      <c r="D16" s="466"/>
      <c r="E16" s="466"/>
      <c r="F16" s="466"/>
      <c r="G16" s="466">
        <v>25000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1101310</v>
      </c>
      <c r="D18" s="1710">
        <f t="shared" ref="D18:K18" si="1">SUM(D14:D17)</f>
        <v>0</v>
      </c>
      <c r="E18" s="1710">
        <f t="shared" si="1"/>
        <v>0</v>
      </c>
      <c r="F18" s="1710">
        <f t="shared" si="1"/>
        <v>0</v>
      </c>
      <c r="G18" s="1710">
        <f t="shared" si="1"/>
        <v>25000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3209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235199</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143252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381660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134383</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19490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153873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391665</v>
      </c>
      <c r="D65" s="466">
        <v>53633</v>
      </c>
      <c r="E65" s="466"/>
      <c r="F65" s="467">
        <v>15895</v>
      </c>
      <c r="G65" s="466">
        <v>23348</v>
      </c>
      <c r="H65" s="466"/>
      <c r="I65" s="466">
        <v>148859</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391665</v>
      </c>
      <c r="D67" s="1688">
        <f t="shared" ref="D67:K67" si="2">SUM(D65:D66)</f>
        <v>53633</v>
      </c>
      <c r="E67" s="1688">
        <f t="shared" si="2"/>
        <v>0</v>
      </c>
      <c r="F67" s="1688">
        <f t="shared" si="2"/>
        <v>15895</v>
      </c>
      <c r="G67" s="1688">
        <f t="shared" si="2"/>
        <v>23348</v>
      </c>
      <c r="H67" s="1688">
        <f t="shared" si="2"/>
        <v>0</v>
      </c>
      <c r="I67" s="1688">
        <f t="shared" si="2"/>
        <v>148859</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284669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10755</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295424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66870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66870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281059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281059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41261</v>
      </c>
      <c r="E95" s="521"/>
      <c r="F95" s="521"/>
      <c r="G95" s="521"/>
      <c r="H95" s="521"/>
      <c r="I95" s="521"/>
      <c r="J95" s="521"/>
      <c r="K95" s="521"/>
    </row>
    <row r="96" spans="1:11" ht="12.75" customHeight="1" x14ac:dyDescent="0.2">
      <c r="A96" s="463" t="s">
        <v>391</v>
      </c>
      <c r="B96" s="470">
        <v>1920</v>
      </c>
      <c r="C96" s="551">
        <v>2980</v>
      </c>
      <c r="D96" s="551">
        <v>73618</v>
      </c>
      <c r="E96" s="479"/>
      <c r="F96" s="478"/>
      <c r="G96" s="478"/>
      <c r="H96" s="478"/>
      <c r="I96" s="478"/>
      <c r="J96" s="478"/>
      <c r="K96" s="478"/>
    </row>
    <row r="97" spans="1:12" ht="12.75" customHeight="1" x14ac:dyDescent="0.2">
      <c r="A97" s="1495" t="s">
        <v>244</v>
      </c>
      <c r="B97" s="559">
        <v>1930</v>
      </c>
      <c r="C97" s="489">
        <v>523463</v>
      </c>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526443</v>
      </c>
      <c r="D108" s="1707">
        <f t="shared" ref="D108:K108" si="3">SUM(D95:D107)</f>
        <v>114879</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31874952</v>
      </c>
      <c r="D109" s="1715">
        <f t="shared" si="4"/>
        <v>2862914</v>
      </c>
      <c r="E109" s="1715">
        <f t="shared" si="4"/>
        <v>0</v>
      </c>
      <c r="F109" s="1715">
        <f t="shared" si="4"/>
        <v>924771</v>
      </c>
      <c r="G109" s="1715">
        <f t="shared" si="4"/>
        <v>1323373</v>
      </c>
      <c r="H109" s="1715">
        <f t="shared" si="4"/>
        <v>0</v>
      </c>
      <c r="I109" s="1715">
        <f t="shared" si="4"/>
        <v>148859</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1050885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1050885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11987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11987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8108</v>
      </c>
      <c r="G152" s="467"/>
      <c r="H152" s="468"/>
      <c r="I152" s="468"/>
      <c r="J152" s="468"/>
      <c r="K152" s="468"/>
    </row>
    <row r="153" spans="1:11" ht="12.75" customHeight="1" x14ac:dyDescent="0.2">
      <c r="A153" s="463" t="s">
        <v>1057</v>
      </c>
      <c r="B153" s="562">
        <v>3510</v>
      </c>
      <c r="C153" s="551"/>
      <c r="D153" s="466"/>
      <c r="E153" s="561"/>
      <c r="F153" s="466">
        <v>222508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230616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1318</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13510</v>
      </c>
      <c r="D169" s="1722">
        <f t="shared" si="6"/>
        <v>0</v>
      </c>
      <c r="E169" s="1722">
        <f t="shared" si="6"/>
        <v>0</v>
      </c>
      <c r="F169" s="1722">
        <f t="shared" si="6"/>
        <v>230616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1064395</v>
      </c>
      <c r="D170" s="1715">
        <f t="shared" si="7"/>
        <v>0</v>
      </c>
      <c r="E170" s="1715">
        <f t="shared" si="7"/>
        <v>0</v>
      </c>
      <c r="F170" s="1715">
        <f t="shared" si="7"/>
        <v>230616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19054</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19054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103845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103845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8081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317998</v>
      </c>
      <c r="D213" s="466"/>
      <c r="E213" s="468"/>
      <c r="F213" s="466"/>
      <c r="G213" s="466"/>
      <c r="H213" s="468"/>
      <c r="I213" s="468"/>
      <c r="J213" s="468"/>
      <c r="K213" s="468"/>
    </row>
    <row r="214" spans="1:11" ht="12.75" customHeight="1" x14ac:dyDescent="0.2">
      <c r="A214" s="463" t="s">
        <v>1054</v>
      </c>
      <c r="B214" s="470">
        <v>4625</v>
      </c>
      <c r="C214" s="551">
        <v>41497</v>
      </c>
      <c r="D214" s="466"/>
      <c r="E214" s="468"/>
      <c r="F214" s="466"/>
      <c r="G214" s="466"/>
      <c r="H214" s="468"/>
      <c r="I214" s="468"/>
      <c r="J214" s="468"/>
      <c r="K214" s="468"/>
    </row>
    <row r="215" spans="1:11" ht="12.75" customHeight="1" x14ac:dyDescent="0.2">
      <c r="A215" s="463" t="s">
        <v>1055</v>
      </c>
      <c r="B215" s="470">
        <v>4630</v>
      </c>
      <c r="C215" s="551">
        <v>28584</v>
      </c>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396160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16363</v>
      </c>
      <c r="D263" s="576"/>
      <c r="E263" s="468"/>
      <c r="F263" s="576"/>
      <c r="G263" s="576"/>
      <c r="H263" s="468"/>
      <c r="I263" s="468"/>
      <c r="J263" s="468"/>
      <c r="K263" s="468"/>
    </row>
    <row r="264" spans="1:11" ht="12.75" customHeight="1" thickTop="1" thickBot="1" x14ac:dyDescent="0.25">
      <c r="A264" s="463" t="s">
        <v>377</v>
      </c>
      <c r="B264" s="470">
        <v>4992</v>
      </c>
      <c r="C264" s="575">
        <v>101663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637085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637085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33576432</v>
      </c>
      <c r="D268" s="1715">
        <f t="shared" si="12"/>
        <v>2862914</v>
      </c>
      <c r="E268" s="1715">
        <f t="shared" si="12"/>
        <v>0</v>
      </c>
      <c r="F268" s="1715">
        <f t="shared" si="12"/>
        <v>1155387</v>
      </c>
      <c r="G268" s="1715">
        <f t="shared" si="12"/>
        <v>1323373</v>
      </c>
      <c r="H268" s="1715">
        <f t="shared" si="12"/>
        <v>0</v>
      </c>
      <c r="I268" s="1715">
        <f t="shared" si="12"/>
        <v>148859</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 activePane="bottomLeft" state="frozen"/>
      <selection activeCell="D43" sqref="D43"/>
      <selection pane="bottomLeft" activeCell="D43" sqref="D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14039647</v>
      </c>
      <c r="D5" s="466">
        <v>2721181</v>
      </c>
      <c r="E5" s="466">
        <v>316665</v>
      </c>
      <c r="F5" s="466">
        <v>438620</v>
      </c>
      <c r="G5" s="466"/>
      <c r="H5" s="466"/>
      <c r="I5" s="467">
        <v>759534</v>
      </c>
      <c r="J5" s="467"/>
      <c r="K5" s="1671">
        <f>SUM(C5:J5)</f>
        <v>18275647</v>
      </c>
      <c r="L5" s="466">
        <v>18351298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2421496</v>
      </c>
      <c r="D8" s="466">
        <v>658796</v>
      </c>
      <c r="E8" s="466">
        <v>0</v>
      </c>
      <c r="F8" s="466">
        <v>3399</v>
      </c>
      <c r="G8" s="466"/>
      <c r="H8" s="466">
        <v>97031</v>
      </c>
      <c r="I8" s="467">
        <v>0</v>
      </c>
      <c r="J8" s="467"/>
      <c r="K8" s="1671">
        <f t="shared" si="0"/>
        <v>3180722</v>
      </c>
      <c r="L8" s="466">
        <v>2721746</v>
      </c>
    </row>
    <row r="9" spans="1:14" x14ac:dyDescent="0.2">
      <c r="A9" s="1504" t="s">
        <v>721</v>
      </c>
      <c r="B9" s="614" t="s">
        <v>968</v>
      </c>
      <c r="C9" s="467">
        <v>392331</v>
      </c>
      <c r="D9" s="467">
        <v>103933</v>
      </c>
      <c r="E9" s="467">
        <v>2752</v>
      </c>
      <c r="F9" s="467">
        <v>15063</v>
      </c>
      <c r="G9" s="467"/>
      <c r="H9" s="467"/>
      <c r="I9" s="467">
        <v>15661</v>
      </c>
      <c r="J9" s="467"/>
      <c r="K9" s="1671">
        <f t="shared" si="0"/>
        <v>529740</v>
      </c>
      <c r="L9" s="466">
        <v>189700</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1028091</v>
      </c>
      <c r="D14" s="466">
        <v>144348</v>
      </c>
      <c r="E14" s="466">
        <v>11886</v>
      </c>
      <c r="F14" s="466">
        <v>7854</v>
      </c>
      <c r="G14" s="466">
        <v>2000</v>
      </c>
      <c r="H14" s="466"/>
      <c r="I14" s="467">
        <v>1790</v>
      </c>
      <c r="J14" s="467"/>
      <c r="K14" s="1671">
        <f t="shared" si="0"/>
        <v>1195969</v>
      </c>
      <c r="L14" s="466">
        <v>1122470</v>
      </c>
    </row>
    <row r="15" spans="1:14" x14ac:dyDescent="0.2">
      <c r="A15" s="1504" t="s">
        <v>964</v>
      </c>
      <c r="B15" s="614">
        <v>1600</v>
      </c>
      <c r="C15" s="466">
        <v>139288</v>
      </c>
      <c r="D15" s="466">
        <v>1733</v>
      </c>
      <c r="E15" s="466"/>
      <c r="F15" s="466">
        <v>14235</v>
      </c>
      <c r="G15" s="466"/>
      <c r="H15" s="466"/>
      <c r="I15" s="467"/>
      <c r="J15" s="467"/>
      <c r="K15" s="1671">
        <f t="shared" si="0"/>
        <v>155256</v>
      </c>
      <c r="L15" s="466">
        <v>163800</v>
      </c>
    </row>
    <row r="16" spans="1:14" x14ac:dyDescent="0.2">
      <c r="A16" s="1504" t="s">
        <v>987</v>
      </c>
      <c r="B16" s="614" t="s">
        <v>424</v>
      </c>
      <c r="C16" s="466">
        <v>359955</v>
      </c>
      <c r="D16" s="466">
        <v>56769</v>
      </c>
      <c r="E16" s="466">
        <v>4368</v>
      </c>
      <c r="F16" s="466">
        <v>464</v>
      </c>
      <c r="G16" s="466"/>
      <c r="H16" s="466"/>
      <c r="I16" s="467"/>
      <c r="J16" s="467"/>
      <c r="K16" s="1671">
        <f t="shared" si="0"/>
        <v>421556</v>
      </c>
      <c r="L16" s="466">
        <v>418192</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314775</v>
      </c>
      <c r="D18" s="466">
        <v>61094</v>
      </c>
      <c r="E18" s="466">
        <v>6480</v>
      </c>
      <c r="F18" s="466">
        <v>3880</v>
      </c>
      <c r="G18" s="466"/>
      <c r="H18" s="466"/>
      <c r="I18" s="467"/>
      <c r="J18" s="467"/>
      <c r="K18" s="1671">
        <f t="shared" si="0"/>
        <v>386229</v>
      </c>
      <c r="L18" s="466">
        <v>478528</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18695583</v>
      </c>
      <c r="D33" s="1670">
        <f t="shared" ref="D33:L33" si="1">SUM(D5:D32)</f>
        <v>3747854</v>
      </c>
      <c r="E33" s="1670">
        <f t="shared" si="1"/>
        <v>342151</v>
      </c>
      <c r="F33" s="1670">
        <f t="shared" si="1"/>
        <v>483515</v>
      </c>
      <c r="G33" s="1670">
        <f t="shared" si="1"/>
        <v>2000</v>
      </c>
      <c r="H33" s="1670">
        <f t="shared" si="1"/>
        <v>97031</v>
      </c>
      <c r="I33" s="1670">
        <f t="shared" si="1"/>
        <v>776985</v>
      </c>
      <c r="J33" s="1670">
        <f t="shared" si="1"/>
        <v>0</v>
      </c>
      <c r="K33" s="1670">
        <f t="shared" si="1"/>
        <v>24145119</v>
      </c>
      <c r="L33" s="1670">
        <f t="shared" si="1"/>
        <v>23445734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538907</v>
      </c>
      <c r="D36" s="481">
        <v>170356</v>
      </c>
      <c r="E36" s="481">
        <v>33354</v>
      </c>
      <c r="F36" s="481">
        <v>79831</v>
      </c>
      <c r="G36" s="481"/>
      <c r="H36" s="481"/>
      <c r="I36" s="467">
        <v>15890</v>
      </c>
      <c r="J36" s="467"/>
      <c r="K36" s="1671">
        <f t="shared" ref="K36:K41" si="2">SUM(C36:J36)</f>
        <v>838338</v>
      </c>
      <c r="L36" s="466">
        <v>865043</v>
      </c>
    </row>
    <row r="37" spans="1:14" x14ac:dyDescent="0.2">
      <c r="A37" s="1504" t="s">
        <v>1090</v>
      </c>
      <c r="B37" s="614">
        <v>2120</v>
      </c>
      <c r="C37" s="466">
        <v>606204</v>
      </c>
      <c r="D37" s="466">
        <v>86449</v>
      </c>
      <c r="E37" s="466"/>
      <c r="F37" s="466">
        <v>379</v>
      </c>
      <c r="G37" s="466"/>
      <c r="H37" s="466"/>
      <c r="I37" s="467"/>
      <c r="J37" s="467"/>
      <c r="K37" s="1671">
        <f t="shared" si="2"/>
        <v>693032</v>
      </c>
      <c r="L37" s="466">
        <v>659650</v>
      </c>
    </row>
    <row r="38" spans="1:14" x14ac:dyDescent="0.2">
      <c r="A38" s="1504" t="s">
        <v>198</v>
      </c>
      <c r="B38" s="614">
        <v>2130</v>
      </c>
      <c r="C38" s="466">
        <v>307125</v>
      </c>
      <c r="D38" s="466">
        <v>37650</v>
      </c>
      <c r="E38" s="466">
        <v>1995</v>
      </c>
      <c r="F38" s="466">
        <v>4020</v>
      </c>
      <c r="G38" s="466"/>
      <c r="H38" s="466"/>
      <c r="I38" s="467">
        <v>0</v>
      </c>
      <c r="J38" s="467"/>
      <c r="K38" s="1671">
        <f t="shared" si="2"/>
        <v>350790</v>
      </c>
      <c r="L38" s="466">
        <v>355575</v>
      </c>
    </row>
    <row r="39" spans="1:14" x14ac:dyDescent="0.2">
      <c r="A39" s="1504" t="s">
        <v>199</v>
      </c>
      <c r="B39" s="614">
        <v>2140</v>
      </c>
      <c r="C39" s="466">
        <v>456189</v>
      </c>
      <c r="D39" s="466">
        <v>59444</v>
      </c>
      <c r="E39" s="466"/>
      <c r="F39" s="466">
        <v>18861</v>
      </c>
      <c r="G39" s="466"/>
      <c r="H39" s="466"/>
      <c r="I39" s="467"/>
      <c r="J39" s="467"/>
      <c r="K39" s="1671">
        <f t="shared" si="2"/>
        <v>534494</v>
      </c>
      <c r="L39" s="466">
        <v>521500</v>
      </c>
    </row>
    <row r="40" spans="1:14" x14ac:dyDescent="0.2">
      <c r="A40" s="1504" t="s">
        <v>200</v>
      </c>
      <c r="B40" s="614">
        <v>2150</v>
      </c>
      <c r="C40" s="466">
        <v>485672</v>
      </c>
      <c r="D40" s="466"/>
      <c r="E40" s="466">
        <v>82908</v>
      </c>
      <c r="F40" s="466"/>
      <c r="G40" s="466"/>
      <c r="H40" s="466"/>
      <c r="I40" s="467"/>
      <c r="J40" s="467"/>
      <c r="K40" s="1671">
        <f t="shared" si="2"/>
        <v>568580</v>
      </c>
      <c r="L40" s="466">
        <v>618245</v>
      </c>
    </row>
    <row r="41" spans="1:14" x14ac:dyDescent="0.2">
      <c r="A41" s="1504" t="s">
        <v>1669</v>
      </c>
      <c r="B41" s="614">
        <v>2190</v>
      </c>
      <c r="C41" s="466">
        <v>245152</v>
      </c>
      <c r="D41" s="466">
        <v>32299</v>
      </c>
      <c r="E41" s="466">
        <v>18556</v>
      </c>
      <c r="F41" s="466">
        <v>1027</v>
      </c>
      <c r="G41" s="466"/>
      <c r="H41" s="466"/>
      <c r="I41" s="467">
        <v>17173</v>
      </c>
      <c r="J41" s="467"/>
      <c r="K41" s="1671">
        <f t="shared" si="2"/>
        <v>314207</v>
      </c>
      <c r="L41" s="466">
        <v>313950</v>
      </c>
    </row>
    <row r="42" spans="1:14" ht="12.75" customHeight="1" thickBot="1" x14ac:dyDescent="0.25">
      <c r="A42" s="1668" t="s">
        <v>560</v>
      </c>
      <c r="B42" s="1669" t="s">
        <v>716</v>
      </c>
      <c r="C42" s="1670">
        <f>SUM(C36:C41)</f>
        <v>2639249</v>
      </c>
      <c r="D42" s="1670">
        <f t="shared" ref="D42:L42" si="3">SUM(D36:D41)</f>
        <v>386198</v>
      </c>
      <c r="E42" s="1670">
        <f t="shared" si="3"/>
        <v>136813</v>
      </c>
      <c r="F42" s="1670">
        <f t="shared" si="3"/>
        <v>104118</v>
      </c>
      <c r="G42" s="1670">
        <f t="shared" si="3"/>
        <v>0</v>
      </c>
      <c r="H42" s="1670">
        <f t="shared" si="3"/>
        <v>0</v>
      </c>
      <c r="I42" s="1670">
        <f t="shared" si="3"/>
        <v>33063</v>
      </c>
      <c r="J42" s="1670">
        <f t="shared" si="3"/>
        <v>0</v>
      </c>
      <c r="K42" s="1670">
        <f t="shared" si="3"/>
        <v>3299441</v>
      </c>
      <c r="L42" s="1670">
        <f t="shared" si="3"/>
        <v>3333963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442273</v>
      </c>
      <c r="D44" s="481">
        <v>130868</v>
      </c>
      <c r="E44" s="481">
        <v>130365</v>
      </c>
      <c r="F44" s="481">
        <v>1551</v>
      </c>
      <c r="G44" s="481"/>
      <c r="H44" s="481"/>
      <c r="I44" s="467"/>
      <c r="J44" s="467"/>
      <c r="K44" s="1672">
        <f>SUM(C44:J44)</f>
        <v>705057</v>
      </c>
      <c r="L44" s="481">
        <v>731461</v>
      </c>
    </row>
    <row r="45" spans="1:14" x14ac:dyDescent="0.2">
      <c r="A45" s="1504" t="s">
        <v>815</v>
      </c>
      <c r="B45" s="614">
        <v>2220</v>
      </c>
      <c r="C45" s="466">
        <v>449769</v>
      </c>
      <c r="D45" s="466">
        <v>81110</v>
      </c>
      <c r="E45" s="466">
        <v>36863</v>
      </c>
      <c r="F45" s="466">
        <v>61746</v>
      </c>
      <c r="G45" s="466"/>
      <c r="H45" s="466"/>
      <c r="I45" s="467">
        <v>9579</v>
      </c>
      <c r="J45" s="467"/>
      <c r="K45" s="1672">
        <f>SUM(C45:J45)</f>
        <v>639067</v>
      </c>
      <c r="L45" s="466">
        <v>660300</v>
      </c>
    </row>
    <row r="46" spans="1:14" x14ac:dyDescent="0.2">
      <c r="A46" s="1504" t="s">
        <v>816</v>
      </c>
      <c r="B46" s="614">
        <v>2230</v>
      </c>
      <c r="C46" s="466"/>
      <c r="D46" s="466"/>
      <c r="E46" s="466">
        <v>16963</v>
      </c>
      <c r="F46" s="466">
        <v>0</v>
      </c>
      <c r="G46" s="466"/>
      <c r="H46" s="466"/>
      <c r="I46" s="467">
        <v>0</v>
      </c>
      <c r="J46" s="467"/>
      <c r="K46" s="1672">
        <f>SUM(C46:J46)</f>
        <v>16963</v>
      </c>
      <c r="L46" s="466">
        <v>35500</v>
      </c>
    </row>
    <row r="47" spans="1:14" ht="12.75" customHeight="1" thickBot="1" x14ac:dyDescent="0.25">
      <c r="A47" s="1668" t="s">
        <v>561</v>
      </c>
      <c r="B47" s="1669" t="s">
        <v>32</v>
      </c>
      <c r="C47" s="1670">
        <f>SUM(C44:C46)</f>
        <v>892042</v>
      </c>
      <c r="D47" s="1670">
        <f t="shared" ref="D47:K47" si="4">SUM(D44:D46)</f>
        <v>211978</v>
      </c>
      <c r="E47" s="1670">
        <f t="shared" si="4"/>
        <v>184191</v>
      </c>
      <c r="F47" s="1670">
        <f t="shared" si="4"/>
        <v>63297</v>
      </c>
      <c r="G47" s="1670">
        <f t="shared" si="4"/>
        <v>0</v>
      </c>
      <c r="H47" s="1670">
        <f t="shared" si="4"/>
        <v>0</v>
      </c>
      <c r="I47" s="1670">
        <f t="shared" si="4"/>
        <v>9579</v>
      </c>
      <c r="J47" s="1670">
        <f t="shared" si="4"/>
        <v>0</v>
      </c>
      <c r="K47" s="1670">
        <f t="shared" si="4"/>
        <v>1361087</v>
      </c>
      <c r="L47" s="1670">
        <f>SUM(L44:L46)</f>
        <v>1427261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124534</v>
      </c>
      <c r="F49" s="481">
        <v>3375</v>
      </c>
      <c r="G49" s="481"/>
      <c r="H49" s="481">
        <v>9735</v>
      </c>
      <c r="I49" s="467"/>
      <c r="J49" s="467"/>
      <c r="K49" s="1672">
        <f>SUM(C49:J49)</f>
        <v>137644</v>
      </c>
      <c r="L49" s="481">
        <v>169245</v>
      </c>
    </row>
    <row r="50" spans="1:14" x14ac:dyDescent="0.2">
      <c r="A50" s="1504" t="s">
        <v>818</v>
      </c>
      <c r="B50" s="614">
        <v>2320</v>
      </c>
      <c r="C50" s="466">
        <v>558258</v>
      </c>
      <c r="D50" s="466">
        <v>155293</v>
      </c>
      <c r="E50" s="466">
        <v>52408</v>
      </c>
      <c r="F50" s="466">
        <v>2690</v>
      </c>
      <c r="G50" s="466"/>
      <c r="H50" s="466">
        <v>5989</v>
      </c>
      <c r="I50" s="467"/>
      <c r="J50" s="467"/>
      <c r="K50" s="1672">
        <f>SUM(C50:J50)</f>
        <v>774638</v>
      </c>
      <c r="L50" s="466">
        <v>795268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558258</v>
      </c>
      <c r="D53" s="1670">
        <f t="shared" ref="D53:L53" si="5">SUM(D49:D52)</f>
        <v>155293</v>
      </c>
      <c r="E53" s="1670">
        <f t="shared" si="5"/>
        <v>176942</v>
      </c>
      <c r="F53" s="1670">
        <f t="shared" si="5"/>
        <v>6065</v>
      </c>
      <c r="G53" s="1670">
        <f t="shared" si="5"/>
        <v>0</v>
      </c>
      <c r="H53" s="1670">
        <f t="shared" si="5"/>
        <v>15724</v>
      </c>
      <c r="I53" s="1670">
        <f t="shared" si="5"/>
        <v>0</v>
      </c>
      <c r="J53" s="1670">
        <f t="shared" si="5"/>
        <v>0</v>
      </c>
      <c r="K53" s="1670">
        <f t="shared" si="5"/>
        <v>912282</v>
      </c>
      <c r="L53" s="1670">
        <f t="shared" si="5"/>
        <v>964513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1607125</v>
      </c>
      <c r="D55" s="481">
        <v>275291</v>
      </c>
      <c r="E55" s="481">
        <v>4530</v>
      </c>
      <c r="F55" s="481">
        <v>2475</v>
      </c>
      <c r="G55" s="481"/>
      <c r="H55" s="481">
        <v>1017</v>
      </c>
      <c r="I55" s="467">
        <v>5290</v>
      </c>
      <c r="J55" s="467"/>
      <c r="K55" s="1672">
        <f>SUM(C55:J55)</f>
        <v>1895728</v>
      </c>
      <c r="L55" s="481">
        <v>1906203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1607125</v>
      </c>
      <c r="D57" s="1674">
        <f t="shared" ref="D57:K57" si="6">SUM(D55:D56)</f>
        <v>275291</v>
      </c>
      <c r="E57" s="1674">
        <f t="shared" si="6"/>
        <v>4530</v>
      </c>
      <c r="F57" s="1674">
        <f t="shared" si="6"/>
        <v>2475</v>
      </c>
      <c r="G57" s="1674">
        <f t="shared" si="6"/>
        <v>0</v>
      </c>
      <c r="H57" s="1674">
        <f t="shared" si="6"/>
        <v>1017</v>
      </c>
      <c r="I57" s="1674">
        <f t="shared" si="6"/>
        <v>5290</v>
      </c>
      <c r="J57" s="1674">
        <f t="shared" si="6"/>
        <v>0</v>
      </c>
      <c r="K57" s="1674">
        <f t="shared" si="6"/>
        <v>1895728</v>
      </c>
      <c r="L57" s="1670">
        <f>SUM(L55:L56)</f>
        <v>1906203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345958</v>
      </c>
      <c r="D59" s="481">
        <v>94461</v>
      </c>
      <c r="E59" s="481">
        <v>49332</v>
      </c>
      <c r="F59" s="481">
        <v>5442</v>
      </c>
      <c r="G59" s="481"/>
      <c r="H59" s="481">
        <v>789</v>
      </c>
      <c r="I59" s="467">
        <v>327</v>
      </c>
      <c r="J59" s="467"/>
      <c r="K59" s="1672">
        <f t="shared" ref="K59:K64" si="7">SUM(C59:J59)</f>
        <v>496309</v>
      </c>
      <c r="L59" s="481">
        <v>602889</v>
      </c>
      <c r="M59" s="609"/>
      <c r="N59" s="609"/>
    </row>
    <row r="60" spans="1:14" s="343" customFormat="1" x14ac:dyDescent="0.2">
      <c r="A60" s="1504" t="s">
        <v>463</v>
      </c>
      <c r="B60" s="614">
        <v>2520</v>
      </c>
      <c r="C60" s="466">
        <v>62215</v>
      </c>
      <c r="D60" s="466">
        <v>10839</v>
      </c>
      <c r="E60" s="466"/>
      <c r="F60" s="466"/>
      <c r="G60" s="466"/>
      <c r="H60" s="466"/>
      <c r="I60" s="467"/>
      <c r="J60" s="467"/>
      <c r="K60" s="1672">
        <f t="shared" si="7"/>
        <v>73054</v>
      </c>
      <c r="L60" s="466">
        <v>69840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303486</v>
      </c>
      <c r="F63" s="466">
        <v>22301</v>
      </c>
      <c r="G63" s="466"/>
      <c r="H63" s="466"/>
      <c r="I63" s="467">
        <v>638</v>
      </c>
      <c r="J63" s="467"/>
      <c r="K63" s="1672">
        <f t="shared" si="7"/>
        <v>326425</v>
      </c>
      <c r="L63" s="466">
        <v>330500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408173</v>
      </c>
      <c r="D65" s="1670">
        <f t="shared" ref="D65:L65" si="8">SUM(D59:D64)</f>
        <v>105300</v>
      </c>
      <c r="E65" s="1670">
        <f t="shared" si="8"/>
        <v>352818</v>
      </c>
      <c r="F65" s="1670">
        <f t="shared" si="8"/>
        <v>27743</v>
      </c>
      <c r="G65" s="1670">
        <f t="shared" si="8"/>
        <v>0</v>
      </c>
      <c r="H65" s="1670">
        <f t="shared" si="8"/>
        <v>789</v>
      </c>
      <c r="I65" s="1670">
        <f t="shared" si="8"/>
        <v>965</v>
      </c>
      <c r="J65" s="1670">
        <f t="shared" si="8"/>
        <v>0</v>
      </c>
      <c r="K65" s="1670">
        <f t="shared" si="8"/>
        <v>895788</v>
      </c>
      <c r="L65" s="1670">
        <f t="shared" si="8"/>
        <v>1003229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76226</v>
      </c>
      <c r="D69" s="466">
        <v>12783</v>
      </c>
      <c r="E69" s="466">
        <v>7253</v>
      </c>
      <c r="F69" s="466">
        <v>1354</v>
      </c>
      <c r="G69" s="466"/>
      <c r="H69" s="466">
        <v>842</v>
      </c>
      <c r="I69" s="467"/>
      <c r="J69" s="467"/>
      <c r="K69" s="1672">
        <f>SUM(C69:J69)</f>
        <v>98458</v>
      </c>
      <c r="L69" s="466">
        <v>98835</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46867</v>
      </c>
      <c r="F71" s="466"/>
      <c r="G71" s="466"/>
      <c r="H71" s="466"/>
      <c r="I71" s="467"/>
      <c r="J71" s="467"/>
      <c r="K71" s="1672">
        <f>SUM(C71:J71)</f>
        <v>46867</v>
      </c>
      <c r="L71" s="466">
        <v>46345</v>
      </c>
      <c r="M71" s="609"/>
      <c r="N71" s="609"/>
    </row>
    <row r="72" spans="1:14" s="343" customFormat="1" ht="12.75" customHeight="1" thickBot="1" x14ac:dyDescent="0.25">
      <c r="A72" s="1668" t="s">
        <v>37</v>
      </c>
      <c r="B72" s="1675" t="s">
        <v>36</v>
      </c>
      <c r="C72" s="1670">
        <f>SUM(C67:C71)</f>
        <v>76226</v>
      </c>
      <c r="D72" s="1670">
        <f t="shared" ref="D72:K72" si="9">SUM(D67:D71)</f>
        <v>12783</v>
      </c>
      <c r="E72" s="1670">
        <f t="shared" si="9"/>
        <v>54120</v>
      </c>
      <c r="F72" s="1670">
        <f t="shared" si="9"/>
        <v>1354</v>
      </c>
      <c r="G72" s="1670">
        <f t="shared" si="9"/>
        <v>0</v>
      </c>
      <c r="H72" s="1670">
        <f t="shared" si="9"/>
        <v>842</v>
      </c>
      <c r="I72" s="1670">
        <f t="shared" si="9"/>
        <v>0</v>
      </c>
      <c r="J72" s="1670">
        <f t="shared" si="9"/>
        <v>0</v>
      </c>
      <c r="K72" s="1670">
        <f t="shared" si="9"/>
        <v>145325</v>
      </c>
      <c r="L72" s="1670">
        <f>SUM(L67:L71)</f>
        <v>145180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6181073</v>
      </c>
      <c r="D74" s="1677">
        <f t="shared" ref="D74:K74" si="10">SUM(D42,D47,D53,D57,D65,D72,D73)</f>
        <v>1146843</v>
      </c>
      <c r="E74" s="1677">
        <f t="shared" si="10"/>
        <v>909414</v>
      </c>
      <c r="F74" s="1677">
        <f t="shared" si="10"/>
        <v>205052</v>
      </c>
      <c r="G74" s="1677">
        <f t="shared" si="10"/>
        <v>0</v>
      </c>
      <c r="H74" s="1677">
        <f t="shared" si="10"/>
        <v>18372</v>
      </c>
      <c r="I74" s="1677">
        <f t="shared" si="10"/>
        <v>48897</v>
      </c>
      <c r="J74" s="1677">
        <f t="shared" si="10"/>
        <v>0</v>
      </c>
      <c r="K74" s="1677">
        <f t="shared" si="10"/>
        <v>8509651</v>
      </c>
      <c r="L74" s="1677">
        <f>SUM(L42,L47,L53,L57,L65,L72,L73)</f>
        <v>8780349</v>
      </c>
    </row>
    <row r="75" spans="1:14" s="259" customFormat="1" ht="15.75" customHeight="1" thickTop="1" thickBot="1" x14ac:dyDescent="0.25">
      <c r="A75" s="1610" t="s">
        <v>47</v>
      </c>
      <c r="B75" s="1611" t="s">
        <v>575</v>
      </c>
      <c r="C75" s="573">
        <v>160412</v>
      </c>
      <c r="D75" s="573">
        <v>10648</v>
      </c>
      <c r="E75" s="573">
        <v>19253</v>
      </c>
      <c r="F75" s="573">
        <v>8591</v>
      </c>
      <c r="G75" s="573"/>
      <c r="H75" s="573"/>
      <c r="I75" s="531"/>
      <c r="J75" s="531"/>
      <c r="K75" s="1670">
        <f>SUM(C75:J75)</f>
        <v>198904</v>
      </c>
      <c r="L75" s="576">
        <v>176967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312101</v>
      </c>
      <c r="F79" s="616"/>
      <c r="G79" s="616"/>
      <c r="H79" s="466">
        <v>878381</v>
      </c>
      <c r="I79" s="477"/>
      <c r="J79" s="477"/>
      <c r="K79" s="1671">
        <f t="shared" si="11"/>
        <v>1190482</v>
      </c>
      <c r="L79" s="466">
        <v>1552400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312101</v>
      </c>
      <c r="F84" s="616"/>
      <c r="G84" s="616"/>
      <c r="H84" s="1670">
        <f>SUM(H78:H83)</f>
        <v>878381</v>
      </c>
      <c r="I84" s="477"/>
      <c r="J84" s="477"/>
      <c r="K84" s="1670">
        <f>SUM(K78:K83)</f>
        <v>1190482</v>
      </c>
      <c r="L84" s="1670">
        <f>SUM(L78:L83)</f>
        <v>1552400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312101</v>
      </c>
      <c r="F102" s="616"/>
      <c r="G102" s="616"/>
      <c r="H102" s="1677">
        <f>SUM(H84,H92,H100,H101)</f>
        <v>878381</v>
      </c>
      <c r="I102" s="477"/>
      <c r="J102" s="477"/>
      <c r="K102" s="1677">
        <f>SUM(K84,K92,K100,K101)</f>
        <v>1190482</v>
      </c>
      <c r="L102" s="1677">
        <f>SUM(L84,L92,L100,L101)</f>
        <v>1552400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f>250000+500000</f>
        <v>750000</v>
      </c>
      <c r="M113" s="613"/>
      <c r="N113" s="613"/>
    </row>
    <row r="114" spans="1:14" ht="12.75" customHeight="1" thickTop="1" thickBot="1" x14ac:dyDescent="0.25">
      <c r="A114" s="1668" t="s">
        <v>48</v>
      </c>
      <c r="B114" s="1682"/>
      <c r="C114" s="1670">
        <f>SUM(C33,C74,C75,C102,C112,C113)</f>
        <v>25037068</v>
      </c>
      <c r="D114" s="1670">
        <f t="shared" ref="D114:K114" si="13">SUM(D33,D74,D75,D102,D112,D113)</f>
        <v>4905345</v>
      </c>
      <c r="E114" s="1670">
        <f t="shared" si="13"/>
        <v>1582919</v>
      </c>
      <c r="F114" s="1670">
        <f t="shared" si="13"/>
        <v>697158</v>
      </c>
      <c r="G114" s="1670">
        <f t="shared" si="13"/>
        <v>2000</v>
      </c>
      <c r="H114" s="1670">
        <f>SUM(H33,H74,H75,H102,H112,H113)</f>
        <v>993784</v>
      </c>
      <c r="I114" s="1670">
        <f t="shared" si="13"/>
        <v>825882</v>
      </c>
      <c r="J114" s="1670">
        <f t="shared" si="13"/>
        <v>0</v>
      </c>
      <c r="K114" s="1670">
        <f t="shared" si="13"/>
        <v>34044156</v>
      </c>
      <c r="L114" s="1670">
        <f>SUM(L33,L74,L75,L102,L112,L113)</f>
        <v>34705450</v>
      </c>
    </row>
    <row r="115" spans="1:14" ht="13.5" thickTop="1" x14ac:dyDescent="0.2">
      <c r="A115" s="2178" t="s">
        <v>996</v>
      </c>
      <c r="B115" s="2179"/>
      <c r="C115" s="618"/>
      <c r="D115" s="618"/>
      <c r="E115" s="618"/>
      <c r="F115" s="618"/>
      <c r="G115" s="618"/>
      <c r="H115" s="618"/>
      <c r="I115" s="618"/>
      <c r="J115" s="618"/>
      <c r="K115" s="1684">
        <f>'Revenues 9-14'!C268-'Expenditures 15-22'!K114</f>
        <v>-467724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1297855</v>
      </c>
      <c r="D124" s="466">
        <v>198494</v>
      </c>
      <c r="E124" s="466">
        <v>700104</v>
      </c>
      <c r="F124" s="466">
        <v>396204</v>
      </c>
      <c r="G124" s="466">
        <v>6316</v>
      </c>
      <c r="H124" s="466"/>
      <c r="I124" s="467">
        <v>5562</v>
      </c>
      <c r="J124" s="467"/>
      <c r="K124" s="1670">
        <f>SUM(C124:J124)</f>
        <v>2604535</v>
      </c>
      <c r="L124" s="466">
        <v>2673987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1297855</v>
      </c>
      <c r="D127" s="1670">
        <f t="shared" ref="D127:L127" si="14">SUM(D122:D126)</f>
        <v>198494</v>
      </c>
      <c r="E127" s="1670">
        <f t="shared" si="14"/>
        <v>700104</v>
      </c>
      <c r="F127" s="1670">
        <f t="shared" si="14"/>
        <v>396204</v>
      </c>
      <c r="G127" s="1670">
        <f t="shared" si="14"/>
        <v>6316</v>
      </c>
      <c r="H127" s="1670">
        <f t="shared" si="14"/>
        <v>0</v>
      </c>
      <c r="I127" s="1670">
        <f t="shared" si="14"/>
        <v>5562</v>
      </c>
      <c r="J127" s="1670">
        <f t="shared" si="14"/>
        <v>0</v>
      </c>
      <c r="K127" s="1670">
        <f t="shared" si="14"/>
        <v>2604535</v>
      </c>
      <c r="L127" s="1670">
        <f t="shared" si="14"/>
        <v>2673987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1297855</v>
      </c>
      <c r="D129" s="1677">
        <f t="shared" ref="D129:L129" si="15">SUM(D120,D127,D128)</f>
        <v>198494</v>
      </c>
      <c r="E129" s="1677">
        <f t="shared" si="15"/>
        <v>700104</v>
      </c>
      <c r="F129" s="1677">
        <f t="shared" si="15"/>
        <v>396204</v>
      </c>
      <c r="G129" s="1677">
        <f t="shared" si="15"/>
        <v>6316</v>
      </c>
      <c r="H129" s="1677">
        <f t="shared" si="15"/>
        <v>0</v>
      </c>
      <c r="I129" s="1677">
        <f t="shared" si="15"/>
        <v>5562</v>
      </c>
      <c r="J129" s="1677">
        <f t="shared" si="15"/>
        <v>0</v>
      </c>
      <c r="K129" s="1677">
        <f t="shared" si="15"/>
        <v>2604535</v>
      </c>
      <c r="L129" s="1677">
        <f t="shared" si="15"/>
        <v>2673987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1297855</v>
      </c>
      <c r="D151" s="1670">
        <f t="shared" ref="D151:K151" si="16">SUM(D129,D130,D139,D149,D150)</f>
        <v>198494</v>
      </c>
      <c r="E151" s="1670">
        <f t="shared" si="16"/>
        <v>700104</v>
      </c>
      <c r="F151" s="1670">
        <f t="shared" si="16"/>
        <v>396204</v>
      </c>
      <c r="G151" s="1670">
        <f t="shared" si="16"/>
        <v>6316</v>
      </c>
      <c r="H151" s="1670">
        <f t="shared" si="16"/>
        <v>0</v>
      </c>
      <c r="I151" s="1670">
        <f t="shared" si="16"/>
        <v>5562</v>
      </c>
      <c r="J151" s="1670">
        <f t="shared" si="16"/>
        <v>0</v>
      </c>
      <c r="K151" s="1670">
        <f t="shared" si="16"/>
        <v>2604535</v>
      </c>
      <c r="L151" s="1670">
        <f>SUM(L129,L130,L139,L149,L150)</f>
        <v>2673987</v>
      </c>
    </row>
    <row r="152" spans="1:14" ht="12.75" customHeight="1" thickTop="1" x14ac:dyDescent="0.2">
      <c r="A152" s="2171" t="s">
        <v>1178</v>
      </c>
      <c r="B152" s="2172"/>
      <c r="C152" s="618"/>
      <c r="D152" s="618"/>
      <c r="E152" s="618"/>
      <c r="F152" s="618"/>
      <c r="G152" s="618"/>
      <c r="H152" s="618"/>
      <c r="I152" s="618"/>
      <c r="J152" s="616"/>
      <c r="K152" s="1684">
        <f>'Revenues 9-14'!D268-'Expenditures 15-22'!K151</f>
        <v>258379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78" t="s">
        <v>996</v>
      </c>
      <c r="B175" s="217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1254139</v>
      </c>
      <c r="F182" s="466"/>
      <c r="G182" s="466"/>
      <c r="H182" s="466"/>
      <c r="I182" s="467"/>
      <c r="J182" s="467"/>
      <c r="K182" s="1671">
        <f>SUM(C182:J182)</f>
        <v>1254139</v>
      </c>
      <c r="L182" s="466">
        <v>1070000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1254139</v>
      </c>
      <c r="F184" s="1677">
        <f t="shared" si="17"/>
        <v>0</v>
      </c>
      <c r="G184" s="1677">
        <f t="shared" si="17"/>
        <v>0</v>
      </c>
      <c r="H184" s="1677">
        <f t="shared" si="17"/>
        <v>0</v>
      </c>
      <c r="I184" s="1677">
        <f t="shared" si="17"/>
        <v>0</v>
      </c>
      <c r="J184" s="1677">
        <f t="shared" si="17"/>
        <v>0</v>
      </c>
      <c r="K184" s="1677">
        <f>SUM(K180,K182,K183)</f>
        <v>1254139</v>
      </c>
      <c r="L184" s="1677">
        <f>SUM(L180, L182:L183)</f>
        <v>1070000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1254139</v>
      </c>
      <c r="F210" s="1670">
        <f>SUM(F184,F185)</f>
        <v>0</v>
      </c>
      <c r="G210" s="1670">
        <f>SUM(G184,G185)</f>
        <v>0</v>
      </c>
      <c r="H210" s="1670">
        <f>SUM(H184,H185,H196,H208,H209)</f>
        <v>0</v>
      </c>
      <c r="I210" s="1670">
        <f>SUM(I184,I185)</f>
        <v>0</v>
      </c>
      <c r="J210" s="1670">
        <f>SUM(J184,J185)</f>
        <v>0</v>
      </c>
      <c r="K210" s="1671">
        <f>SUM(K184,K185,K196,K208,K209)</f>
        <v>1254139</v>
      </c>
      <c r="L210" s="1670">
        <f>SUM(L184,L185,L196,L208,L209)</f>
        <v>1070000</v>
      </c>
    </row>
    <row r="211" spans="1:14" ht="13.5" thickTop="1" x14ac:dyDescent="0.2">
      <c r="A211" s="2178" t="s">
        <v>996</v>
      </c>
      <c r="B211" s="2179"/>
      <c r="C211" s="618"/>
      <c r="D211" s="618"/>
      <c r="E211" s="618"/>
      <c r="F211" s="618"/>
      <c r="G211" s="618"/>
      <c r="H211" s="618"/>
      <c r="I211" s="616"/>
      <c r="J211" s="616"/>
      <c r="K211" s="1684">
        <f>'Revenues 9-14'!F268-'Expenditures 15-22'!K210</f>
        <v>-98752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373094</v>
      </c>
      <c r="E215" s="616"/>
      <c r="F215" s="616"/>
      <c r="G215" s="616"/>
      <c r="H215" s="616"/>
      <c r="I215" s="616"/>
      <c r="J215" s="616"/>
      <c r="K215" s="1671">
        <f>D215</f>
        <v>373094</v>
      </c>
      <c r="L215" s="466">
        <v>400500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185266</v>
      </c>
      <c r="E217" s="616"/>
      <c r="F217" s="616"/>
      <c r="G217" s="616"/>
      <c r="H217" s="616"/>
      <c r="I217" s="616"/>
      <c r="J217" s="616"/>
      <c r="K217" s="1671">
        <f t="shared" si="19"/>
        <v>185266</v>
      </c>
      <c r="L217" s="466">
        <v>140500</v>
      </c>
    </row>
    <row r="218" spans="1:14" x14ac:dyDescent="0.2">
      <c r="A218" s="1504" t="s">
        <v>278</v>
      </c>
      <c r="B218" s="614" t="s">
        <v>968</v>
      </c>
      <c r="C218" s="616"/>
      <c r="D218" s="467">
        <v>21451</v>
      </c>
      <c r="E218" s="616"/>
      <c r="F218" s="616"/>
      <c r="G218" s="616"/>
      <c r="H218" s="616"/>
      <c r="I218" s="616"/>
      <c r="J218" s="616"/>
      <c r="K218" s="1671">
        <f t="shared" si="19"/>
        <v>21451</v>
      </c>
      <c r="L218" s="466">
        <v>18500</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20047</v>
      </c>
      <c r="E223" s="616"/>
      <c r="F223" s="616"/>
      <c r="G223" s="616"/>
      <c r="H223" s="616"/>
      <c r="I223" s="616"/>
      <c r="J223" s="616"/>
      <c r="K223" s="1671">
        <f t="shared" si="19"/>
        <v>20047</v>
      </c>
      <c r="L223" s="466">
        <v>21800</v>
      </c>
    </row>
    <row r="224" spans="1:14" x14ac:dyDescent="0.2">
      <c r="A224" s="1504" t="s">
        <v>964</v>
      </c>
      <c r="B224" s="614">
        <v>1600</v>
      </c>
      <c r="C224" s="616"/>
      <c r="D224" s="466">
        <v>5611</v>
      </c>
      <c r="E224" s="616"/>
      <c r="F224" s="616"/>
      <c r="G224" s="616"/>
      <c r="H224" s="616"/>
      <c r="I224" s="616"/>
      <c r="J224" s="616"/>
      <c r="K224" s="1671">
        <f t="shared" si="19"/>
        <v>5611</v>
      </c>
      <c r="L224" s="466">
        <v>6400</v>
      </c>
    </row>
    <row r="225" spans="1:12" x14ac:dyDescent="0.2">
      <c r="A225" s="1504" t="s">
        <v>987</v>
      </c>
      <c r="B225" s="614">
        <v>1650</v>
      </c>
      <c r="C225" s="616"/>
      <c r="D225" s="466">
        <v>4910</v>
      </c>
      <c r="E225" s="616"/>
      <c r="F225" s="616"/>
      <c r="G225" s="616"/>
      <c r="H225" s="616"/>
      <c r="I225" s="616"/>
      <c r="J225" s="616"/>
      <c r="K225" s="1671">
        <f t="shared" si="19"/>
        <v>4910</v>
      </c>
      <c r="L225" s="466">
        <v>4800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4264</v>
      </c>
      <c r="E227" s="616"/>
      <c r="F227" s="616"/>
      <c r="G227" s="616"/>
      <c r="H227" s="616"/>
      <c r="I227" s="616"/>
      <c r="J227" s="616"/>
      <c r="K227" s="1671">
        <f t="shared" si="19"/>
        <v>4264</v>
      </c>
      <c r="L227" s="466">
        <v>6700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614643</v>
      </c>
      <c r="E229" s="616"/>
      <c r="F229" s="616"/>
      <c r="G229" s="616"/>
      <c r="H229" s="616"/>
      <c r="I229" s="616"/>
      <c r="J229" s="616"/>
      <c r="K229" s="1670">
        <f>SUM(K215:K228)</f>
        <v>614643</v>
      </c>
      <c r="L229" s="1670">
        <f>SUM(L215:L228)</f>
        <v>599200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18176</v>
      </c>
      <c r="E232" s="616"/>
      <c r="F232" s="616"/>
      <c r="G232" s="616"/>
      <c r="H232" s="616"/>
      <c r="I232" s="616"/>
      <c r="J232" s="616"/>
      <c r="K232" s="1671">
        <f t="shared" ref="K232:K237" si="20">D232</f>
        <v>18176</v>
      </c>
      <c r="L232" s="466">
        <v>18500</v>
      </c>
    </row>
    <row r="233" spans="1:12" x14ac:dyDescent="0.2">
      <c r="A233" s="1504" t="s">
        <v>1090</v>
      </c>
      <c r="B233" s="614">
        <v>2120</v>
      </c>
      <c r="C233" s="616"/>
      <c r="D233" s="466">
        <v>8461</v>
      </c>
      <c r="E233" s="616"/>
      <c r="F233" s="616"/>
      <c r="G233" s="616"/>
      <c r="H233" s="616"/>
      <c r="I233" s="616"/>
      <c r="J233" s="616"/>
      <c r="K233" s="1671">
        <f t="shared" si="20"/>
        <v>8461</v>
      </c>
      <c r="L233" s="466">
        <v>7500</v>
      </c>
    </row>
    <row r="234" spans="1:12" x14ac:dyDescent="0.2">
      <c r="A234" s="1504" t="s">
        <v>198</v>
      </c>
      <c r="B234" s="614">
        <v>2130</v>
      </c>
      <c r="C234" s="616"/>
      <c r="D234" s="466">
        <v>25438</v>
      </c>
      <c r="E234" s="616"/>
      <c r="F234" s="616"/>
      <c r="G234" s="616"/>
      <c r="H234" s="616"/>
      <c r="I234" s="616"/>
      <c r="J234" s="616"/>
      <c r="K234" s="1671">
        <f t="shared" si="20"/>
        <v>25438</v>
      </c>
      <c r="L234" s="466">
        <v>39900</v>
      </c>
    </row>
    <row r="235" spans="1:12" x14ac:dyDescent="0.2">
      <c r="A235" s="1504" t="s">
        <v>199</v>
      </c>
      <c r="B235" s="614">
        <v>2140</v>
      </c>
      <c r="C235" s="616"/>
      <c r="D235" s="466">
        <v>6481</v>
      </c>
      <c r="E235" s="616"/>
      <c r="F235" s="616"/>
      <c r="G235" s="616"/>
      <c r="H235" s="616"/>
      <c r="I235" s="616"/>
      <c r="J235" s="616"/>
      <c r="K235" s="1671">
        <f t="shared" si="20"/>
        <v>6481</v>
      </c>
      <c r="L235" s="466">
        <v>5600</v>
      </c>
    </row>
    <row r="236" spans="1:12" x14ac:dyDescent="0.2">
      <c r="A236" s="1504" t="s">
        <v>200</v>
      </c>
      <c r="B236" s="614">
        <v>2150</v>
      </c>
      <c r="C236" s="616"/>
      <c r="D236" s="466">
        <v>6707</v>
      </c>
      <c r="E236" s="616"/>
      <c r="F236" s="616"/>
      <c r="G236" s="616"/>
      <c r="H236" s="616"/>
      <c r="I236" s="616"/>
      <c r="J236" s="616"/>
      <c r="K236" s="1671">
        <f t="shared" si="20"/>
        <v>6707</v>
      </c>
      <c r="L236" s="466">
        <v>0</v>
      </c>
    </row>
    <row r="237" spans="1:12" x14ac:dyDescent="0.2">
      <c r="A237" s="1504" t="s">
        <v>165</v>
      </c>
      <c r="B237" s="614">
        <v>2190</v>
      </c>
      <c r="C237" s="616"/>
      <c r="D237" s="466">
        <v>46398</v>
      </c>
      <c r="E237" s="616"/>
      <c r="F237" s="616"/>
      <c r="G237" s="616"/>
      <c r="H237" s="616"/>
      <c r="I237" s="616"/>
      <c r="J237" s="616"/>
      <c r="K237" s="1671">
        <f t="shared" si="20"/>
        <v>46398</v>
      </c>
      <c r="L237" s="466">
        <v>23400</v>
      </c>
    </row>
    <row r="238" spans="1:12" ht="12.75" customHeight="1" thickBot="1" x14ac:dyDescent="0.25">
      <c r="A238" s="1668" t="s">
        <v>560</v>
      </c>
      <c r="B238" s="1675" t="s">
        <v>716</v>
      </c>
      <c r="C238" s="616"/>
      <c r="D238" s="1670">
        <f>SUM(D232:D237)</f>
        <v>111661</v>
      </c>
      <c r="E238" s="616"/>
      <c r="F238" s="616"/>
      <c r="G238" s="616"/>
      <c r="H238" s="616"/>
      <c r="I238" s="616"/>
      <c r="J238" s="616"/>
      <c r="K238" s="1670">
        <f>SUM(K232:K237)</f>
        <v>111661</v>
      </c>
      <c r="L238" s="1670">
        <f>SUM(L232:L237)</f>
        <v>94900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10444</v>
      </c>
      <c r="E240" s="616"/>
      <c r="F240" s="616"/>
      <c r="G240" s="616"/>
      <c r="H240" s="616"/>
      <c r="I240" s="616"/>
      <c r="J240" s="616"/>
      <c r="K240" s="1672">
        <f>D240</f>
        <v>10444</v>
      </c>
      <c r="L240" s="481">
        <v>14100</v>
      </c>
    </row>
    <row r="241" spans="1:12" x14ac:dyDescent="0.2">
      <c r="A241" s="1504" t="s">
        <v>815</v>
      </c>
      <c r="B241" s="614">
        <v>2220</v>
      </c>
      <c r="C241" s="616"/>
      <c r="D241" s="466">
        <v>19427</v>
      </c>
      <c r="E241" s="616"/>
      <c r="F241" s="616"/>
      <c r="G241" s="616"/>
      <c r="H241" s="616"/>
      <c r="I241" s="616"/>
      <c r="J241" s="616"/>
      <c r="K241" s="1672">
        <f>D241</f>
        <v>19427</v>
      </c>
      <c r="L241" s="466">
        <v>11000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29871</v>
      </c>
      <c r="E243" s="616"/>
      <c r="F243" s="616"/>
      <c r="G243" s="616"/>
      <c r="H243" s="616"/>
      <c r="I243" s="616"/>
      <c r="J243" s="616"/>
      <c r="K243" s="1670">
        <f>SUM(K240:K242)</f>
        <v>29871</v>
      </c>
      <c r="L243" s="1670">
        <f>SUM(L240:L242)</f>
        <v>25100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38210</v>
      </c>
      <c r="E246" s="616"/>
      <c r="F246" s="616"/>
      <c r="G246" s="616"/>
      <c r="H246" s="616"/>
      <c r="I246" s="616"/>
      <c r="J246" s="616"/>
      <c r="K246" s="1672">
        <f t="shared" ref="K246:K256" si="21">D246</f>
        <v>38210</v>
      </c>
      <c r="L246" s="466">
        <v>46600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38210</v>
      </c>
      <c r="E257" s="616"/>
      <c r="F257" s="616"/>
      <c r="G257" s="616"/>
      <c r="H257" s="616"/>
      <c r="I257" s="616"/>
      <c r="J257" s="616"/>
      <c r="K257" s="1670">
        <f>SUM(K245:K256)</f>
        <v>38210</v>
      </c>
      <c r="L257" s="1670">
        <f>SUM(L245:L256)</f>
        <v>46600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136853</v>
      </c>
      <c r="E259" s="616"/>
      <c r="F259" s="616"/>
      <c r="G259" s="616"/>
      <c r="H259" s="616"/>
      <c r="I259" s="616"/>
      <c r="J259" s="616"/>
      <c r="K259" s="1672">
        <f>D259</f>
        <v>136853</v>
      </c>
      <c r="L259" s="481">
        <v>151000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136853</v>
      </c>
      <c r="E261" s="616"/>
      <c r="F261" s="616"/>
      <c r="G261" s="616"/>
      <c r="H261" s="616"/>
      <c r="I261" s="616"/>
      <c r="J261" s="616"/>
      <c r="K261" s="1670">
        <f>SUM(K259:K260)</f>
        <v>136853</v>
      </c>
      <c r="L261" s="1670">
        <f>SUM(L259:L260)</f>
        <v>151000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36121</v>
      </c>
      <c r="E263" s="616"/>
      <c r="F263" s="616"/>
      <c r="G263" s="616"/>
      <c r="H263" s="616"/>
      <c r="I263" s="616"/>
      <c r="J263" s="616"/>
      <c r="K263" s="1672">
        <f>D263</f>
        <v>36121</v>
      </c>
      <c r="L263" s="481">
        <v>40500</v>
      </c>
    </row>
    <row r="264" spans="1:14" x14ac:dyDescent="0.2">
      <c r="A264" s="1504" t="s">
        <v>463</v>
      </c>
      <c r="B264" s="685">
        <v>2520</v>
      </c>
      <c r="C264" s="616"/>
      <c r="D264" s="466">
        <v>11673</v>
      </c>
      <c r="E264" s="616"/>
      <c r="F264" s="616"/>
      <c r="G264" s="616"/>
      <c r="H264" s="616"/>
      <c r="I264" s="616"/>
      <c r="J264" s="616"/>
      <c r="K264" s="1672">
        <f t="shared" ref="K264:K269" si="22">D264</f>
        <v>11673</v>
      </c>
      <c r="L264" s="466">
        <v>12300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197226</v>
      </c>
      <c r="E266" s="616"/>
      <c r="F266" s="616"/>
      <c r="G266" s="616"/>
      <c r="H266" s="616"/>
      <c r="I266" s="616"/>
      <c r="J266" s="616"/>
      <c r="K266" s="1672">
        <f t="shared" si="22"/>
        <v>197226</v>
      </c>
      <c r="L266" s="466">
        <v>236500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245020</v>
      </c>
      <c r="E270" s="616"/>
      <c r="F270" s="616"/>
      <c r="G270" s="616"/>
      <c r="H270" s="616"/>
      <c r="I270" s="616"/>
      <c r="J270" s="616"/>
      <c r="K270" s="1670">
        <f>SUM(K263:K269)</f>
        <v>245020</v>
      </c>
      <c r="L270" s="1670">
        <f>SUM(L263:L269)</f>
        <v>289300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47907</v>
      </c>
      <c r="E274" s="616"/>
      <c r="F274" s="616"/>
      <c r="G274" s="616"/>
      <c r="H274" s="616"/>
      <c r="I274" s="616"/>
      <c r="J274" s="616"/>
      <c r="K274" s="1672">
        <f>D274</f>
        <v>47907</v>
      </c>
      <c r="L274" s="466">
        <v>14600</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47907</v>
      </c>
      <c r="E277" s="616"/>
      <c r="F277" s="616"/>
      <c r="G277" s="616"/>
      <c r="H277" s="616"/>
      <c r="I277" s="616"/>
      <c r="J277" s="616"/>
      <c r="K277" s="1670">
        <f>SUM(K272:K276)</f>
        <v>47907</v>
      </c>
      <c r="L277" s="1670">
        <f>SUM(L272:L276)</f>
        <v>14600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609522</v>
      </c>
      <c r="E279" s="616"/>
      <c r="F279" s="616"/>
      <c r="G279" s="616"/>
      <c r="H279" s="616"/>
      <c r="I279" s="616"/>
      <c r="J279" s="616"/>
      <c r="K279" s="1677">
        <f>SUM(K238,K243,K257,K261,K270,K277,K278)</f>
        <v>609522</v>
      </c>
      <c r="L279" s="1677">
        <f>SUM(L238,L243,L257,L261,L270,L277,L278)</f>
        <v>621500</v>
      </c>
    </row>
    <row r="280" spans="1:12" ht="15.75" customHeight="1" thickTop="1" thickBot="1" x14ac:dyDescent="0.25">
      <c r="A280" s="1624" t="s">
        <v>875</v>
      </c>
      <c r="B280" s="1613">
        <v>3000</v>
      </c>
      <c r="C280" s="616"/>
      <c r="D280" s="576">
        <v>24149</v>
      </c>
      <c r="E280" s="616"/>
      <c r="F280" s="616"/>
      <c r="G280" s="616"/>
      <c r="H280" s="616"/>
      <c r="I280" s="616"/>
      <c r="J280" s="616"/>
      <c r="K280" s="1679">
        <f>D280</f>
        <v>24149</v>
      </c>
      <c r="L280" s="576">
        <v>25800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v>0</v>
      </c>
      <c r="I292" s="616"/>
      <c r="J292" s="616"/>
      <c r="K292" s="1671">
        <f>H292</f>
        <v>0</v>
      </c>
      <c r="L292" s="466">
        <v>25000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25000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1248314</v>
      </c>
      <c r="E295" s="616"/>
      <c r="F295" s="616"/>
      <c r="G295" s="616"/>
      <c r="H295" s="1670">
        <f>H293</f>
        <v>0</v>
      </c>
      <c r="I295" s="616"/>
      <c r="J295" s="616"/>
      <c r="K295" s="1670">
        <f>SUM(K229,K279,K280,K285,K293,K294)</f>
        <v>1248314</v>
      </c>
      <c r="L295" s="1670">
        <f>SUM(L229,L279,L280,L285,L293,L294)</f>
        <v>1271500</v>
      </c>
    </row>
    <row r="296" spans="1:14" ht="13.5" thickTop="1" x14ac:dyDescent="0.2">
      <c r="A296" s="2178" t="s">
        <v>996</v>
      </c>
      <c r="B296" s="2179"/>
      <c r="C296" s="616"/>
      <c r="D296" s="618"/>
      <c r="E296" s="616"/>
      <c r="F296" s="616"/>
      <c r="G296" s="616"/>
      <c r="H296" s="687"/>
      <c r="I296" s="616"/>
      <c r="J296" s="616"/>
      <c r="K296" s="1684">
        <f>'Revenues 9-14'!G268-'Expenditures 15-22'!K295</f>
        <v>75059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31096</v>
      </c>
      <c r="F301" s="466"/>
      <c r="G301" s="466">
        <v>874306</v>
      </c>
      <c r="H301" s="466"/>
      <c r="I301" s="467"/>
      <c r="J301" s="467"/>
      <c r="K301" s="1671">
        <f>SUM(C301:J301)</f>
        <v>905402</v>
      </c>
      <c r="L301" s="467">
        <v>572648</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31096</v>
      </c>
      <c r="F303" s="1677">
        <f t="shared" si="23"/>
        <v>0</v>
      </c>
      <c r="G303" s="1677">
        <f t="shared" si="23"/>
        <v>874306</v>
      </c>
      <c r="H303" s="1677">
        <f t="shared" si="23"/>
        <v>0</v>
      </c>
      <c r="I303" s="1677">
        <f t="shared" si="23"/>
        <v>0</v>
      </c>
      <c r="J303" s="1677">
        <f t="shared" si="23"/>
        <v>0</v>
      </c>
      <c r="K303" s="1677">
        <f t="shared" si="23"/>
        <v>905402</v>
      </c>
      <c r="L303" s="1677">
        <f t="shared" si="23"/>
        <v>572648</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6500</v>
      </c>
    </row>
    <row r="312" spans="1:14" s="674" customFormat="1" ht="12.75" customHeight="1" thickTop="1" thickBot="1" x14ac:dyDescent="0.25">
      <c r="A312" s="2166" t="s">
        <v>277</v>
      </c>
      <c r="B312" s="2167"/>
      <c r="C312" s="1670">
        <f>SUM(C303)</f>
        <v>0</v>
      </c>
      <c r="D312" s="1670">
        <f>SUM(D303)</f>
        <v>0</v>
      </c>
      <c r="E312" s="1670">
        <f>SUM(E303,E310)</f>
        <v>31096</v>
      </c>
      <c r="F312" s="1670">
        <f>SUM(F303)</f>
        <v>0</v>
      </c>
      <c r="G312" s="1670">
        <f>SUM(G303)</f>
        <v>874306</v>
      </c>
      <c r="H312" s="1670">
        <f>SUM(H303,H310)</f>
        <v>0</v>
      </c>
      <c r="I312" s="1670">
        <f>SUM(I303)</f>
        <v>0</v>
      </c>
      <c r="J312" s="1670">
        <f>SUM(J303)</f>
        <v>0</v>
      </c>
      <c r="K312" s="1670">
        <f>SUM(K303,K310,K311)</f>
        <v>905402</v>
      </c>
      <c r="L312" s="1670">
        <f>SUM(L303,L310,L311)</f>
        <v>579148</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-905402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4" t="s">
        <v>996</v>
      </c>
      <c r="B343" s="216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8" t="s">
        <v>996</v>
      </c>
      <c r="B368" s="217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purl.org/dc/terms/"/>
    <ds:schemaRef ds:uri="6ce3111e-7420-4802-b50a-75d4e9a0b980"/>
    <ds:schemaRef ds:uri="http://schemas.microsoft.com/office/2006/metadata/properties"/>
    <ds:schemaRef ds:uri="http://schemas.microsoft.com/office/infopath/2007/PartnerControls"/>
    <ds:schemaRef ds:uri="http://purl.org/dc/elements/1.1/"/>
    <ds:schemaRef ds:uri="http://schemas.microsoft.com/office/2006/documentManagement/types"/>
    <ds:schemaRef ds:uri="4d435f69-8686-490b-bd6d-b153bf22ab50"/>
    <ds:schemaRef ds:uri="d21dc803-237d-4c68-8692-8d731fd29118"/>
    <ds:schemaRef ds:uri="http://www.w3.org/XML/1998/namespace"/>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SSPAF</vt:lpstr>
      <vt:lpstr>SF&amp;QC Sec-3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2019-10-17T20:37:05Z</cp:lastPrinted>
  <dcterms:created xsi:type="dcterms:W3CDTF">2003-10-29T19:06:34Z</dcterms:created>
  <dcterms:modified xsi:type="dcterms:W3CDTF">2019-10-24T19:41:57Z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