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156CE54-52C3-48B7-A35A-FD602060BB12}" xr6:coauthVersionLast="36" xr6:coauthVersionMax="36" xr10:uidLastSave="{00000000-0000-0000-0000-000000000000}"/>
  <bookViews>
    <workbookView xWindow="-28920" yWindow="-1545"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3" i="29" l="1"/>
  <c r="J34" i="8" l="1"/>
  <c r="J33" i="8"/>
  <c r="J32" i="8"/>
  <c r="J31" i="8"/>
  <c r="D280" i="29"/>
  <c r="E182" i="29"/>
  <c r="D60" i="4"/>
  <c r="M19" i="3"/>
  <c r="F17" i="184" l="1"/>
  <c r="F13" i="183"/>
  <c r="I17" i="184"/>
  <c r="I13" i="183"/>
  <c r="I15" i="184"/>
  <c r="F15" i="184"/>
  <c r="L13" i="184"/>
  <c r="B4" i="184"/>
  <c r="I24" i="183"/>
  <c r="F24" i="183"/>
  <c r="L22" i="183"/>
  <c r="L21" i="183"/>
  <c r="L20" i="183"/>
  <c r="L19" i="183"/>
  <c r="L18" i="183"/>
  <c r="L17" i="183"/>
  <c r="L11"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2" i="179"/>
  <c r="L21" i="179"/>
  <c r="L18" i="179"/>
  <c r="L16"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K94" i="29"/>
  <c r="B6999" i="106" s="1"/>
  <c r="D6999" i="106" s="1"/>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64" i="127"/>
  <c r="B65" i="127"/>
  <c r="E27" i="108"/>
  <c r="F27" i="108"/>
  <c r="G27"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J22" i="37"/>
  <c r="D6103" i="106" l="1"/>
  <c r="F38" i="34"/>
  <c r="B7047" i="106"/>
  <c r="D7047" i="106" s="1"/>
  <c r="E35" i="108"/>
  <c r="G35" i="108"/>
  <c r="F50" i="34"/>
  <c r="F68" i="34"/>
  <c r="E34" i="108"/>
  <c r="E33" i="108"/>
  <c r="J129" i="29"/>
  <c r="B7038" i="106" s="1"/>
  <c r="D7038" i="106" s="1"/>
  <c r="B3647" i="106"/>
  <c r="D3647" i="106" s="1"/>
  <c r="L13" i="11"/>
  <c r="B2060" i="106" s="1"/>
  <c r="D2060" i="106" s="1"/>
  <c r="H28" i="118"/>
  <c r="L22" i="37"/>
  <c r="G210" i="29"/>
  <c r="B1365" i="106" s="1"/>
  <c r="D1365" i="106" s="1"/>
  <c r="H33" i="118"/>
  <c r="H342" i="29"/>
  <c r="I210" i="29"/>
  <c r="B7071" i="106" s="1"/>
  <c r="D7071" i="106" s="1"/>
  <c r="C352" i="29"/>
  <c r="J352" i="29"/>
  <c r="J367" i="29" s="1"/>
  <c r="B7245" i="106" s="1"/>
  <c r="D7245" i="106" s="1"/>
  <c r="C129" i="29"/>
  <c r="B1225" i="106" s="1"/>
  <c r="D1225" i="106" s="1"/>
  <c r="L5" i="11"/>
  <c r="B2056" i="106" s="1"/>
  <c r="D2056" i="106" s="1"/>
  <c r="J41" i="3"/>
  <c r="B6216" i="106" s="1"/>
  <c r="D6216" i="106" s="1"/>
  <c r="K76" i="4"/>
  <c r="B3586" i="106" s="1"/>
  <c r="D3586" i="106" s="1"/>
  <c r="B6289" i="106"/>
  <c r="D6289" i="106" s="1"/>
  <c r="H76" i="4"/>
  <c r="B3298" i="106" s="1"/>
  <c r="D3298" i="106" s="1"/>
  <c r="D24" i="37"/>
  <c r="B4270" i="106" s="1"/>
  <c r="D4270" i="106" s="1"/>
  <c r="D69" i="36"/>
  <c r="D68" i="36"/>
  <c r="D22" i="37"/>
  <c r="F19" i="7"/>
  <c r="B1807" i="106" s="1"/>
  <c r="D1807" i="106" s="1"/>
  <c r="G14" i="4"/>
  <c r="B2609" i="106" s="1"/>
  <c r="D2609" i="106" s="1"/>
  <c r="F71" i="34"/>
  <c r="K184" i="29"/>
  <c r="F13" i="4" s="1"/>
  <c r="B2596" i="106" s="1"/>
  <c r="D2596" i="106" s="1"/>
  <c r="E29" i="108"/>
  <c r="L367" i="29"/>
  <c r="G30" i="108"/>
  <c r="F69" i="34"/>
  <c r="F34" i="34"/>
  <c r="G29" i="108"/>
  <c r="G26" i="108"/>
  <c r="G39" i="108"/>
  <c r="E26" i="108"/>
  <c r="B6995" i="106"/>
  <c r="D6995" i="106" s="1"/>
  <c r="B3488" i="106"/>
  <c r="D3488" i="106" s="1"/>
  <c r="G15" i="145"/>
  <c r="B2836" i="106"/>
  <c r="D2836" i="106" s="1"/>
  <c r="B1274" i="106"/>
  <c r="D1274" i="106" s="1"/>
  <c r="F36" i="34"/>
  <c r="F28" i="108"/>
  <c r="E38" i="108"/>
  <c r="C342" i="29"/>
  <c r="B7216" i="106" s="1"/>
  <c r="D7216" i="106" s="1"/>
  <c r="J210" i="29"/>
  <c r="B7072" i="106" s="1"/>
  <c r="D7072" i="106" s="1"/>
  <c r="H365" i="29"/>
  <c r="B7242" i="106" s="1"/>
  <c r="D7242" i="106" s="1"/>
  <c r="I129" i="29"/>
  <c r="B7037" i="106" s="1"/>
  <c r="D7037" i="106" s="1"/>
  <c r="J77" i="4"/>
  <c r="B6262" i="106" s="1"/>
  <c r="D6262" i="106" s="1"/>
  <c r="F77" i="4"/>
  <c r="B3255" i="106" s="1"/>
  <c r="D3255"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0" i="106" l="1"/>
  <c r="D5770" i="106" s="1"/>
  <c r="F65" i="34"/>
  <c r="L114" i="29"/>
  <c r="L16" i="11"/>
  <c r="B2061" i="106" s="1"/>
  <c r="D2061" i="106" s="1"/>
  <c r="B7235" i="106"/>
  <c r="D7235" i="106" s="1"/>
  <c r="D7254" i="106"/>
  <c r="K28" i="118"/>
  <c r="O27" i="118" s="1"/>
  <c r="O29" i="118" s="1"/>
  <c r="F66" i="34"/>
  <c r="J151" i="29"/>
  <c r="B7052" i="106" s="1"/>
  <c r="D7052" i="106" s="1"/>
  <c r="D7256" i="106"/>
  <c r="D7251" i="106"/>
  <c r="K365" i="29"/>
  <c r="B7243" i="106" s="1"/>
  <c r="D7243" i="106" s="1"/>
  <c r="J16" i="4"/>
  <c r="B6226" i="106" s="1"/>
  <c r="D6226" i="106" s="1"/>
  <c r="C151" i="29"/>
  <c r="B1226" i="106" s="1"/>
  <c r="D1226" i="106" s="1"/>
  <c r="H151" i="29"/>
  <c r="B1273" i="106" s="1"/>
  <c r="D1273" i="106" s="1"/>
  <c r="B2031" i="106"/>
  <c r="D2031" i="106" s="1"/>
  <c r="D44" i="36"/>
  <c r="D51" i="36"/>
  <c r="K77" i="4"/>
  <c r="B3587" i="106" s="1"/>
  <c r="D3587" i="106" s="1"/>
  <c r="I151" i="29"/>
  <c r="F59" i="34" s="1"/>
  <c r="K342" i="29"/>
  <c r="F13" i="34" s="1"/>
  <c r="B1328" i="106"/>
  <c r="D1328" i="106" s="1"/>
  <c r="F41" i="108"/>
  <c r="G43" i="108" s="1"/>
  <c r="I7" i="4"/>
  <c r="B4444" i="106" s="1"/>
  <c r="D4444" i="106" s="1"/>
  <c r="D41" i="108"/>
  <c r="E43" i="108" s="1"/>
  <c r="C114" i="29"/>
  <c r="B757" i="106" s="1"/>
  <c r="D757" i="106" s="1"/>
  <c r="B5527" i="106"/>
  <c r="D5527" i="106" s="1"/>
  <c r="N23" i="3"/>
  <c r="B284" i="106" s="1"/>
  <c r="D284"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K367" i="29"/>
  <c r="B7224" i="106"/>
  <c r="D7224" i="106" s="1"/>
  <c r="F24" i="37"/>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F8" i="4"/>
  <c r="F10" i="4" s="1"/>
  <c r="B4125" i="106" s="1"/>
  <c r="D4125" i="106" s="1"/>
  <c r="J20" i="4"/>
  <c r="B6230" i="106" s="1"/>
  <c r="D6230" i="106" s="1"/>
  <c r="B6223" i="106"/>
  <c r="D6223" i="106" s="1"/>
  <c r="J10" i="4"/>
  <c r="B6225" i="106" s="1"/>
  <c r="D6225" i="106" s="1"/>
  <c r="K17" i="4"/>
  <c r="B3575" i="106" s="1"/>
  <c r="D357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F175" i="34"/>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<sst xmlns="http://schemas.openxmlformats.org/spreadsheetml/2006/main" count="5350" uniqueCount="2206">
  <si>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</si>
  <si>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</si>
  <si>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</si>
  <si>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</si>
  <si>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</si>
  <si>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</si>
  <si>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</si>
  <si>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</si>
  <si>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</si>
  <si>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</si>
  <si>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</si>
  <si>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</si>
  <si>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</si>
  <si>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</si>
  <si>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</si>
  <si>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</si>
  <si>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</si>
  <si>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</si>
  <si>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</si>
  <si>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</si>
  <si>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</si>
  <si>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</si>
  <si>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</si>
  <si>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</si>
  <si>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</si>
  <si>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</si>
  <si>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</si>
  <si>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</si>
  <si>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</si>
  <si>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</si>
  <si>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</si>
  <si>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</si>
  <si>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</si>
  <si>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</si>
  <si>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</si>
  <si>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</si>
  <si>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</si>
  <si>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</si>
  <si>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</si>
  <si>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</si>
  <si>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</si>
  <si>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</si>
  <si>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</si>
  <si>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</si>
  <si>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</si>
  <si>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</si>
  <si>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</si>
  <si>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</si>
  <si>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</si>
  <si>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</si>
  <si>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</si>
  <si>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</si>
  <si>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</si>
  <si>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</si>
  <si>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</si>
  <si>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</si>
  <si>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</si>
  <si>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</si>
  <si>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</si>
  <si>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</si>
  <si>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</si>
  <si>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</si>
  <si>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</si>
  <si>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</si>
  <si>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</si>
  <si>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</si>
  <si>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</si>
  <si>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</si>
  <si>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</si>
  <si>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</si>
  <si>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</si>
  <si>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</si>
  <si>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</si>
  <si>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</si>
  <si>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</si>
  <si>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</si>
  <si>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</si>
  <si>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</si>
  <si>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</si>
  <si>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</si>
  <si>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</si>
  <si>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</si>
  <si>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</si>
  <si>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</si>
  <si>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</si>
  <si>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</si>
  <si>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</si>
  <si>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</si>
  <si>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</si>
  <si>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</si>
  <si>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</si>
  <si>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</si>
  <si>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</si>
  <si>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</si>
  <si>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</si>
  <si>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</si>
  <si>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</si>
  <si>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</si>
  <si>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</si>
  <si>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</si>
  <si>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</si>
  <si>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</si>
  <si>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</si>
  <si>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</si>
  <si>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</si>
  <si>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</si>
  <si>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</si>
  <si>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</si>
  <si>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</si>
  <si>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</si>
  <si>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</si>
  <si>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</si>
  <si>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</si>
  <si>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</si>
  <si>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</si>
  <si>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</si>
  <si>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</si>
  <si>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</si>
  <si>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</si>
  <si>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</si>
  <si>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</si>
  <si>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</si>
  <si>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</si>
  <si>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</si>
  <si>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</si>
  <si>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</si>
  <si>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</si>
  <si>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</si>
  <si>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</si>
  <si>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</si>
  <si>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</si>
  <si>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</si>
  <si>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</si>
  <si>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</si>
  <si>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</si>
  <si>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</si>
  <si>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</si>
  <si>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</si>
  <si>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</si>
  <si>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</si>
  <si>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</si>
  <si>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</si>
  <si>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</si>
  <si>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</si>
  <si>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</si>
  <si>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</si>
  <si>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</si>
  <si>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</si>
  <si>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</si>
  <si>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</si>
  <si>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</si>
  <si>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</si>
  <si>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</si>
  <si>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</si>
  <si>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</si>
  <si>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</si>
  <si>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</si>
  <si>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</si>
  <si>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</si>
  <si>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</si>
  <si>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</si>
  <si>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</si>
  <si>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</si>
  <si>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</si>
  <si>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</si>
  <si>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</si>
  <si>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</si>
  <si>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</si>
  <si>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</si>
  <si>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</si>
  <si>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</si>
  <si>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</si>
  <si>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</si>
  <si>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</si>
  <si>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</si>
  <si>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</si>
  <si>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</si>
  <si>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</si>
  <si>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</si>
  <si>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</si>
  <si>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</si>
  <si>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</si>
  <si>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</si>
  <si>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</si>
  <si>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</si>
  <si>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</si>
  <si>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</si>
  <si>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</si>
  <si>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</si>
  <si>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</si>
  <si>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</si>
  <si>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</si>
  <si>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</si>
  <si>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</si>
  <si>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</si>
  <si>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</si>
  <si>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</si>
  <si>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</si>
  <si>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</si>
  <si>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</si>
  <si>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</si>
  <si>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</si>
  <si>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</si>
  <si>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</si>
  <si>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</si>
  <si>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</si>
  <si>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</si>
  <si>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</si>
  <si>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</si>
  <si>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</si>
  <si>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</si>
  <si>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</si>
  <si>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</si>
  <si>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</si>
  <si>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</si>
  <si>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</si>
  <si>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</si>
  <si>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</si>
  <si>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</si>
  <si>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</si>
  <si>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</si>
  <si>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</si>
  <si>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</si>
  <si>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</si>
  <si>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</si>
  <si>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</si>
  <si>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</si>
  <si>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</si>
  <si>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</si>
  <si>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</si>
  <si>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</si>
  <si>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</si>
  <si>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</si>
  <si>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</si>
  <si>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</si>
  <si>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</si>
  <si>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</si>
  <si>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</si>
  <si>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</si>
  <si>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</si>
  <si>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</si>
  <si>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</si>
  <si>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</si>
  <si>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</si>
  <si>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</si>
  <si>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</si>
  <si>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</si>
  <si>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</si>
  <si>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</si>
  <si>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</si>
  <si>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</si>
  <si>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</si>
  <si>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</si>
  <si>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</si>
  <si>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</si>
  <si>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</si>
  <si>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</si>
  <si>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</si>
  <si>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</si>
  <si>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</si>
  <si>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</si>
  <si>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</si>
  <si>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</si>
  <si>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</si>
  <si>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</si>
  <si>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</si>
  <si>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</si>
  <si>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</si>
  <si>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</si>
  <si>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</si>
  <si>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</si>
  <si>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</si>
  <si>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</si>
  <si>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</si>
  <si>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</si>
  <si>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</si>
  <si>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</si>
  <si>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</si>
  <si>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</si>
  <si>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</si>
  <si>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</si>
  <si>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</si>
  <si>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</si>
  <si>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</si>
  <si>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</si>
  <si>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</si>
  <si>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</si>
  <si>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</si>
  <si>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</si>
  <si>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</si>
  <si>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</si>
  <si>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</si>
  <si>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</si>
  <si>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</si>
  <si>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</si>
  <si>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</si>
  <si>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</si>
  <si>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</si>
  <si>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</si>
  <si>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</si>
  <si>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</si>
  <si>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</si>
  <si>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</si>
  <si>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</si>
  <si>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</si>
  <si>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</si>
  <si>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</si>
  <si>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</si>
  <si>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</si>
  <si>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</si>
  <si>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</si>
  <si>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</si>
  <si>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</si>
  <si>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</si>
  <si>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</si>
  <si>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</si>
  <si>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</si>
  <si>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</si>
  <si>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</si>
  <si>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</si>
  <si>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</si>
  <si>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</si>
  <si>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</si>
  <si>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</si>
  <si>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</si>
  <si>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</si>
  <si>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</si>
  <si>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</si>
  <si>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</si>
  <si>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</si>
  <si>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</si>
  <si>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</si>
  <si>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</si>
  <si>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</si>
  <si>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</si>
  <si>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</si>
  <si>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</si>
  <si>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</si>
  <si>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</si>
  <si>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</si>
  <si>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</si>
  <si>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</si>
  <si>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</si>
  <si>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</si>
  <si>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</si>
  <si>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</si>
  <si>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</si>
  <si>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</si>
  <si>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</si>
  <si>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</si>
  <si>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</si>
  <si>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</si>
  <si>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</si>
  <si>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</si>
  <si>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</si>
  <si>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</si>
  <si>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</si>
  <si>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</si>
  <si>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</si>
  <si>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</si>
  <si>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</si>
  <si>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</si>
  <si>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</si>
  <si>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</si>
  <si>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</si>
  <si>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</si>
  <si>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</si>
  <si>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</si>
  <si>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</si>
  <si>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</si>
  <si>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</si>
  <si>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</si>
  <si>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</si>
  <si>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</si>
  <si>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</si>
  <si>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</si>
  <si>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</si>
  <si>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</si>
  <si>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</si>
  <si>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</si>
  <si>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</si>
  <si>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</si>
  <si>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</si>
  <si>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</si>
  <si>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</si>
  <si>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</si>
  <si>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</si>
  <si>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</si>
  <si>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</si>
  <si>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</si>
  <si>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</si>
  <si>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</si>
  <si>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</si>
  <si>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</si>
  <si>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</si>
  <si>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</si>
  <si>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</si>
  <si>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</si>
  <si>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</si>
  <si>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</si>
  <si>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</si>
  <si>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</si>
  <si>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</si>
  <si>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</si>
  <si>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</si>
  <si>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</si>
  <si>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</si>
  <si>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</si>
  <si>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</si>
  <si>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</si>
  <si>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</si>
  <si>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</si>
  <si>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</si>
  <si>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</si>
  <si>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</si>
  <si>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</si>
  <si>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</si>
  <si>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</si>
  <si>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</si>
  <si>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</si>
  <si>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</si>
  <si>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</si>
  <si>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</si>
  <si>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</si>
  <si>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</si>
  <si>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</si>
  <si>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</si>
  <si>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</si>
  <si>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</si>
  <si>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</si>
  <si>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</si>
  <si>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</si>
  <si>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</si>
  <si>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</si>
  <si>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</si>
  <si>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</si>
  <si>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</si>
  <si>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</si>
  <si>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</si>
  <si>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</si>
  <si>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</si>
  <si>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</si>
  <si>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</si>
  <si>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</si>
  <si>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</si>
  <si>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</si>
  <si>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</si>
  <si>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</si>
  <si>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</si>
  <si>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</si>
  <si>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</si>
  <si>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</si>
  <si>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</si>
  <si>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</si>
  <si>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</si>
  <si>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</si>
  <si>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</si>
  <si>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</si>
  <si>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</si>
  <si>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</si>
  <si>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</si>
  <si>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</si>
  <si>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</si>
  <si>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</si>
  <si>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</si>
  <si>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</si>
  <si>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</si>
  <si>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</si>
  <si>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</si>
  <si>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</si>
  <si>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</si>
  <si>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</si>
  <si>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</si>
  <si>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</si>
  <si>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</si>
  <si>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</si>
  <si>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</si>
  <si>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</si>
  <si>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</si>
  <si>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</si>
  <si>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</si>
  <si>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</si>
  <si>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</si>
  <si>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</si>
  <si>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</si>
  <si>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</si>
  <si>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</si>
  <si>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</si>
  <si>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</si>
  <si>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</si>
  <si>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</si>
  <si>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</si>
  <si>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</si>
  <si>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</si>
  <si>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</si>
  <si>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</si>
  <si>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</si>
  <si>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</si>
  <si>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</si>
  <si>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</si>
  <si>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</si>
  <si>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</si>
  <si>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</si>
  <si>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</si>
  <si>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</si>
  <si>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</si>
  <si>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</si>
  <si>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</si>
  <si>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</si>
  <si>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</si>
  <si>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</si>
  <si>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</si>
  <si>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</si>
  <si>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</si>
  <si>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</si>
  <si>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</si>
  <si>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</si>
  <si>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</si>
  <si>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</si>
  <si>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</si>
  <si>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</si>
  <si>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</si>
  <si>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</si>
  <si>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</si>
  <si>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</si>
  <si>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</si>
  <si>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</si>
  <si>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</si>
  <si>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</si>
  <si>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</si>
  <si>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</si>
  <si>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</si>
  <si>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</si>
  <si>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</si>
  <si>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</si>
  <si>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</si>
  <si>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</si>
  <si>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</si>
  <si>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</si>
  <si>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</si>
  <si>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</si>
  <si>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</si>
  <si>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</si>
  <si>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</si>
  <si>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</si>
  <si>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</si>
  <si>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</si>
  <si>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</si>
  <si>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</si>
  <si>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</si>
  <si>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</si>
  <si>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</si>
  <si>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</si>
  <si>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</si>
  <si>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</si>
  <si>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</si>
  <si>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</si>
  <si>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</si>
  <si>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</si>
  <si>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</si>
  <si>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</si>
  <si>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</si>
  <si>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</si>
  <si>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</si>
  <si>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</si>
  <si>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</si>
  <si>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</si>
  <si>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</si>
  <si>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</si>
  <si>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</si>
  <si>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</si>
  <si>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</si>
  <si>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</si>
  <si>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</si>
  <si>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</si>
  <si>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</si>
  <si>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</si>
  <si>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</si>
  <si>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</si>
  <si>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</si>
  <si>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</si>
  <si>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</si>
  <si>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</si>
  <si>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</si>
  <si>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</si>
  <si>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</si>
  <si>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</si>
  <si>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</si>
  <si>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</si>
  <si>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</si>
  <si>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</si>
  <si>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</si>
  <si>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</si>
  <si>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</si>
  <si>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</si>
  <si>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</si>
  <si>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</si>
  <si>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</si>
  <si>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</si>
  <si>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</si>
  <si>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</si>
  <si>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</si>
  <si>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</si>
  <si>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</si>
  <si>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</si>
  <si>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</si>
  <si>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</si>
  <si>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</si>
  <si>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</si>
  <si>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</si>
  <si>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</si>
  <si>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</si>
  <si>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</si>
  <si>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</si>
  <si>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</si>
  <si>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</si>
  <si>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</si>
  <si>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</si>
  <si>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</si>
  <si>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</si>
  <si>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</si>
  <si>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</si>
  <si>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</si>
  <si>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</si>
  <si>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</si>
  <si>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</si>
  <si>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</si>
  <si>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</si>
  <si>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</si>
  <si>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</si>
  <si>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</si>
  <si>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</si>
  <si>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</si>
  <si>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</si>
  <si>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</si>
  <si>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</si>
  <si>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</si>
  <si>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</si>
  <si>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</si>
  <si>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</si>
  <si>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</si>
  <si>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</si>
  <si>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</si>
  <si>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</si>
  <si>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</si>
  <si>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</si>
  <si>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</si>
  <si>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</si>
  <si>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</si>
  <si>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</si>
  <si>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</si>
  <si>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</si>
  <si>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</si>
  <si>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</si>
  <si>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</si>
  <si>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</si>
  <si>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</si>
  <si>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</si>
  <si>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</si>
  <si>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</si>
  <si>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</si>
  <si>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</si>
  <si>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</si>
  <si>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</si>
  <si>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</si>
  <si>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</si>
  <si>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</si>
  <si>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</si>
  <si>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</si>
  <si>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</si>
  <si>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</si>
  <si>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</si>
  <si>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</si>
  <si>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</si>
  <si>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</si>
  <si>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</si>
  <si>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</si>
  <si>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</si>
  <si>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</si>
  <si>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</si>
  <si>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</si>
  <si>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</si>
  <si>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</si>
  <si>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</si>
  <si>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</si>
  <si>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</si>
  <si>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</si>
  <si>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</si>
  <si>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</si>
  <si>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</si>
  <si>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</si>
  <si>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</si>
  <si>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</si>
  <si>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</si>
  <si>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</si>
  <si>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</si>
  <si>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</si>
  <si>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</si>
  <si>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</si>
  <si>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</si>
  <si>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</si>
  <si>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</si>
  <si>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</si>
  <si>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</si>
  <si>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</si>
  <si>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</si>
  <si>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</si>
  <si>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</si>
  <si>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</si>
  <si>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</si>
  <si>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</si>
  <si>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</si>
  <si>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</si>
  <si>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</si>
  <si>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</si>
  <si>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</si>
  <si>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</si>
  <si>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</si>
  <si>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</si>
  <si>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</si>
  <si>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</si>
  <si>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</si>
  <si>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</si>
  <si>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</si>
  <si>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</si>
  <si>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</si>
  <si>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</si>
  <si>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</si>
  <si>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</si>
  <si>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</si>
  <si>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</si>
  <si>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</si>
  <si>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</si>
  <si>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</si>
  <si>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</si>
  <si>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</si>
  <si>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</si>
  <si>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</si>
  <si>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</si>
  <si>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</si>
  <si>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</si>
  <si>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</si>
  <si>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</si>
  <si>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</si>
  <si>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</si>
  <si>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</si>
  <si>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</si>
  <si>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</si>
  <si>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</si>
  <si>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</si>
  <si>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</si>
  <si>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</si>
  <si>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</si>
  <si>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</si>
  <si>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</si>
  <si>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</si>
  <si>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</si>
  <si>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</si>
  <si>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</si>
  <si>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</si>
  <si>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</si>
  <si>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</si>
  <si>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</si>
  <si>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</si>
  <si>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</si>
  <si>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</si>
  <si>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</si>
  <si>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</si>
  <si>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</si>
  <si>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</si>
  <si>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</si>
  <si>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</si>
  <si>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</si>
  <si>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</si>
  <si>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</si>
  <si>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</si>
  <si>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</si>
  <si>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</si>
  <si>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</si>
  <si>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</si>
  <si>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</si>
  <si>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</si>
  <si>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</si>
  <si>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</si>
  <si>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</si>
  <si>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</si>
  <si>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</si>
  <si>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</si>
  <si>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</si>
  <si>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</si>
  <si>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</si>
  <si>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</si>
  <si>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</si>
  <si>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</si>
  <si>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</si>
  <si>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</si>
  <si>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</si>
  <si>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</si>
  <si>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</si>
  <si>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</si>
  <si>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</si>
  <si>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</si>
  <si>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</si>
  <si>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</si>
  <si>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</si>
  <si>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</si>
  <si>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</si>
  <si>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</si>
  <si>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</si>
  <si>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</si>
  <si>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</si>
  <si>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</si>
  <si>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</si>
  <si>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</si>
  <si>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</si>
  <si>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</si>
  <si>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</si>
  <si>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</si>
  <si>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</si>
  <si>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</si>
  <si>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</si>
  <si>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</si>
  <si>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</si>
  <si>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</si>
  <si>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</si>
  <si>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</si>
  <si>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</si>
  <si>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</si>
  <si>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</si>
  <si>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</si>
  <si>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</si>
  <si>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</si>
  <si>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</si>
  <si>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</si>
  <si>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</si>
  <si>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</si>
  <si>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</si>
  <si>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</si>
  <si>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</si>
  <si>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</si>
  <si>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</si>
  <si>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</si>
  <si>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</si>
  <si>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</si>
  <si>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</si>
  <si>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</si>
  <si>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</si>
  <si>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</si>
  <si>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</si>
  <si>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</si>
  <si>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</si>
  <si>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</si>
  <si>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</si>
  <si>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</si>
  <si>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</si>
  <si>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</si>
  <si>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</si>
  <si>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</si>
  <si>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</si>
  <si>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</si>
  <si>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</si>
  <si>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</si>
  <si>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</si>
  <si>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</si>
  <si>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</si>
  <si>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</si>
  <si>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</si>
  <si>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</si>
  <si>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</si>
  <si>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</si>
  <si>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</si>
  <si>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</si>
  <si>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</si>
  <si>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</si>
  <si>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</si>
  <si>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</si>
  <si>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</si>
  <si>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</si>
  <si>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</si>
  <si>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</si>
  <si>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</si>
  <si>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</si>
  <si>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</si>
  <si>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</si>
  <si>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</si>
  <si>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</si>
  <si>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</si>
  <si>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</si>
  <si>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</si>
  <si>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</si>
  <si>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</si>
  <si>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</si>
  <si>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</si>
  <si>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</si>
  <si>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</si>
  <si>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</si>
  <si>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</si>
  <si>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</si>
  <si>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</si>
  <si>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</si>
  <si>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</si>
  <si>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</si>
  <si>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</si>
  <si>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</si>
  <si>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</si>
  <si>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</si>
  <si>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</si>
  <si>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</si>
  <si>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</si>
  <si>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</si>
  <si>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</si>
  <si>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</si>
  <si>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</si>
  <si>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</si>
  <si>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</si>
  <si>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</si>
  <si>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</si>
  <si>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</si>
  <si>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</si>
  <si>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</si>
  <si>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</si>
  <si>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</si>
  <si>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</si>
  <si>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</si>
  <si>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</si>
  <si>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</si>
  <si>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</si>
  <si>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</si>
  <si>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</si>
  <si>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</si>
  <si>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</si>
  <si>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</si>
  <si>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</si>
  <si>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</si>
  <si>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</si>
  <si>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</si>
  <si>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</si>
  <si>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</si>
  <si>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</si>
  <si>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</si>
  <si>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</si>
  <si>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</si>
  <si>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</si>
  <si>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</si>
  <si>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</si>
  <si>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</si>
  <si>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</si>
  <si>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</si>
  <si>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</si>
  <si>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</si>
  <si>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</si>
  <si>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</si>
  <si>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</si>
  <si>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</si>
  <si>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</si>
  <si>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</si>
  <si>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</si>
  <si>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</si>
  <si>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</si>
  <si>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</si>
  <si>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</si>
  <si>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</si>
  <si>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</si>
  <si>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</si>
  <si>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</si>
  <si>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</si>
  <si>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</si>
  <si>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</si>
  <si>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</si>
  <si>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</si>
  <si>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</si>
  <si>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</si>
  <si>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</si>
  <si>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</si>
  <si>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</si>
  <si>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</si>
  <si>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</si>
  <si>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</si>
  <si>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</si>
  <si>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</si>
  <si>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</si>
  <si>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</si>
  <si>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</si>
  <si>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</si>
  <si>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</si>
  <si>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</si>
  <si>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</si>
  <si>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</si>
  <si>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</si>
  <si>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</si>
  <si>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</si>
  <si>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</si>
  <si>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</si>
  <si>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</si>
  <si>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</si>
  <si>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</si>
  <si>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</si>
  <si>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</si>
  <si>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</si>
  <si>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</si>
  <si>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</si>
  <si>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</si>
  <si>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</si>
  <si>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</si>
  <si>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</si>
  <si>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</si>
  <si>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</si>
  <si>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</si>
  <si>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</si>
  <si>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</si>
  <si>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</si>
  <si>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</si>
  <si>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</si>
  <si>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</si>
  <si>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</si>
  <si>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</si>
  <si>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</si>
  <si>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</si>
  <si>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</si>
  <si>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</si>
  <si>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</si>
  <si>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</si>
  <si>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</si>
  <si>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</si>
  <si>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</si>
  <si>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</si>
  <si>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</si>
  <si>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</si>
  <si>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</si>
  <si>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</si>
  <si>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</si>
  <si>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</si>
  <si>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</si>
  <si>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</si>
  <si>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</si>
  <si>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</si>
  <si>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</si>
  <si>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</si>
  <si>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</si>
  <si>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</si>
  <si>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</si>
  <si>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</si>
  <si>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</si>
  <si>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</si>
  <si>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</si>
  <si>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</si>
  <si>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</si>
  <si>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</si>
  <si>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</si>
  <si>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</si>
  <si>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</si>
  <si>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</si>
  <si>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</si>
  <si>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</si>
  <si>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</si>
  <si>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</si>
  <si>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</si>
  <si>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</si>
  <si>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</si>
  <si>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</si>
  <si>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</si>
  <si>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</si>
  <si>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</si>
  <si>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</si>
  <si>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</si>
  <si>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</si>
  <si>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</si>
  <si>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</si>
  <si>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</si>
  <si>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</si>
  <si>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</si>
  <si>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</si>
  <si>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</si>
  <si>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</si>
  <si>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</si>
  <si>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</si>
  <si>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</si>
  <si>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</si>
  <si>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</si>
  <si>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</si>
  <si>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</si>
  <si>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</si>
  <si>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</si>
  <si>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</si>
  <si>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</si>
  <si>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</si>
  <si>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</si>
  <si>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</si>
  <si>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</si>
  <si>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</si>
  <si>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</si>
  <si>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</si>
  <si>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</si>
  <si>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</si>
  <si>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</si>
  <si>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</si>
  <si>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</si>
  <si>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</si>
  <si>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</si>
  <si>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</si>
  <si>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</si>
  <si>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</si>
  <si>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</si>
  <si>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</si>
  <si>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</si>
  <si>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</si>
  <si>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</si>
  <si>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</si>
  <si>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</si>
  <si>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</si>
  <si>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</si>
  <si>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</si>
  <si>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</si>
  <si>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</si>
  <si>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</si>
  <si>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</si>
  <si>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</si>
  <si>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</si>
  <si>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</si>
  <si>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</si>
  <si>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</si>
  <si>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</si>
  <si>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</si>
  <si>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</si>
  <si>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</si>
  <si>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</si>
  <si>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</si>
  <si>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</si>
  <si>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</si>
  <si>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</si>
  <si>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</si>
  <si>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</si>
  <si>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</si>
  <si>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</si>
  <si>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</si>
  <si>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</si>
  <si>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</si>
  <si>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</si>
  <si>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</si>
  <si>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</si>
  <si>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</si>
  <si>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</si>
  <si>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</si>
  <si>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</si>
  <si>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</si>
  <si>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</si>
  <si>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</si>
  <si>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</si>
  <si>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</si>
  <si>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</si>
  <si>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</si>
  <si>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</si>
  <si>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</si>
  <si>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</si>
  <si>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</si>
  <si>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</si>
  <si>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</si>
  <si>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</si>
  <si>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</si>
  <si>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</si>
  <si>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</si>
  <si>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</si>
  <si>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</si>
  <si>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</si>
  <si>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</si>
  <si>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</si>
  <si>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</si>
  <si>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</si>
  <si>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</si>
  <si>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</si>
  <si>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</si>
  <si>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</si>
  <si>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</si>
  <si>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</si>
  <si>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</si>
  <si>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</si>
  <si>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</si>
  <si>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</si>
  <si>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</si>
  <si>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</si>
  <si>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</si>
  <si>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</si>
  <si>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</si>
  <si>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</si>
  <si>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</si>
  <si>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</si>
  <si>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</si>
  <si>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</si>
  <si>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</si>
  <si>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</si>
  <si>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</si>
  <si>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</si>
  <si>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</si>
  <si>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</si>
  <si>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</si>
  <si>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</si>
  <si>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</si>
  <si>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</si>
  <si>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</si>
  <si>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</si>
  <si>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</si>
  <si>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</si>
  <si>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</si>
  <si>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</si>
  <si>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</si>
  <si>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</si>
  <si>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</si>
  <si>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</si>
  <si>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</si>
  <si>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</si>
  <si>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</si>
  <si>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</si>
  <si>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</si>
  <si>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</si>
  <si>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</si>
  <si>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</si>
  <si>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</si>
  <si>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</si>
  <si>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</si>
  <si>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</si>
  <si>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</si>
  <si>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</si>
  <si>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</si>
  <si>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</si>
  <si>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</si>
  <si>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</si>
  <si>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</si>
  <si>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</si>
  <si>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</si>
  <si>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</si>
  <si>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</si>
  <si>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</si>
  <si>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</si>
  <si>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</si>
  <si>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</si>
  <si>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</si>
  <si>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</si>
  <si>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</si>
  <si>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</si>
  <si>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</si>
  <si>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</si>
  <si>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</si>
  <si>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</si>
  <si>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</si>
  <si>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</si>
  <si>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</si>
  <si>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</si>
  <si>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</si>
  <si>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</si>
  <si>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</si>
  <si>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</si>
  <si>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</si>
  <si>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</si>
  <si>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</si>
  <si>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</si>
  <si>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</si>
  <si>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</si>
  <si>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</si>
  <si>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</si>
  <si>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</si>
  <si>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</si>
  <si>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</si>
  <si>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</si>
  <si>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</si>
  <si>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</si>
  <si>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</si>
  <si>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</si>
  <si>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</si>
  <si>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</si>
  <si>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</si>
  <si>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</si>
  <si>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</si>
  <si>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</si>
  <si>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</si>
  <si>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</si>
  <si>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</si>
  <si>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</si>
  <si>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</si>
  <si>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</si>
  <si>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</si>
  <si>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</si>
  <si>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</si>
  <si>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</si>
  <si>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</si>
  <si>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</si>
  <si>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</si>
  <si>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</si>
  <si>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</si>
  <si>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</si>
  <si>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</si>
  <si>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</si>
  <si>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</si>
  <si>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</si>
  <si>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</si>
  <si>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</si>
  <si>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</si>
  <si>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</si>
  <si>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</si>
  <si>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</si>
  <si>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</si>
  <si>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</si>
  <si>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</si>
  <si>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</si>
  <si>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</si>
  <si>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</si>
  <si>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</si>
  <si>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</si>
  <si>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</si>
  <si>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</si>
  <si>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</si>
  <si>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</si>
  <si>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</si>
  <si>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</si>
  <si>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</si>
  <si>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</si>
  <si>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</si>
  <si>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</si>
  <si>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</si>
  <si>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</si>
  <si>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</si>
  <si>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</si>
  <si>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</si>
  <si>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</si>
  <si>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</si>
  <si>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</si>
  <si>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</si>
  <si>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</si>
  <si>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</si>
  <si>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</si>
  <si>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</si>
  <si>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</si>
  <si>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</si>
  <si>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</si>
  <si>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</si>
  <si>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</si>
  <si>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</si>
  <si>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</si>
  <si>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</si>
  <si>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</si>
  <si>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</si>
  <si>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</si>
  <si>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</si>
  <si>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</si>
  <si>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</si>
  <si>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</si>
  <si>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</si>
  <si>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</si>
  <si>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</si>
  <si>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</si>
  <si>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</si>
  <si>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</si>
  <si>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</si>
  <si>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</si>
  <si>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</si>
  <si>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</si>
  <si>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</si>
  <si>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</si>
  <si>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</si>
  <si>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</si>
  <si>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</si>
  <si>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</si>
  <si>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</si>
  <si>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</si>
  <si>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</si>
  <si>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</si>
  <si>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</si>
  <si>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</si>
  <si>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</si>
  <si>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</si>
  <si>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</si>
  <si>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</si>
  <si>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</si>
  <si>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</si>
  <si>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</si>
  <si>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</si>
  <si>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</si>
  <si>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</si>
  <si>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</si>
  <si>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</si>
  <si>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</si>
  <si>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</si>
  <si>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</si>
  <si>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</si>
  <si>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</si>
  <si>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</si>
  <si>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</si>
  <si>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</si>
  <si>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</si>
  <si>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</si>
  <si>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</si>
  <si>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</si>
  <si>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</si>
  <si>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</si>
  <si>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</si>
  <si>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</si>
  <si>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</si>
  <si>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</si>
  <si>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</si>
  <si>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</si>
  <si>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</si>
  <si>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</si>
  <si>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</si>
  <si>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</si>
  <si>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</si>
  <si>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</si>
  <si>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</si>
  <si>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</si>
  <si>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</si>
  <si>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</si>
  <si>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</si>
  <si>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</si>
  <si>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</si>
  <si>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</si>
  <si>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</si>
  <si>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</si>
  <si>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</si>
  <si>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</si>
  <si>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</si>
  <si>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</si>
  <si>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</si>
  <si>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</si>
  <si>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</si>
  <si>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</si>
  <si>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</si>
  <si>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</si>
  <si>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</si>
  <si>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</si>
  <si>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</si>
  <si>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</si>
  <si>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</si>
  <si>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</si>
  <si>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</si>
  <si>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</si>
  <si>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</si>
  <si>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</si>
  <si>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</si>
  <si>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</si>
  <si>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</si>
  <si>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</si>
  <si>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</si>
  <si>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</si>
  <si>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</si>
  <si>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</si>
  <si>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</si>
  <si>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</si>
  <si>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</si>
  <si>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</si>
  <si>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</si>
  <si>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</si>
  <si>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</si>
  <si>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</si>
  <si>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</si>
  <si>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</si>
  <si>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</si>
  <si>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</si>
  <si>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</si>
  <si>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</si>
  <si>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</si>
  <si>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</si>
  <si>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</si>
  <si>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</si>
  <si>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</si>
  <si>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</si>
  <si>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</si>
  <si>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</si>
  <si>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</si>
  <si>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</si>
  <si>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</si>
  <si>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</si>
  <si>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</si>
  <si>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</si>
  <si>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</si>
  <si>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</si>
  <si>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</si>
  <si>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</si>
  <si>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</si>
  <si>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</si>
  <si>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</si>
  <si>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</si>
  <si>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</si>
  <si>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</si>
  <si>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</si>
  <si>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</si>
  <si>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</si>
  <si>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</si>
  <si>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</si>
  <si>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</si>
  <si>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</si>
  <si>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</si>
  <si>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</si>
  <si>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</si>
  <si>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</si>
  <si>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</si>
  <si>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</si>
  <si>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</si>
  <si>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</si>
  <si>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</si>
  <si>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</si>
  <si>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</si>
  <si>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</si>
  <si>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</si>
  <si>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</si>
  <si>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</si>
  <si>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</si>
  <si>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</si>
  <si>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</si>
  <si>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</si>
  <si>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</si>
  <si>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</si>
  <si>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</si>
  <si>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</si>
  <si>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</si>
  <si>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</si>
  <si>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</si>
  <si>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</si>
  <si>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</si>
  <si>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</si>
  <si>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</si>
  <si>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</si>
  <si>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</si>
  <si>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</si>
  <si>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</si>
  <si>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</si>
  <si>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</si>
  <si>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</si>
  <si>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</si>
  <si>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</si>
  <si>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</si>
  <si>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</si>
  <si>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</si>
  <si>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</si>
  <si>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</si>
  <si>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</si>
  <si>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</si>
  <si>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</si>
  <si>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</si>
  <si>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</si>
  <si>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</si>
  <si>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</si>
  <si>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</si>
  <si>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</si>
  <si>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</si>
  <si>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</si>
  <si>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</si>
  <si>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</si>
  <si>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</si>
  <si>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</si>
  <si>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</si>
  <si>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</si>
  <si>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</si>
  <si>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</si>
  <si>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</si>
  <si>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</si>
  <si>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</si>
  <si>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</si>
  <si>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</si>
  <si>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</si>
  <si>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</si>
  <si>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</si>
  <si>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</si>
  <si>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</si>
  <si>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</si>
  <si>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</si>
  <si>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</si>
  <si>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</si>
  <si>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</si>
  <si>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</si>
  <si>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</si>
  <si>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</si>
  <si>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</si>
  <si>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</si>
  <si>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</si>
  <si>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</si>
  <si>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</si>
  <si>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</si>
  <si>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</si>
  <si>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</si>
  <si>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</si>
  <si>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</si>
  <si>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</si>
  <si>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</si>
  <si>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</si>
  <si>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</si>
  <si>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</si>
  <si>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</si>
  <si>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</si>
  <si>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</si>
  <si>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</si>
  <si>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</si>
  <si>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</si>
  <si>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</si>
  <si>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</si>
  <si>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</si>
  <si>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</si>
  <si>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</si>
  <si>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</si>
  <si>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</si>
  <si>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</si>
  <si>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</si>
  <si>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</si>
  <si>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</si>
  <si>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</si>
  <si>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</si>
  <si>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</si>
  <si>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</si>
  <si>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</si>
  <si>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</si>
  <si>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</si>
  <si>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</si>
  <si>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</si>
  <si>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</si>
  <si>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</si>
  <si>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</si>
  <si>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</si>
  <si>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</si>
  <si>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</si>
  <si>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</si>
  <si>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</si>
  <si>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</si>
  <si>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</si>
  <si>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</si>
  <si>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</si>
  <si>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</si>
  <si>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</si>
  <si>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</si>
  <si>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</si>
  <si>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</si>
  <si>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</si>
  <si>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</si>
  <si>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</si>
  <si>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</si>
  <si>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</si>
  <si>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</si>
  <si>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</si>
  <si>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</si>
  <si>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</si>
  <si>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</si>
  <si>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</si>
  <si>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</si>
  <si>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</si>
  <si>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</si>
  <si>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</si>
  <si>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</si>
  <si>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</si>
  <si>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</si>
  <si>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</si>
  <si>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</si>
  <si>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</si>
  <si>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</si>
  <si>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</si>
  <si>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</si>
  <si>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</si>
  <si>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</si>
  <si>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</si>
  <si>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</si>
  <si>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</si>
  <si>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</si>
  <si>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</si>
  <si>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</si>
  <si>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</si>
  <si>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</si>
  <si>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</si>
  <si>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</si>
  <si>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</si>
  <si>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</si>
  <si>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</si>
  <si>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</si>
  <si>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</si>
  <si>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</si>
  <si>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</si>
  <si>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</si>
  <si>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</si>
  <si>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</si>
  <si>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</si>
  <si>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</si>
  <si>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</si>
  <si>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</si>
  <si>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</si>
  <si>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</si>
  <si>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</si>
  <si>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</si>
  <si>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</si>
  <si>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</si>
  <si>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</si>
  <si>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</si>
  <si>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</si>
  <si>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</si>
  <si>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</si>
  <si>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</si>
  <si>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</si>
  <si>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</si>
  <si>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</si>
  <si>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</si>
  <si>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</si>
  <si>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</si>
  <si>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</si>
  <si>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</si>
  <si>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</si>
  <si>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</si>
  <si>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</si>
  <si>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</si>
  <si>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</si>
  <si>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</si>
  <si>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</si>
  <si>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</si>
  <si>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</si>
  <si>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</si>
  <si>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</si>
  <si>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</si>
  <si>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</si>
  <si>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</si>
  <si>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</si>
  <si>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</si>
  <si>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</si>
  <si>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</si>
  <si>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</si>
  <si>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</si>
  <si>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</si>
  <si>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</si>
  <si>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</si>
  <si>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</si>
  <si>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</si>
  <si>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</si>
  <si>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</si>
  <si>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</si>
  <si>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</si>
  <si>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</si>
  <si>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</si>
  <si>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</si>
  <si>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</si>
  <si>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</si>
  <si>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</si>
  <si>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</si>
  <si>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</si>
  <si>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</si>
  <si>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</si>
  <si>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</si>
  <si>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</si>
  <si>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</si>
  <si>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</si>
  <si>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</si>
  <si>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</si>
  <si>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</si>
  <si>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</si>
  <si>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</si>
  <si>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</si>
  <si>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</si>
  <si>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</si>
  <si>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</si>
  <si>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</si>
  <si>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</si>
  <si>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</si>
  <si>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</si>
  <si>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</si>
  <si>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</si>
  <si>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</si>
  <si>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</si>
  <si>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</si>
  <si>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</si>
  <si>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</si>
  <si>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</si>
  <si>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</si>
  <si>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</si>
  <si>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</si>
  <si>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</si>
  <si>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</si>
  <si>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</si>
  <si>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</si>
  <si>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</si>
  <si>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</si>
  <si>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</si>
  <si>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</si>
  <si>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</si>
  <si>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</si>
  <si>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</si>
  <si>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</si>
  <si>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</si>
  <si>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</si>
  <si>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</si>
  <si>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</si>
  <si>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</si>
  <si>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</si>
  <si>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</si>
  <si>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</si>
  <si>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</si>
  <si>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</si>
  <si>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</si>
  <si>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</si>
  <si>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</si>
  <si>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</si>
  <si>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</si>
  <si>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</si>
  <si>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</si>
  <si>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</si>
  <si>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</si>
  <si>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</si>
  <si>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</si>
  <si>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</si>
  <si>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</si>
  <si>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</si>
  <si>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</si>
  <si>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</si>
  <si>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</si>
  <si>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</si>
  <si>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</si>
  <si>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</si>
  <si>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</si>
  <si>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</si>
  <si>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</si>
  <si>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</si>
  <si>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</si>
  <si>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</si>
  <si>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</si>
  <si>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</si>
  <si>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</si>
  <si>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</si>
  <si>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</si>
  <si>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</si>
  <si>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</si>
  <si>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</si>
  <si>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</si>
  <si>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</si>
  <si>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</si>
  <si>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</si>
  <si>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</si>
  <si>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</si>
  <si>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</si>
  <si>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</si>
  <si>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</si>
  <si>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</si>
  <si>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</si>
  <si>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</si>
  <si>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</si>
  <si>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</si>
  <si>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</si>
  <si>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</si>
  <si>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</si>
  <si>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</si>
  <si>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</si>
  <si>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</si>
  <si>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</si>
  <si>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</si>
  <si>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</si>
  <si>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</si>
  <si>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</si>
  <si>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</si>
  <si>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</si>
  <si>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</si>
  <si>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</si>
  <si>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</si>
  <si>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</si>
  <si>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</si>
  <si>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</si>
  <si>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</si>
  <si>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</si>
  <si>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</si>
  <si>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</si>
  <si>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</si>
  <si>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</si>
  <si>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</si>
  <si>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</si>
  <si>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</si>
  <si>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</si>
  <si>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</si>
  <si>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</si>
  <si>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</si>
  <si>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</si>
  <si>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</si>
  <si>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</si>
  <si>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</si>
  <si>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</si>
  <si>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</si>
  <si>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</si>
  <si>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</si>
  <si>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</si>
  <si>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</si>
  <si>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</si>
  <si>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</si>
  <si>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</si>
  <si>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</si>
  <si>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</si>
  <si>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</si>
  <si>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</si>
  <si>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</si>
  <si>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</si>
  <si>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</si>
  <si>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</si>
  <si>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</si>
  <si>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</si>
  <si>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</si>
  <si>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</si>
  <si>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</si>
  <si>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</si>
  <si>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</si>
  <si>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</si>
  <si>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</si>
  <si>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</si>
  <si>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</si>
  <si>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</si>
  <si>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</si>
  <si>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</si>
  <si>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</si>
  <si>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</si>
  <si>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</si>
  <si>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</si>
  <si>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</si>
  <si>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</si>
  <si>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</si>
  <si>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</si>
  <si>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</si>
  <si>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</si>
  <si>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</si>
  <si>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</si>
  <si>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</si>
  <si>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</si>
  <si>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</si>
  <si>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</si>
  <si>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</si>
  <si>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</si>
  <si>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</si>
  <si>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</si>
  <si>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</si>
  <si>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</si>
  <si>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</si>
  <si>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</si>
  <si>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</si>
  <si>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</si>
  <si>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</si>
  <si>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</si>
  <si>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</si>
  <si>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</si>
  <si>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</si>
  <si>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</si>
  <si>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</si>
  <si>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</si>
  <si>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</si>
  <si>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</si>
  <si>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</si>
  <si>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</si>
  <si>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</si>
  <si>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</si>
  <si>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</si>
  <si>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</si>
  <si>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</si>
  <si>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</si>
  <si>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</si>
  <si>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</si>
  <si>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</si>
  <si>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</si>
  <si>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</si>
  <si>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</si>
  <si>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</si>
  <si>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</si>
  <si>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</si>
  <si>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</si>
  <si>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</si>
  <si>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</si>
  <si>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</si>
  <si>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</si>
  <si>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</si>
  <si>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</si>
  <si>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</si>
  <si>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</si>
  <si>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</si>
  <si>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</si>
  <si>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</si>
  <si>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</si>
  <si>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</si>
  <si>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</si>
  <si>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</si>
  <si>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</si>
  <si>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</si>
  <si>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</si>
  <si>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</si>
  <si>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</si>
  <si>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</si>
  <si>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</si>
  <si>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</si>
  <si>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</si>
  <si>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</si>
  <si>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</si>
  <si>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</si>
  <si>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</si>
  <si>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</si>
  <si>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</si>
  <si>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</si>
  <si>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</si>
  <si>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</si>
  <si>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</si>
  <si>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</si>
  <si>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</si>
  <si>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</si>
  <si>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</si>
  <si>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</si>
  <si>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</si>
  <si>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</si>
  <si>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</si>
  <si>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</si>
  <si>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</si>
  <si>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</si>
  <si>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</si>
  <si>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</si>
  <si>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</si>
  <si>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</si>
  <si>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</si>
  <si>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</si>
  <si>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</si>
  <si>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</si>
  <si>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</si>
  <si>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</si>
  <si>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</si>
  <si>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</si>
  <si>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</si>
  <si>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</si>
  <si>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</si>
  <si>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</si>
  <si>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</si>
  <si>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</si>
  <si>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</si>
  <si>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</si>
  <si>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</si>
  <si>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</si>
  <si>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</si>
  <si>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</si>
  <si>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</si>
  <si>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</si>
  <si>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</si>
  <si>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</si>
  <si>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</si>
  <si>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</si>
  <si>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</si>
  <si>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</si>
  <si>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</si>
  <si>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</si>
  <si>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</si>
  <si>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</si>
  <si>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</si>
  <si>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</si>
  <si>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</si>
  <si>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</si>
  <si>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</si>
  <si>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</si>
  <si>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</si>
  <si>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</si>
  <si>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</si>
  <si>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</si>
  <si>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</si>
  <si>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</si>
  <si>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</si>
  <si>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</si>
  <si>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</si>
  <si>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</si>
  <si>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</si>
  <si>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</si>
  <si>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</si>
  <si>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</si>
  <si>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</si>
  <si>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</si>
  <si>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</si>
  <si>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</si>
  <si>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</si>
  <si>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</si>
  <si>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</si>
  <si>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700 Schoenbeck Road</t>
  </si>
  <si>
    <t xml:space="preserve">Prospect Heights  </t>
  </si>
  <si>
    <t>Evans, Marshall and Pease, PC</t>
  </si>
  <si>
    <t>Jeffery M. Rollefson, CPA</t>
  </si>
  <si>
    <t>1875 Hicks Road</t>
  </si>
  <si>
    <t>Rolling Meadows</t>
  </si>
  <si>
    <t>Illinois</t>
  </si>
  <si>
    <t>847-221-5700</t>
  </si>
  <si>
    <t>847-221-5701</t>
  </si>
  <si>
    <t>066-005340</t>
  </si>
  <si>
    <t>jeff@empcpa.com</t>
  </si>
  <si>
    <t>US DEPARTMENT OF EDUCATION</t>
  </si>
  <si>
    <t>PASSED THROUGH THE ILLINOIS STATE BOARD OF EDUCATION</t>
  </si>
  <si>
    <t>TITLE I - LOW INCOME</t>
  </si>
  <si>
    <t>18-4300-00</t>
  </si>
  <si>
    <t>19-4300-00</t>
  </si>
  <si>
    <t>PROJ END 8/31</t>
  </si>
  <si>
    <t>TITLE I - IMPROVEMENT &amp; ACCOUNTABILITY</t>
  </si>
  <si>
    <t>19-4331-00</t>
  </si>
  <si>
    <t>TITLE II - TEACHER QUALITY</t>
  </si>
  <si>
    <t>18-4932-00</t>
  </si>
  <si>
    <t>19-4932-00</t>
  </si>
  <si>
    <t>PROJ END 9/30</t>
  </si>
  <si>
    <t>TITLE III - LANG INST PROG - LIPLEP</t>
  </si>
  <si>
    <t>18-4909-00</t>
  </si>
  <si>
    <t>19-4909-00</t>
  </si>
  <si>
    <t>TITLE IVA - STUDENT SUPPORT &amp; ACADEMIC ENRICHMENT</t>
  </si>
  <si>
    <t>19-4400-00</t>
  </si>
  <si>
    <t>IDEA ROOM AND BOARD</t>
  </si>
  <si>
    <t>18-4625-00</t>
  </si>
  <si>
    <t>19-4625-00</t>
  </si>
  <si>
    <t>N/A</t>
  </si>
  <si>
    <t>PASSED THROUGH THE NORTHWEST SUBURBAN SPECIAL EDUCATION ORGANIZATION</t>
  </si>
  <si>
    <t>18-4600-00</t>
  </si>
  <si>
    <t>19-4600-00</t>
  </si>
  <si>
    <t>18-4620-00</t>
  </si>
  <si>
    <t>19-4620-00</t>
  </si>
  <si>
    <t xml:space="preserve">     TOTAL US DEPARTMENT OF EDUCATION</t>
  </si>
  <si>
    <t>US DEPARTMENT OF AGRICULTURE</t>
  </si>
  <si>
    <t>NATIONAL SCHOOL LUNCH</t>
  </si>
  <si>
    <t>IDEA SPECIAL EDUCATION FLOW THROUGH (M)</t>
  </si>
  <si>
    <t>IDEA SPECIAL EDUCATION - PRESCHOOL (M)</t>
  </si>
  <si>
    <t>IDEA SPECIAL EDUCATION - FLOW THROUGH (M)</t>
  </si>
  <si>
    <t>18-4210-00</t>
  </si>
  <si>
    <t>SCHOOL BREAKFAST</t>
  </si>
  <si>
    <t>19-4210-00</t>
  </si>
  <si>
    <t>18-4220-00</t>
  </si>
  <si>
    <t>19-4220-00</t>
  </si>
  <si>
    <t>FY19</t>
  </si>
  <si>
    <t xml:space="preserve">     TOTAL DEPARTMENT OF AGRICULTURE</t>
  </si>
  <si>
    <t>US DEPARTMENT OF HEALTH AND HUMAN SERVICES</t>
  </si>
  <si>
    <t>PASSED THROUGH THE ILLINOIS HEALTHCARE &amp; FAMILY SERVICES</t>
  </si>
  <si>
    <t>MEDICAID MATCHING - ADM OUTREACH</t>
  </si>
  <si>
    <t>19-4991-00</t>
  </si>
  <si>
    <t xml:space="preserve">     TOTAL US DEPARTMENT OF HEALTH AND HUMAN SERVICES</t>
  </si>
  <si>
    <t xml:space="preserve">          TOTAL FEDERAL AWARDS</t>
  </si>
  <si>
    <t>The accompanying Schedule of Expenditures of Federal Awards includes the federal grant activity of Prospect Heights School District No. 23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</si>
  <si>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Prospect Heights School District No. 23 provided federal awards to subrecipients as follows:</t>
  </si>
  <si>
    <t>none</t>
  </si>
  <si>
    <t>The following amounts were expended in the form of non-cash assistance by Propspect Heights School District No. 23 and is included in the Schedule of Expenditures of Federal Awards:</t>
  </si>
  <si>
    <t>COMMODITIES - non cash</t>
  </si>
  <si>
    <t>FRESH FRUITS AND VEG - non cash</t>
  </si>
  <si>
    <t>no</t>
  </si>
  <si>
    <t>Unmodified</t>
  </si>
  <si>
    <t>IDEA - Room and Board</t>
  </si>
  <si>
    <t>IDEA Special Education - preschool</t>
  </si>
  <si>
    <t>IDEA Special Education - flowthrough</t>
  </si>
  <si>
    <t>Working Cash 2013</t>
  </si>
  <si>
    <t>Refunding 2019B</t>
  </si>
  <si>
    <t>Working Cash 2014</t>
  </si>
  <si>
    <t>Working Cash 2019A</t>
  </si>
  <si>
    <t>Capital leases</t>
  </si>
  <si>
    <t>page 24 long term debt issued includes proceeds from capital lease.</t>
  </si>
  <si>
    <t>page 24 other differences includes refunded debt</t>
  </si>
  <si>
    <t>EBC</t>
  </si>
  <si>
    <t>SD 300 AND 20</t>
  </si>
  <si>
    <t>SD 25</t>
  </si>
  <si>
    <t>SSCIP, ICRMT</t>
  </si>
  <si>
    <t>SD 21, NSSEO, 25, 26, 214</t>
  </si>
  <si>
    <t>NSSEO</t>
  </si>
  <si>
    <t>NSSEO, SD: 21 25, 26, 57, 59, 211, 214</t>
  </si>
  <si>
    <t>SD 21</t>
  </si>
  <si>
    <t>TR - PUPIL TRANS - PURCH SVC</t>
  </si>
  <si>
    <t>ED - ED MEDIA - SUPPLIES</t>
  </si>
  <si>
    <t>OM - OP &amp; MAINT - PURCH SVC</t>
  </si>
  <si>
    <t>ED - FOOD SERVICE - PURCH SVC</t>
  </si>
  <si>
    <t>ED - INFO SVC - PURCH SVC</t>
  </si>
  <si>
    <t>ED - OTHER SUPPORT - PURCH SVC</t>
  </si>
  <si>
    <t>OM - OP &amp; MAINT - SUPPLIES</t>
  </si>
  <si>
    <t>ED - INTERNAL SVC - PURCH SVC</t>
  </si>
  <si>
    <t>TR - PUPIL TRANS - SUUPLIES</t>
  </si>
  <si>
    <t>TF - WORKERS COMP - PURCH SVC</t>
  </si>
  <si>
    <t xml:space="preserve"> ED - SOFTWARE - PURCHASE SVC</t>
  </si>
  <si>
    <t>ED - INSTRUCTIONAL - SUPPLIES</t>
  </si>
  <si>
    <t>ED - LEGAL - PURCH SVC</t>
  </si>
  <si>
    <t>TF - INSURANCE - PURCH SVC</t>
  </si>
  <si>
    <t>ED - PSYCH SVC - PURCH SVC</t>
  </si>
  <si>
    <t>ED - SOFTWARE - PURCH SVC</t>
  </si>
  <si>
    <t>ED - INFO SVC - PUCH SVC</t>
  </si>
  <si>
    <t>ED - TECH SERVICES - PURCH SVC</t>
  </si>
  <si>
    <t>20-2540-300</t>
  </si>
  <si>
    <t>10-2560-300</t>
  </si>
  <si>
    <t>10-2630-300</t>
  </si>
  <si>
    <t>20-2540-400</t>
  </si>
  <si>
    <t>10-2570-300</t>
  </si>
  <si>
    <t>40-2550-300</t>
  </si>
  <si>
    <t>40-2550-400</t>
  </si>
  <si>
    <t>10-2660-300</t>
  </si>
  <si>
    <t>ACCELERATE LEARNING</t>
  </si>
  <si>
    <t>ALL WAYS TRANSPORTATION</t>
  </si>
  <si>
    <t>APPPLE COMPUTER</t>
  </si>
  <si>
    <t>ARCON</t>
  </si>
  <si>
    <t>ARL HTS SD 25</t>
  </si>
  <si>
    <t>ATT</t>
  </si>
  <si>
    <t>CITY OF PROSPECT HEIGHTS</t>
  </si>
  <si>
    <t>CONSTELLATION NEWENERGY</t>
  </si>
  <si>
    <t>DE LAGE LANDEN PUBLIC FINANCE</t>
  </si>
  <si>
    <t>ECRA GROUP INC</t>
  </si>
  <si>
    <t>FIRST STUDENT</t>
  </si>
  <si>
    <t>GRAHAM C STORES</t>
  </si>
  <si>
    <t>HONEYWELL</t>
  </si>
  <si>
    <t>IL COUNTIES RISK MGMT</t>
  </si>
  <si>
    <t>INFOSNAP</t>
  </si>
  <si>
    <t>LOWERY MCDONNELL</t>
  </si>
  <si>
    <t>MCGRAW HILL</t>
  </si>
  <si>
    <t>MILIEU DESIGN</t>
  </si>
  <si>
    <t>ROBBINS SCHWARTZ</t>
  </si>
  <si>
    <t>SCARIANO HIMES</t>
  </si>
  <si>
    <t>SUBURBAN SCHOOL COOP</t>
  </si>
  <si>
    <t>SUNBELT STAFFING</t>
  </si>
  <si>
    <t>TYLER TECH</t>
  </si>
  <si>
    <t>WAREHOUSE DIRECT</t>
  </si>
  <si>
    <t>WOW BUSINESS</t>
  </si>
  <si>
    <t>ZONES LLC</t>
  </si>
  <si>
    <t>Prospect Heights SD 23</t>
  </si>
  <si>
    <t>10-1000-300</t>
  </si>
  <si>
    <t>40-2200-300</t>
  </si>
  <si>
    <t>10-2200-400</t>
  </si>
  <si>
    <t>10-2100-300</t>
  </si>
  <si>
    <t>80-2300-300</t>
  </si>
  <si>
    <t>10-1000-400</t>
  </si>
  <si>
    <t>10-2300-300</t>
  </si>
  <si>
    <t>10-2200-300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</si>
</sst>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protection locked="0"/>
    </xf>
    <xf numFmtId="3" fontId="87"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2"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77932</xdr:colOff>
          <xdr:row>1</xdr:row>
          <xdr:rowOff>147204</xdr:rowOff>
        </xdr:from>
        <xdr:to>
          <xdr:col>1</xdr:col>
          <xdr:colOff>988868</xdr:colOff>
          <xdr:row>6</xdr:row>
          <xdr:rowOff>20782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1201882</xdr:colOff>
          <xdr:row>1</xdr:row>
          <xdr:rowOff>160193</xdr:rowOff>
        </xdr:from>
        <xdr:to>
          <xdr:col>1</xdr:col>
          <xdr:colOff>2118880</xdr:colOff>
          <xdr:row>6</xdr:row>
          <xdr:rowOff>36369</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2344882</xdr:colOff>
          <xdr:row>1</xdr:row>
          <xdr:rowOff>161925</xdr:rowOff>
        </xdr:from>
        <xdr:to>
          <xdr:col>1</xdr:col>
          <xdr:colOff>3261880</xdr:colOff>
          <xdr:row>6</xdr:row>
          <xdr:rowOff>38101</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19" t="s">
        <v>405</v>
      </c>
      <c r="J1" s="2020"/>
      <c r="K1" s="2020"/>
      <c r="L1" s="2020"/>
      <c r="M1" s="2020"/>
      <c r="N1" s="2020"/>
      <c r="O1" s="2020"/>
      <c r="P1" s="2020"/>
      <c r="Q1" s="2020"/>
      <c r="R1" s="2020"/>
      <c r="S1" s="2020"/>
    </row>
    <row r="2" spans="1:28" ht="12" customHeight="1" x14ac:dyDescent="0.2">
      <c r="A2" s="47" t="s">
        <v>1990</v>
      </c>
      <c r="D2" s="48"/>
      <c r="I2" s="2021" t="s">
        <v>979</v>
      </c>
      <c r="J2" s="2020"/>
      <c r="K2" s="2020"/>
      <c r="L2" s="2020"/>
      <c r="M2" s="2020"/>
      <c r="N2" s="2020"/>
      <c r="O2" s="2020"/>
      <c r="P2" s="2020"/>
      <c r="Q2" s="2020"/>
      <c r="R2" s="2020"/>
      <c r="S2" s="2020"/>
    </row>
    <row r="3" spans="1:28" ht="12" customHeight="1" x14ac:dyDescent="0.2">
      <c r="A3" s="155" t="s">
        <v>1942</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2061</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2061</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5016023002</v>
      </c>
      <c r="B13" s="1990"/>
      <c r="C13" s="1990"/>
      <c r="D13" s="1990"/>
      <c r="E13" s="1990"/>
      <c r="F13" s="1990"/>
      <c r="G13" s="1990"/>
      <c r="H13" s="1991"/>
      <c r="I13" s="31"/>
      <c r="J13" s="30"/>
      <c r="K13" s="28"/>
      <c r="L13" s="30"/>
      <c r="M13" s="30"/>
      <c r="N13" s="30"/>
      <c r="O13" s="30"/>
      <c r="P13" s="30"/>
      <c r="Q13" s="30"/>
      <c r="R13" s="30"/>
      <c r="S13" s="30"/>
      <c r="T13" s="1994" t="s">
        <v>2065</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2062</v>
      </c>
      <c r="B15" s="1992"/>
      <c r="C15" s="1992"/>
      <c r="D15" s="1992"/>
      <c r="E15" s="1992"/>
      <c r="F15" s="1992"/>
      <c r="G15" s="1992"/>
      <c r="H15" s="1993"/>
      <c r="T15" s="1955" t="s">
        <v>2066</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2197</v>
      </c>
      <c r="B17" s="2017"/>
      <c r="C17" s="2017"/>
      <c r="D17" s="2017"/>
      <c r="E17" s="2017"/>
      <c r="F17" s="2017"/>
      <c r="G17" s="2017"/>
      <c r="H17" s="2018"/>
      <c r="T17" s="2004" t="s">
        <v>2067</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2063</v>
      </c>
      <c r="B19" s="1988"/>
      <c r="C19" s="1988"/>
      <c r="D19" s="1988"/>
      <c r="E19" s="1988"/>
      <c r="F19" s="1988"/>
      <c r="G19" s="1988"/>
      <c r="H19" s="1986"/>
      <c r="I19" s="30"/>
      <c r="J19" s="99"/>
      <c r="K19" s="40"/>
      <c r="L19" s="38"/>
      <c r="M19" s="112" t="s">
        <v>315</v>
      </c>
      <c r="P19" s="27"/>
      <c r="Q19" s="27"/>
      <c r="R19" s="27"/>
      <c r="S19" s="31"/>
      <c r="T19" s="1987" t="s">
        <v>2068</v>
      </c>
      <c r="U19" s="1985"/>
      <c r="V19" s="1985"/>
      <c r="W19" s="1986"/>
      <c r="X19" s="2002" t="s">
        <v>2069</v>
      </c>
      <c r="Y19" s="2003"/>
      <c r="Z19" s="2000">
        <v>60008</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2064</v>
      </c>
      <c r="B21" s="1985"/>
      <c r="C21" s="1985"/>
      <c r="D21" s="1985"/>
      <c r="E21" s="1985"/>
      <c r="F21" s="1985"/>
      <c r="G21" s="1985"/>
      <c r="H21" s="1986"/>
      <c r="I21" s="2010" t="s">
        <v>678</v>
      </c>
      <c r="J21" s="1973"/>
      <c r="K21" s="1973"/>
      <c r="L21" s="1973"/>
      <c r="M21" s="1973"/>
      <c r="N21" s="1973"/>
      <c r="O21" s="1973"/>
      <c r="P21" s="1973"/>
      <c r="Q21" s="1973"/>
      <c r="R21" s="1973"/>
      <c r="S21" s="1974"/>
      <c r="T21" s="1952" t="s">
        <v>2070</v>
      </c>
      <c r="U21" s="1953"/>
      <c r="V21" s="1953"/>
      <c r="W21" s="1953"/>
      <c r="X21" s="1966" t="s">
        <v>2071</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2072</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60070</v>
      </c>
      <c r="B25" s="1985"/>
      <c r="C25" s="1985"/>
      <c r="D25" s="1985"/>
      <c r="E25" s="1985"/>
      <c r="F25" s="1985"/>
      <c r="G25" s="1985"/>
      <c r="H25" s="1986"/>
      <c r="I25" s="113"/>
      <c r="J25" s="2051"/>
      <c r="K25" s="2051"/>
      <c r="L25" s="2051"/>
      <c r="M25" s="2051"/>
      <c r="N25" s="2051"/>
      <c r="O25" s="2051"/>
      <c r="P25" s="2051"/>
      <c r="Q25" s="2051"/>
      <c r="R25" s="2051"/>
      <c r="S25" s="2052"/>
      <c r="T25" s="1944" t="s">
        <v>2073</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2061</v>
      </c>
      <c r="C29" s="124" t="s">
        <v>820</v>
      </c>
      <c r="D29" s="114"/>
      <c r="E29" s="136"/>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c r="B42" s="2034"/>
      <c r="C42" s="2035"/>
      <c r="D42" s="2048"/>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2065</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41" sqref="F4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548505405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2.6124999999999999E-2</v>
      </c>
      <c r="E10" s="356" t="s">
        <v>1005</v>
      </c>
      <c r="F10" s="355">
        <v>2.9529999999999999E-3</v>
      </c>
      <c r="G10" s="356" t="s">
        <v>1005</v>
      </c>
      <c r="H10" s="355">
        <v>2.2989999999999998E-3</v>
      </c>
      <c r="I10" s="356" t="s">
        <v>1006</v>
      </c>
      <c r="J10" s="1732">
        <f>ROUND(D10+F10+H10,5)</f>
        <v>3.1379999999999998E-2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21578953</v>
      </c>
      <c r="E16" s="356"/>
      <c r="F16" s="1733">
        <f>SUM('Acct Summary 7-8'!C17,'Acct Summary 7-8'!D17,'Acct Summary 7-8'!F17)</f>
        <v>21601086</v>
      </c>
      <c r="G16" s="356"/>
      <c r="H16" s="1733">
        <f>SUM(D16-F16)</f>
        <v>-22133</v>
      </c>
      <c r="I16" s="222"/>
      <c r="J16" s="1733">
        <f>SUM('Acct Summary 7-8'!C81,'Acct Summary 7-8'!D81,'Acct Summary 7-8'!F81,'Acct Summary 7-8'!I81)</f>
        <v>7598910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2061</v>
      </c>
      <c r="C31" s="367" t="s">
        <v>586</v>
      </c>
      <c r="D31" s="237" t="s">
        <v>1072</v>
      </c>
      <c r="E31" s="222"/>
      <c r="F31" s="222"/>
      <c r="G31" s="363"/>
      <c r="H31" s="1735">
        <f>IF(B31="X",(J7*0.069),IF(B32="X",(J7*0.138),"Enter x in a.or b."))</f>
        <v>37846872.945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9744805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Prospect Heights SD 23</v>
      </c>
      <c r="E7" s="391"/>
      <c r="G7" s="252"/>
      <c r="H7" s="387"/>
      <c r="I7" s="387"/>
      <c r="J7" s="387"/>
      <c r="K7" s="387"/>
      <c r="L7" s="329"/>
      <c r="M7" s="329"/>
      <c r="N7" s="329"/>
      <c r="O7" s="329"/>
      <c r="P7" s="329"/>
    </row>
    <row r="8" spans="1:18" ht="12.75" x14ac:dyDescent="0.2">
      <c r="A8" s="329"/>
      <c r="B8" s="329"/>
      <c r="C8" s="389" t="s">
        <v>1125</v>
      </c>
      <c r="D8" s="392">
        <f>COVER!A13</f>
        <v>5016023002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7598910</v>
      </c>
      <c r="I12" s="404"/>
      <c r="J12" s="404"/>
      <c r="K12" s="405">
        <f>TRUNC((H12/H13*100000),5)/100000</f>
        <v>0.41536718249999999</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18294440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-3284513</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21601086</v>
      </c>
      <c r="I17" s="404"/>
      <c r="J17" s="416"/>
      <c r="K17" s="405">
        <f>TRUNC((H17/H18*100000),5)/100000</f>
        <v>1.1807459534</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18294440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-3284513</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1.7448089999999998</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7728673</v>
      </c>
      <c r="I24" s="422"/>
      <c r="J24" s="422"/>
      <c r="K24" s="423">
        <f>TRUNC(((H24/H25*100000)/100000),2)</f>
        <v>128.80000000000001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60003.016669999997</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14630284.667570001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9744805</v>
      </c>
      <c r="I32" s="420"/>
      <c r="J32" s="420"/>
      <c r="K32" s="423">
        <f>TRUNC(100-((((H32/H33*100))*100)/100),2)</f>
        <v>74.25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37846872.945</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3.0999999999999996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G1" colorId="8" zoomScale="110" zoomScaleNormal="110" workbookViewId="0">
      <pane ySplit="2" topLeftCell="A19" activePane="bottomLeft" state="frozen"/>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5595136</v>
      </c>
      <c r="D4" s="466">
        <v>900086</v>
      </c>
      <c r="E4" s="466">
        <v>505273</v>
      </c>
      <c r="F4" s="466">
        <v>1072940</v>
      </c>
      <c r="G4" s="466">
        <v>88631</v>
      </c>
      <c r="H4" s="466">
        <v>3388514</v>
      </c>
      <c r="I4" s="466">
        <v>160511</v>
      </c>
      <c r="J4" s="467">
        <v>136133</v>
      </c>
      <c r="K4" s="466"/>
      <c r="L4" s="466">
        <v>43157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5595136</v>
      </c>
      <c r="D13" s="1737">
        <f t="shared" ref="D13:L13" si="0">SUM(D4:D12)</f>
        <v>900086</v>
      </c>
      <c r="E13" s="1737">
        <f t="shared" si="0"/>
        <v>505273</v>
      </c>
      <c r="F13" s="1737">
        <f t="shared" si="0"/>
        <v>1072940</v>
      </c>
      <c r="G13" s="1737">
        <f t="shared" si="0"/>
        <v>88631</v>
      </c>
      <c r="H13" s="1737">
        <f t="shared" si="0"/>
        <v>3388514</v>
      </c>
      <c r="I13" s="1737">
        <f t="shared" si="0"/>
        <v>160511</v>
      </c>
      <c r="J13" s="1737">
        <f t="shared" si="0"/>
        <v>136133</v>
      </c>
      <c r="K13" s="1737">
        <f t="shared" si="0"/>
        <v>0</v>
      </c>
      <c r="L13" s="1737">
        <f t="shared" si="0"/>
        <v>43157</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405938</v>
      </c>
      <c r="N16" s="484"/>
    </row>
    <row r="17" spans="1:14" s="485" customFormat="1" ht="12.75" customHeight="1" x14ac:dyDescent="0.2">
      <c r="A17" s="482" t="s">
        <v>1403</v>
      </c>
      <c r="B17" s="483">
        <v>230</v>
      </c>
      <c r="C17" s="477"/>
      <c r="D17" s="477"/>
      <c r="E17" s="477"/>
      <c r="F17" s="477"/>
      <c r="G17" s="477"/>
      <c r="H17" s="477"/>
      <c r="I17" s="477"/>
      <c r="J17" s="477"/>
      <c r="K17" s="477"/>
      <c r="L17" s="477"/>
      <c r="M17" s="467">
        <v>19754348</v>
      </c>
      <c r="N17" s="484"/>
    </row>
    <row r="18" spans="1:14" s="485" customFormat="1" ht="12.75" customHeight="1" x14ac:dyDescent="0.2">
      <c r="A18" s="482" t="s">
        <v>1404</v>
      </c>
      <c r="B18" s="483">
        <v>240</v>
      </c>
      <c r="C18" s="477"/>
      <c r="D18" s="477"/>
      <c r="E18" s="477"/>
      <c r="F18" s="477"/>
      <c r="G18" s="477"/>
      <c r="H18" s="477"/>
      <c r="I18" s="477"/>
      <c r="J18" s="477"/>
      <c r="K18" s="477"/>
      <c r="L18" s="477"/>
      <c r="M18" s="467">
        <v>795209</v>
      </c>
      <c r="N18" s="484"/>
    </row>
    <row r="19" spans="1:14" s="485" customFormat="1" ht="12.75" customHeight="1" x14ac:dyDescent="0.2">
      <c r="A19" s="482" t="s">
        <v>1405</v>
      </c>
      <c r="B19" s="483">
        <v>250</v>
      </c>
      <c r="C19" s="477"/>
      <c r="D19" s="477"/>
      <c r="E19" s="477"/>
      <c r="F19" s="477"/>
      <c r="G19" s="477"/>
      <c r="H19" s="477"/>
      <c r="I19" s="477"/>
      <c r="J19" s="477"/>
      <c r="K19" s="477"/>
      <c r="L19" s="477"/>
      <c r="M19" s="467">
        <f>2623415+88962</f>
        <v>2712377</v>
      </c>
      <c r="N19" s="484"/>
    </row>
    <row r="20" spans="1:14" s="485" customFormat="1" ht="12.75" customHeight="1" x14ac:dyDescent="0.2">
      <c r="A20" s="482" t="s">
        <v>1406</v>
      </c>
      <c r="B20" s="483">
        <v>260</v>
      </c>
      <c r="C20" s="477"/>
      <c r="D20" s="477"/>
      <c r="E20" s="477"/>
      <c r="F20" s="477"/>
      <c r="G20" s="477"/>
      <c r="H20" s="477"/>
      <c r="I20" s="477"/>
      <c r="J20" s="477"/>
      <c r="K20" s="477"/>
      <c r="L20" s="477"/>
      <c r="M20" s="467">
        <v>125464</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505273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9239532</v>
      </c>
    </row>
    <row r="23" spans="1:14" ht="13.5" customHeight="1" thickBot="1" x14ac:dyDescent="0.25">
      <c r="A23" s="1736" t="s">
        <v>643</v>
      </c>
      <c r="B23" s="1741"/>
      <c r="C23" s="468"/>
      <c r="D23" s="468"/>
      <c r="E23" s="468"/>
      <c r="F23" s="468"/>
      <c r="G23" s="468"/>
      <c r="H23" s="468"/>
      <c r="I23" s="468"/>
      <c r="J23" s="468"/>
      <c r="K23" s="468"/>
      <c r="L23" s="468"/>
      <c r="M23" s="1688">
        <f>SUM(M15:M22)</f>
        <v>23793336</v>
      </c>
      <c r="N23" s="1688">
        <f>SUM(N21:N22)</f>
        <v>9744805</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130900</v>
      </c>
      <c r="D30" s="474">
        <v>-1173</v>
      </c>
      <c r="E30" s="467"/>
      <c r="F30" s="467">
        <v>36</v>
      </c>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43157</v>
      </c>
      <c r="M33" s="468"/>
      <c r="N33" s="469"/>
    </row>
    <row r="34" spans="1:14" ht="13.5" customHeight="1" thickBot="1" x14ac:dyDescent="0.25">
      <c r="A34" s="1738" t="s">
        <v>654</v>
      </c>
      <c r="B34" s="1739"/>
      <c r="C34" s="1740">
        <f>SUM(C25:C33)</f>
        <v>130900</v>
      </c>
      <c r="D34" s="1740">
        <f t="shared" ref="D34:K34" si="1">SUM(D25:D33)</f>
        <v>-1173</v>
      </c>
      <c r="E34" s="1740">
        <f t="shared" si="1"/>
        <v>0</v>
      </c>
      <c r="F34" s="1740">
        <f t="shared" si="1"/>
        <v>36</v>
      </c>
      <c r="G34" s="1740">
        <f t="shared" si="1"/>
        <v>0</v>
      </c>
      <c r="H34" s="1740">
        <f t="shared" si="1"/>
        <v>0</v>
      </c>
      <c r="I34" s="1740">
        <f t="shared" si="1"/>
        <v>0</v>
      </c>
      <c r="J34" s="1740">
        <f t="shared" si="1"/>
        <v>0</v>
      </c>
      <c r="K34" s="1740">
        <f t="shared" si="1"/>
        <v>0</v>
      </c>
      <c r="L34" s="1721">
        <f>SUM(L33)</f>
        <v>43157</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9744805</v>
      </c>
    </row>
    <row r="37" spans="1:14" ht="13.5" thickBot="1" x14ac:dyDescent="0.25">
      <c r="A37" s="1736" t="s">
        <v>653</v>
      </c>
      <c r="B37" s="1741"/>
      <c r="C37" s="477"/>
      <c r="D37" s="477"/>
      <c r="E37" s="477"/>
      <c r="F37" s="477"/>
      <c r="G37" s="477"/>
      <c r="H37" s="477"/>
      <c r="I37" s="477"/>
      <c r="J37" s="477"/>
      <c r="K37" s="477"/>
      <c r="L37" s="480"/>
      <c r="M37" s="468"/>
      <c r="N37" s="1688">
        <f>SUM(N36:N36)</f>
        <v>9744805</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5464236</v>
      </c>
      <c r="D39" s="466">
        <v>901259</v>
      </c>
      <c r="E39" s="466">
        <v>505273</v>
      </c>
      <c r="F39" s="466">
        <v>1072904</v>
      </c>
      <c r="G39" s="466">
        <v>88631</v>
      </c>
      <c r="H39" s="466">
        <v>3388514</v>
      </c>
      <c r="I39" s="466">
        <v>160511</v>
      </c>
      <c r="J39" s="467">
        <v>136133</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23793336</v>
      </c>
      <c r="N40" s="497"/>
    </row>
    <row r="41" spans="1:14" ht="13.5" customHeight="1" thickBot="1" x14ac:dyDescent="0.25">
      <c r="A41" s="1736" t="s">
        <v>655</v>
      </c>
      <c r="B41" s="1706"/>
      <c r="C41" s="1688">
        <f>(SUM(C34,C37,C38,C39))</f>
        <v>5595136</v>
      </c>
      <c r="D41" s="1688">
        <f t="shared" ref="D41:L41" si="2">SUM(D34,D37,D38:D39)</f>
        <v>900086</v>
      </c>
      <c r="E41" s="1688">
        <f t="shared" si="2"/>
        <v>505273</v>
      </c>
      <c r="F41" s="1688">
        <f t="shared" si="2"/>
        <v>1072940</v>
      </c>
      <c r="G41" s="1688">
        <f t="shared" si="2"/>
        <v>88631</v>
      </c>
      <c r="H41" s="1688">
        <f t="shared" si="2"/>
        <v>3388514</v>
      </c>
      <c r="I41" s="1688">
        <f t="shared" si="2"/>
        <v>160511</v>
      </c>
      <c r="J41" s="1688">
        <f t="shared" si="2"/>
        <v>136133</v>
      </c>
      <c r="K41" s="1688">
        <f t="shared" si="2"/>
        <v>0</v>
      </c>
      <c r="L41" s="1688">
        <f t="shared" si="2"/>
        <v>43157</v>
      </c>
      <c r="M41" s="1688">
        <f>SUM(M40)</f>
        <v>23793336</v>
      </c>
      <c r="N41" s="1688">
        <f>SUM(N37)</f>
        <v>9744805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4" activePane="bottomLeft" state="frozen"/>
      <selection pane="bottomLeft" activeCell="C43" sqref="C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15222442</v>
      </c>
      <c r="D4" s="1742">
        <f>'Revenues 9-14'!D109</f>
        <v>1726574</v>
      </c>
      <c r="E4" s="1742">
        <f>'Revenues 9-14'!E109</f>
        <v>1214484</v>
      </c>
      <c r="F4" s="1742">
        <f>'Revenues 9-14'!F109</f>
        <v>1283337</v>
      </c>
      <c r="G4" s="1742">
        <f>'Revenues 9-14'!G109</f>
        <v>733586</v>
      </c>
      <c r="H4" s="1742">
        <f>'Revenues 9-14'!H109</f>
        <v>19133</v>
      </c>
      <c r="I4" s="1742">
        <f>'Revenues 9-14'!I109</f>
        <v>156533</v>
      </c>
      <c r="J4" s="1742">
        <f>'Revenues 9-14'!J109</f>
        <v>213714</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1757602</v>
      </c>
      <c r="D6" s="1743">
        <f>'Revenues 9-14'!D170</f>
        <v>0</v>
      </c>
      <c r="E6" s="1743">
        <f>'Revenues 9-14'!E170</f>
        <v>0</v>
      </c>
      <c r="F6" s="1743">
        <f>'Revenues 9-14'!F170</f>
        <v>515866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916599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17896643</v>
      </c>
      <c r="D8" s="1688">
        <f t="shared" ref="D8:K8" si="0">SUM(D4:D7)</f>
        <v>1726574</v>
      </c>
      <c r="E8" s="1688">
        <f t="shared" si="0"/>
        <v>1214484</v>
      </c>
      <c r="F8" s="1688">
        <f t="shared" si="0"/>
        <v>1799203</v>
      </c>
      <c r="G8" s="1688">
        <f t="shared" si="0"/>
        <v>733586</v>
      </c>
      <c r="H8" s="1688">
        <f t="shared" si="0"/>
        <v>19133</v>
      </c>
      <c r="I8" s="1688">
        <f t="shared" si="0"/>
        <v>156533</v>
      </c>
      <c r="J8" s="1688">
        <f t="shared" si="0"/>
        <v>213714</v>
      </c>
      <c r="K8" s="1688">
        <f t="shared" si="0"/>
        <v>0</v>
      </c>
      <c r="L8" s="347"/>
    </row>
    <row r="9" spans="1:13" ht="15.75" thickTop="1" x14ac:dyDescent="0.2">
      <c r="A9" s="514" t="s">
        <v>1653</v>
      </c>
      <c r="B9" s="515">
        <v>3998</v>
      </c>
      <c r="C9" s="481">
        <v>6236101</v>
      </c>
      <c r="D9" s="516"/>
      <c r="E9" s="481"/>
      <c r="F9" s="481"/>
      <c r="G9" s="517"/>
      <c r="H9" s="481"/>
      <c r="I9" s="509" t="s">
        <v>1169</v>
      </c>
      <c r="J9" s="478"/>
      <c r="K9" s="481"/>
      <c r="L9" s="347"/>
    </row>
    <row r="10" spans="1:13" s="519" customFormat="1" ht="13.5" thickBot="1" x14ac:dyDescent="0.25">
      <c r="A10" s="1736" t="s">
        <v>1173</v>
      </c>
      <c r="B10" s="1709"/>
      <c r="C10" s="1688">
        <f>SUM(C8:C9)</f>
        <v>24132744</v>
      </c>
      <c r="D10" s="1688">
        <f t="shared" ref="D10:K10" si="1">SUM(D8:D9)</f>
        <v>1726574</v>
      </c>
      <c r="E10" s="1688">
        <f t="shared" si="1"/>
        <v>1214484</v>
      </c>
      <c r="F10" s="1688">
        <f t="shared" si="1"/>
        <v>1799203</v>
      </c>
      <c r="G10" s="1688">
        <f t="shared" si="1"/>
        <v>733586</v>
      </c>
      <c r="H10" s="1688">
        <f t="shared" si="1"/>
        <v>19133</v>
      </c>
      <c r="I10" s="1688">
        <f t="shared" si="1"/>
        <v>156533</v>
      </c>
      <c r="J10" s="1688">
        <f t="shared" si="1"/>
        <v>213714</v>
      </c>
      <c r="K10" s="1688">
        <f t="shared" si="1"/>
        <v>0</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11228480</v>
      </c>
      <c r="D12" s="520" t="s">
        <v>1169</v>
      </c>
      <c r="E12" s="468" t="s">
        <v>1169</v>
      </c>
      <c r="F12" s="468" t="s">
        <v>1169</v>
      </c>
      <c r="G12" s="1742">
        <f>'Expenditures 15-22'!K229</f>
        <v>264818</v>
      </c>
      <c r="H12" s="521"/>
      <c r="I12" s="468" t="s">
        <v>1169</v>
      </c>
      <c r="J12" s="468" t="s">
        <v>1169</v>
      </c>
      <c r="K12" s="521" t="s">
        <v>1169</v>
      </c>
      <c r="L12" s="347"/>
    </row>
    <row r="13" spans="1:13" ht="15.75" customHeight="1" x14ac:dyDescent="0.2">
      <c r="A13" s="1576" t="s">
        <v>457</v>
      </c>
      <c r="B13" s="1578">
        <v>2000</v>
      </c>
      <c r="C13" s="1743">
        <f>'Expenditures 15-22'!K74</f>
        <v>6615246</v>
      </c>
      <c r="D13" s="1743">
        <f>'Expenditures 15-22'!K129</f>
        <v>1576387</v>
      </c>
      <c r="E13" s="469" t="s">
        <v>1169</v>
      </c>
      <c r="F13" s="1743">
        <f>'Expenditures 15-22'!K184</f>
        <v>1447650</v>
      </c>
      <c r="G13" s="1743">
        <f>'Expenditures 15-22'!K279</f>
        <v>394695</v>
      </c>
      <c r="H13" s="1743">
        <f>'Expenditures 15-22'!K303</f>
        <v>131564</v>
      </c>
      <c r="I13" s="468" t="s">
        <v>1169</v>
      </c>
      <c r="J13" s="1743">
        <f>'Expenditures 15-22'!K330</f>
        <v>157646</v>
      </c>
      <c r="K13" s="1747">
        <f>'Expenditures 15-22'!K352</f>
        <v>0</v>
      </c>
      <c r="L13" s="347"/>
    </row>
    <row r="14" spans="1:13" ht="15.75" customHeight="1" x14ac:dyDescent="0.2">
      <c r="A14" s="1576" t="s">
        <v>449</v>
      </c>
      <c r="B14" s="1578">
        <v>3000</v>
      </c>
      <c r="C14" s="1743">
        <f>'Expenditures 15-22'!K75</f>
        <v>205010</v>
      </c>
      <c r="D14" s="1743">
        <f>'Expenditures 15-22'!K130</f>
        <v>0</v>
      </c>
      <c r="E14" s="520" t="s">
        <v>1169</v>
      </c>
      <c r="F14" s="1743">
        <f>'Expenditures 15-22'!K185</f>
        <v>0</v>
      </c>
      <c r="G14" s="1743">
        <f>'Expenditures 15-22'!K280</f>
        <v>17573</v>
      </c>
      <c r="H14" s="512"/>
      <c r="I14" s="468" t="s">
        <v>1169</v>
      </c>
      <c r="J14" s="468" t="s">
        <v>1169</v>
      </c>
      <c r="K14" s="512" t="s">
        <v>1169</v>
      </c>
      <c r="L14" s="347"/>
    </row>
    <row r="15" spans="1:13" ht="15.75" customHeight="1" x14ac:dyDescent="0.2">
      <c r="A15" s="1576" t="s">
        <v>107</v>
      </c>
      <c r="B15" s="1578">
        <v>4000</v>
      </c>
      <c r="C15" s="1743">
        <f>'Expenditures 15-22'!K102</f>
        <v>398311</v>
      </c>
      <c r="D15" s="1743">
        <f>'Expenditures 15-22'!K139</f>
        <v>0</v>
      </c>
      <c r="E15" s="1743">
        <f>'Expenditures 15-22'!K160</f>
        <v>0</v>
      </c>
      <c r="F15" s="1743">
        <f>'Expenditures 15-22'!K196</f>
        <v>130002</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1413770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18447047</v>
      </c>
      <c r="D17" s="1688">
        <f t="shared" si="2"/>
        <v>1576387</v>
      </c>
      <c r="E17" s="1688">
        <f t="shared" si="2"/>
        <v>1413770</v>
      </c>
      <c r="F17" s="1688">
        <f t="shared" si="2"/>
        <v>1577652</v>
      </c>
      <c r="G17" s="1688">
        <f t="shared" si="2"/>
        <v>677086</v>
      </c>
      <c r="H17" s="1688">
        <f t="shared" si="2"/>
        <v>131564</v>
      </c>
      <c r="I17" s="468"/>
      <c r="J17" s="1688">
        <f>SUM(J12:J16)</f>
        <v>157646</v>
      </c>
      <c r="K17" s="1688">
        <f>SUM(K12:K16)</f>
        <v>0</v>
      </c>
      <c r="L17" s="347"/>
    </row>
    <row r="18" spans="1:12" ht="15" customHeight="1" thickTop="1" x14ac:dyDescent="0.2">
      <c r="A18" s="1744" t="s">
        <v>1654</v>
      </c>
      <c r="B18" s="1745">
        <v>4180</v>
      </c>
      <c r="C18" s="1742">
        <f t="shared" ref="C18:H18" si="3">C9</f>
        <v>6236101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24683148</v>
      </c>
      <c r="D19" s="1688">
        <f t="shared" si="4"/>
        <v>1576387</v>
      </c>
      <c r="E19" s="1688">
        <f t="shared" si="4"/>
        <v>1413770</v>
      </c>
      <c r="F19" s="1688">
        <f t="shared" si="4"/>
        <v>1577652</v>
      </c>
      <c r="G19" s="1688">
        <f t="shared" si="4"/>
        <v>677086</v>
      </c>
      <c r="H19" s="1688">
        <f t="shared" si="4"/>
        <v>131564</v>
      </c>
      <c r="I19" s="468"/>
      <c r="J19" s="1688">
        <f>SUM(J17:J18)</f>
        <v>157646</v>
      </c>
      <c r="K19" s="1688">
        <f>SUM(K17:K18)</f>
        <v>0</v>
      </c>
      <c r="L19" s="347"/>
    </row>
    <row r="20" spans="1:12" ht="16.5" thickTop="1" thickBot="1" x14ac:dyDescent="0.25">
      <c r="A20" s="2129" t="s">
        <v>1655</v>
      </c>
      <c r="B20" s="2130"/>
      <c r="C20" s="1746">
        <f>C8-C17</f>
        <v>-550404</v>
      </c>
      <c r="D20" s="1746">
        <f t="shared" ref="D20:K20" si="5">D8-D17</f>
        <v>150187</v>
      </c>
      <c r="E20" s="1746">
        <f t="shared" si="5"/>
        <v>-199286</v>
      </c>
      <c r="F20" s="1746">
        <f t="shared" si="5"/>
        <v>221551</v>
      </c>
      <c r="G20" s="1746">
        <f t="shared" si="5"/>
        <v>56500</v>
      </c>
      <c r="H20" s="1746">
        <f t="shared" si="5"/>
        <v>-112431</v>
      </c>
      <c r="I20" s="1746">
        <f t="shared" si="5"/>
        <v>156533</v>
      </c>
      <c r="J20" s="1746">
        <f t="shared" si="5"/>
        <v>56068</v>
      </c>
      <c r="K20" s="1746">
        <f t="shared" si="5"/>
        <v>0</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3000000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v>1315000</v>
      </c>
      <c r="F33" s="467"/>
      <c r="G33" s="477"/>
      <c r="H33" s="467"/>
      <c r="I33" s="467">
        <v>2775000</v>
      </c>
      <c r="J33" s="467"/>
      <c r="K33" s="467"/>
      <c r="L33" s="524"/>
    </row>
    <row r="34" spans="1:12" s="485" customFormat="1" x14ac:dyDescent="0.2">
      <c r="A34" s="1489" t="s">
        <v>1001</v>
      </c>
      <c r="B34" s="525">
        <v>7220</v>
      </c>
      <c r="C34" s="467"/>
      <c r="D34" s="467"/>
      <c r="E34" s="467">
        <v>44615</v>
      </c>
      <c r="F34" s="467"/>
      <c r="G34" s="477"/>
      <c r="H34" s="478"/>
      <c r="I34" s="478">
        <v>225000</v>
      </c>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v>16974</v>
      </c>
      <c r="D36" s="467"/>
      <c r="E36" s="467"/>
      <c r="F36" s="467"/>
      <c r="G36" s="467"/>
      <c r="H36" s="467"/>
      <c r="I36" s="475"/>
      <c r="J36" s="467"/>
      <c r="K36" s="467"/>
      <c r="L36" s="524"/>
    </row>
    <row r="37" spans="1:12" s="485" customFormat="1" x14ac:dyDescent="0.2">
      <c r="A37" s="1489" t="s">
        <v>441</v>
      </c>
      <c r="B37" s="525">
        <v>7400</v>
      </c>
      <c r="C37" s="475"/>
      <c r="D37" s="475"/>
      <c r="E37" s="1743">
        <f>SUM(C54:D57,H54:H57)</f>
        <v>128718</v>
      </c>
      <c r="F37" s="475"/>
      <c r="G37" s="475"/>
      <c r="H37" s="475"/>
      <c r="I37" s="477"/>
      <c r="J37" s="475"/>
      <c r="K37" s="475"/>
      <c r="L37" s="524"/>
    </row>
    <row r="38" spans="1:12" s="485" customFormat="1" x14ac:dyDescent="0.2">
      <c r="A38" s="1489" t="s">
        <v>442</v>
      </c>
      <c r="B38" s="525">
        <v>7500</v>
      </c>
      <c r="C38" s="477"/>
      <c r="D38" s="477"/>
      <c r="E38" s="1743">
        <f>SUM(C58:D61,H58:H61)</f>
        <v>4513</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3280000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v>224360</v>
      </c>
      <c r="D43" s="467"/>
      <c r="E43" s="467"/>
      <c r="F43" s="467"/>
      <c r="G43" s="467"/>
      <c r="H43" s="467"/>
      <c r="I43" s="467"/>
      <c r="J43" s="467"/>
      <c r="K43" s="467"/>
      <c r="L43" s="524"/>
    </row>
    <row r="44" spans="1:12" s="485" customFormat="1" ht="13.5" customHeight="1" thickBot="1" x14ac:dyDescent="0.25">
      <c r="A44" s="2143" t="s">
        <v>374</v>
      </c>
      <c r="B44" s="2144"/>
      <c r="C44" s="1703">
        <f>SUM(C24:C43)</f>
        <v>241334</v>
      </c>
      <c r="D44" s="1703">
        <f t="shared" ref="D44:K44" si="6">SUM(D24:D43)</f>
        <v>3000000</v>
      </c>
      <c r="E44" s="1703">
        <f t="shared" si="6"/>
        <v>1492846</v>
      </c>
      <c r="F44" s="1703">
        <f t="shared" si="6"/>
        <v>0</v>
      </c>
      <c r="G44" s="1703">
        <f t="shared" si="6"/>
        <v>0</v>
      </c>
      <c r="H44" s="1703">
        <f t="shared" si="6"/>
        <v>3280000</v>
      </c>
      <c r="I44" s="1703">
        <f t="shared" si="6"/>
        <v>3000000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3000000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v>128718</v>
      </c>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v>3231</v>
      </c>
      <c r="D60" s="531">
        <f>130000-128718</f>
        <v>1282</v>
      </c>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v>280000</v>
      </c>
      <c r="D70" s="531">
        <v>3000000</v>
      </c>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v>1277317</v>
      </c>
      <c r="F75" s="532"/>
      <c r="G75" s="532"/>
      <c r="H75" s="532"/>
      <c r="I75" s="530"/>
      <c r="J75" s="530"/>
      <c r="K75" s="532"/>
      <c r="L75" s="524"/>
    </row>
    <row r="76" spans="1:12" s="485" customFormat="1" ht="14.25" thickTop="1" thickBot="1" x14ac:dyDescent="0.25">
      <c r="A76" s="2119" t="s">
        <v>440</v>
      </c>
      <c r="B76" s="2120"/>
      <c r="C76" s="1703">
        <f t="shared" ref="C76:K76" si="7">SUM(C47:C75)</f>
        <v>283231</v>
      </c>
      <c r="D76" s="1703">
        <f t="shared" si="7"/>
        <v>3130000</v>
      </c>
      <c r="E76" s="1703">
        <f t="shared" si="7"/>
        <v>1277317</v>
      </c>
      <c r="F76" s="1703">
        <f t="shared" si="7"/>
        <v>0</v>
      </c>
      <c r="G76" s="1703">
        <f t="shared" si="7"/>
        <v>0</v>
      </c>
      <c r="H76" s="1703">
        <f t="shared" si="7"/>
        <v>0</v>
      </c>
      <c r="I76" s="1703">
        <f t="shared" si="7"/>
        <v>3000000</v>
      </c>
      <c r="J76" s="1703">
        <f t="shared" si="7"/>
        <v>0</v>
      </c>
      <c r="K76" s="1703">
        <f t="shared" si="7"/>
        <v>0</v>
      </c>
      <c r="L76" s="524"/>
    </row>
    <row r="77" spans="1:12" ht="14.25" thickTop="1" thickBot="1" x14ac:dyDescent="0.25">
      <c r="A77" s="2121" t="s">
        <v>1177</v>
      </c>
      <c r="B77" s="2122"/>
      <c r="C77" s="1703">
        <f t="shared" ref="C77:K77" si="8">C44-C76</f>
        <v>-41897</v>
      </c>
      <c r="D77" s="1703">
        <f t="shared" si="8"/>
        <v>-130000</v>
      </c>
      <c r="E77" s="1703">
        <f t="shared" si="8"/>
        <v>215529</v>
      </c>
      <c r="F77" s="1703">
        <f t="shared" si="8"/>
        <v>0</v>
      </c>
      <c r="G77" s="1703">
        <f t="shared" si="8"/>
        <v>0</v>
      </c>
      <c r="H77" s="1703">
        <f t="shared" si="8"/>
        <v>3280000</v>
      </c>
      <c r="I77" s="1703">
        <f t="shared" si="8"/>
        <v>0</v>
      </c>
      <c r="J77" s="1703">
        <f t="shared" si="8"/>
        <v>0</v>
      </c>
      <c r="K77" s="1703">
        <f t="shared" si="8"/>
        <v>0</v>
      </c>
      <c r="L77" s="347"/>
    </row>
    <row r="78" spans="1:12" ht="21.75" customHeight="1" thickTop="1" thickBot="1" x14ac:dyDescent="0.25">
      <c r="A78" s="2125" t="s">
        <v>597</v>
      </c>
      <c r="B78" s="2126"/>
      <c r="C78" s="1702">
        <f t="shared" ref="C78:K78" si="9">C20+C77</f>
        <v>-592301</v>
      </c>
      <c r="D78" s="1702">
        <f t="shared" si="9"/>
        <v>20187</v>
      </c>
      <c r="E78" s="1702">
        <f t="shared" si="9"/>
        <v>16243</v>
      </c>
      <c r="F78" s="1702">
        <f t="shared" si="9"/>
        <v>221551</v>
      </c>
      <c r="G78" s="1702">
        <f t="shared" si="9"/>
        <v>56500</v>
      </c>
      <c r="H78" s="1702">
        <f t="shared" si="9"/>
        <v>3167569</v>
      </c>
      <c r="I78" s="1702">
        <f t="shared" si="9"/>
        <v>156533</v>
      </c>
      <c r="J78" s="1702">
        <f t="shared" si="9"/>
        <v>56068</v>
      </c>
      <c r="K78" s="1702">
        <f t="shared" si="9"/>
        <v>0</v>
      </c>
      <c r="L78" s="533"/>
    </row>
    <row r="79" spans="1:12" ht="13.5" thickTop="1" x14ac:dyDescent="0.2">
      <c r="A79" s="1494" t="s">
        <v>1946</v>
      </c>
      <c r="B79" s="534"/>
      <c r="C79" s="478">
        <v>6056537</v>
      </c>
      <c r="D79" s="535">
        <v>881072</v>
      </c>
      <c r="E79" s="535">
        <v>489030</v>
      </c>
      <c r="F79" s="535">
        <v>851353</v>
      </c>
      <c r="G79" s="535">
        <v>32131</v>
      </c>
      <c r="H79" s="535">
        <v>220945</v>
      </c>
      <c r="I79" s="535">
        <v>3978</v>
      </c>
      <c r="J79" s="535">
        <v>80065</v>
      </c>
      <c r="K79" s="535"/>
      <c r="L79" s="347"/>
    </row>
    <row r="80" spans="1:12" x14ac:dyDescent="0.2">
      <c r="A80" s="2131" t="s">
        <v>1792</v>
      </c>
      <c r="B80" s="2132"/>
      <c r="C80" s="467"/>
      <c r="D80" s="467"/>
      <c r="E80" s="467"/>
      <c r="F80" s="467"/>
      <c r="G80" s="467"/>
      <c r="H80" s="467"/>
      <c r="I80" s="467"/>
      <c r="J80" s="467"/>
      <c r="K80" s="467"/>
      <c r="L80" s="347"/>
    </row>
    <row r="81" spans="1:12" ht="13.5" thickBot="1" x14ac:dyDescent="0.25">
      <c r="A81" s="2123" t="s">
        <v>1947</v>
      </c>
      <c r="B81" s="2124"/>
      <c r="C81" s="1688">
        <f>(SUM(C78:C80))</f>
        <v>5464236</v>
      </c>
      <c r="D81" s="1688">
        <f>SUM(D78:D80)</f>
        <v>901259</v>
      </c>
      <c r="E81" s="1688">
        <f t="shared" ref="E81:K81" si="10">SUM(E78:E80)</f>
        <v>505273</v>
      </c>
      <c r="F81" s="1688">
        <f t="shared" si="10"/>
        <v>1072904</v>
      </c>
      <c r="G81" s="1688">
        <f t="shared" si="10"/>
        <v>88631</v>
      </c>
      <c r="H81" s="1688">
        <f t="shared" si="10"/>
        <v>3388514</v>
      </c>
      <c r="I81" s="1688">
        <f t="shared" si="10"/>
        <v>160511</v>
      </c>
      <c r="J81" s="1688">
        <f t="shared" si="10"/>
        <v>136133</v>
      </c>
      <c r="K81" s="1688">
        <f t="shared" si="10"/>
        <v>0</v>
      </c>
      <c r="L81" s="347"/>
    </row>
    <row r="82" spans="1:12" ht="0.75" customHeight="1" thickTop="1" thickBot="1" x14ac:dyDescent="0.25">
      <c r="A82" s="536" t="s">
        <v>343</v>
      </c>
      <c r="B82" s="537"/>
      <c r="C82" s="538">
        <f>(C81-C79)</f>
        <v>-592301</v>
      </c>
      <c r="D82" s="538">
        <f t="shared" ref="D82:K82" si="11">(D81-D79)</f>
        <v>20187</v>
      </c>
      <c r="E82" s="538">
        <f t="shared" si="11"/>
        <v>16243</v>
      </c>
      <c r="F82" s="538">
        <f t="shared" si="11"/>
        <v>221551</v>
      </c>
      <c r="G82" s="538">
        <f t="shared" si="11"/>
        <v>56500</v>
      </c>
      <c r="H82" s="538">
        <f t="shared" si="11"/>
        <v>3167569</v>
      </c>
      <c r="I82" s="538">
        <f t="shared" si="11"/>
        <v>156533</v>
      </c>
      <c r="J82" s="538">
        <f t="shared" si="11"/>
        <v>56068</v>
      </c>
      <c r="K82" s="538">
        <f t="shared" si="11"/>
        <v>0</v>
      </c>
    </row>
    <row r="83" spans="1:12" ht="14.25" hidden="1" thickTop="1" thickBot="1" x14ac:dyDescent="0.25">
      <c r="A83" s="539" t="s">
        <v>344</v>
      </c>
      <c r="B83" s="464"/>
      <c r="C83" s="540">
        <f>C82/C81</f>
        <v>-0.10839594043888295</v>
      </c>
      <c r="D83" s="540">
        <f t="shared" ref="D83:K83" si="12">D82/D81</f>
        <v>2.2398666753951971E-2</v>
      </c>
      <c r="E83" s="540">
        <f t="shared" si="12"/>
        <v>3.2146977970324953E-2</v>
      </c>
      <c r="F83" s="540">
        <f t="shared" si="12"/>
        <v>0.20649657378479341</v>
      </c>
      <c r="G83" s="540">
        <f t="shared" si="12"/>
        <v>0.6374744728142524</v>
      </c>
      <c r="H83" s="540">
        <f t="shared" si="12"/>
        <v>0.93479590168433713</v>
      </c>
      <c r="I83" s="540">
        <f t="shared" si="12"/>
        <v>0.97521665181825545</v>
      </c>
      <c r="J83" s="540">
        <f t="shared" si="12"/>
        <v>0.41186192914282355</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3" activePane="bottomLeft" state="frozen"/>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1799</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13910999</v>
      </c>
      <c r="D5" s="481">
        <v>1584286</v>
      </c>
      <c r="E5" s="466">
        <v>1205687</v>
      </c>
      <c r="F5" s="548">
        <v>1244360</v>
      </c>
      <c r="G5" s="466">
        <v>364534</v>
      </c>
      <c r="H5" s="466"/>
      <c r="I5" s="466">
        <v>142496</v>
      </c>
      <c r="J5" s="467">
        <v>212352</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364535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13910999</v>
      </c>
      <c r="D12" s="1707">
        <f t="shared" si="0"/>
        <v>1584286</v>
      </c>
      <c r="E12" s="1707">
        <f t="shared" si="0"/>
        <v>1205687</v>
      </c>
      <c r="F12" s="1707">
        <f t="shared" si="0"/>
        <v>1244360</v>
      </c>
      <c r="G12" s="1707">
        <f t="shared" si="0"/>
        <v>729069</v>
      </c>
      <c r="H12" s="1707">
        <f t="shared" si="0"/>
        <v>0</v>
      </c>
      <c r="I12" s="1707">
        <f t="shared" si="0"/>
        <v>142496</v>
      </c>
      <c r="J12" s="1707">
        <f t="shared" si="0"/>
        <v>212352</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74352</v>
      </c>
      <c r="D16" s="466"/>
      <c r="E16" s="466"/>
      <c r="F16" s="466"/>
      <c r="G16" s="466">
        <v>1000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74352</v>
      </c>
      <c r="D18" s="1710">
        <f t="shared" ref="D18:K18" si="1">SUM(D14:D17)</f>
        <v>0</v>
      </c>
      <c r="E18" s="1710">
        <f t="shared" si="1"/>
        <v>0</v>
      </c>
      <c r="F18" s="1710">
        <f t="shared" si="1"/>
        <v>0</v>
      </c>
      <c r="G18" s="1710">
        <f t="shared" si="1"/>
        <v>1000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2550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2550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207939</v>
      </c>
      <c r="D65" s="466">
        <v>19245</v>
      </c>
      <c r="E65" s="466">
        <v>8797</v>
      </c>
      <c r="F65" s="467">
        <v>24839</v>
      </c>
      <c r="G65" s="466">
        <v>3517</v>
      </c>
      <c r="H65" s="466">
        <v>19133</v>
      </c>
      <c r="I65" s="466">
        <v>14037</v>
      </c>
      <c r="J65" s="467">
        <v>1362</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207939</v>
      </c>
      <c r="D67" s="1688">
        <f t="shared" ref="D67:K67" si="2">SUM(D65:D66)</f>
        <v>19245</v>
      </c>
      <c r="E67" s="1688">
        <f t="shared" si="2"/>
        <v>8797</v>
      </c>
      <c r="F67" s="1688">
        <f t="shared" si="2"/>
        <v>24839</v>
      </c>
      <c r="G67" s="1688">
        <f t="shared" si="2"/>
        <v>3517</v>
      </c>
      <c r="H67" s="1688">
        <f t="shared" si="2"/>
        <v>19133</v>
      </c>
      <c r="I67" s="1688">
        <f t="shared" si="2"/>
        <v>14037</v>
      </c>
      <c r="J67" s="1688">
        <f t="shared" si="2"/>
        <v>1362</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189549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189549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62680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62680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250458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250458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120606</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v>2381</v>
      </c>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21195</v>
      </c>
      <c r="D99" s="466"/>
      <c r="E99" s="466"/>
      <c r="F99" s="466">
        <v>14138</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371435</v>
      </c>
      <c r="D106" s="489"/>
      <c r="E106" s="467"/>
      <c r="F106" s="467"/>
      <c r="G106" s="467"/>
      <c r="H106" s="467"/>
      <c r="I106" s="521"/>
      <c r="J106" s="467"/>
      <c r="K106" s="467"/>
    </row>
    <row r="107" spans="1:12" ht="12.75" customHeight="1" x14ac:dyDescent="0.2">
      <c r="A107" s="463" t="s">
        <v>78</v>
      </c>
      <c r="B107" s="470">
        <v>1999</v>
      </c>
      <c r="C107" s="551">
        <v>131285</v>
      </c>
      <c r="D107" s="466">
        <v>56</v>
      </c>
      <c r="E107" s="466"/>
      <c r="F107" s="466"/>
      <c r="G107" s="466"/>
      <c r="H107" s="466"/>
      <c r="I107" s="466"/>
      <c r="J107" s="467"/>
      <c r="K107" s="466"/>
    </row>
    <row r="108" spans="1:12" ht="12.75" customHeight="1" thickBot="1" x14ac:dyDescent="0.25">
      <c r="A108" s="1708" t="s">
        <v>487</v>
      </c>
      <c r="B108" s="1712"/>
      <c r="C108" s="1707">
        <f>SUM(C95:C107)</f>
        <v>523915</v>
      </c>
      <c r="D108" s="1707">
        <f t="shared" ref="D108:K108" si="3">SUM(D95:D107)</f>
        <v>123043</v>
      </c>
      <c r="E108" s="1707">
        <f t="shared" si="3"/>
        <v>0</v>
      </c>
      <c r="F108" s="1707">
        <f t="shared" si="3"/>
        <v>14138</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15222442</v>
      </c>
      <c r="D109" s="1715">
        <f t="shared" si="4"/>
        <v>1726574</v>
      </c>
      <c r="E109" s="1715">
        <f t="shared" si="4"/>
        <v>1214484</v>
      </c>
      <c r="F109" s="1715">
        <f t="shared" si="4"/>
        <v>1283337</v>
      </c>
      <c r="G109" s="1715">
        <f t="shared" si="4"/>
        <v>733586</v>
      </c>
      <c r="H109" s="1715">
        <f t="shared" si="4"/>
        <v>19133</v>
      </c>
      <c r="I109" s="1715">
        <f t="shared" si="4"/>
        <v>156533</v>
      </c>
      <c r="J109" s="1715">
        <f t="shared" si="4"/>
        <v>213714</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1753620</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1933</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1753620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3792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368653</v>
      </c>
      <c r="G152" s="467"/>
      <c r="H152" s="468"/>
      <c r="I152" s="468"/>
      <c r="J152" s="468"/>
      <c r="K152" s="468"/>
    </row>
    <row r="153" spans="1:11" ht="12.75" customHeight="1" x14ac:dyDescent="0.2">
      <c r="A153" s="463" t="s">
        <v>1057</v>
      </c>
      <c r="B153" s="562">
        <v>3510</v>
      </c>
      <c r="C153" s="551"/>
      <c r="D153" s="466"/>
      <c r="E153" s="561"/>
      <c r="F153" s="466">
        <v>147213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515866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190</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3982</v>
      </c>
      <c r="D169" s="1722">
        <f t="shared" si="6"/>
        <v>0</v>
      </c>
      <c r="E169" s="1722">
        <f t="shared" si="6"/>
        <v>0</v>
      </c>
      <c r="F169" s="1722">
        <f t="shared" si="6"/>
        <v>515866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1757602</v>
      </c>
      <c r="D170" s="1715">
        <f t="shared" si="7"/>
        <v>0</v>
      </c>
      <c r="E170" s="1715">
        <f t="shared" si="7"/>
        <v>0</v>
      </c>
      <c r="F170" s="1715">
        <f t="shared" si="7"/>
        <v>515866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1800</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187365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30951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218316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187211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187211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1425</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1425</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15410</v>
      </c>
      <c r="D211" s="466"/>
      <c r="E211" s="468"/>
      <c r="F211" s="466"/>
      <c r="G211" s="466"/>
      <c r="H211" s="468"/>
      <c r="I211" s="468"/>
      <c r="J211" s="468"/>
      <c r="K211" s="468"/>
    </row>
    <row r="212" spans="1:11" ht="12.75" customHeight="1" x14ac:dyDescent="0.2">
      <c r="A212" s="463" t="s">
        <v>1053</v>
      </c>
      <c r="B212" s="470">
        <v>4605</v>
      </c>
      <c r="C212" s="551">
        <v>236545</v>
      </c>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97727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349682</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30432</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30487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1934</v>
      </c>
      <c r="B261" s="470">
        <v>4981</v>
      </c>
      <c r="C261" s="575"/>
      <c r="D261" s="576"/>
      <c r="E261" s="468"/>
      <c r="F261" s="576"/>
      <c r="G261" s="576"/>
      <c r="H261" s="468"/>
      <c r="I261" s="468"/>
      <c r="J261" s="468"/>
      <c r="K261" s="468"/>
    </row>
    <row r="262" spans="1:11" ht="12.75" customHeight="1" thickTop="1" thickBot="1" x14ac:dyDescent="0.25">
      <c r="A262" s="1931"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14729</v>
      </c>
      <c r="D263" s="576"/>
      <c r="E263" s="468"/>
      <c r="F263" s="576"/>
      <c r="G263" s="576"/>
      <c r="H263" s="468"/>
      <c r="I263" s="468"/>
      <c r="J263" s="468"/>
      <c r="K263" s="468"/>
    </row>
    <row r="264" spans="1:11" ht="12.75" customHeight="1" thickTop="1" thickBot="1" x14ac:dyDescent="0.25">
      <c r="A264" s="463" t="s">
        <v>377</v>
      </c>
      <c r="B264" s="470">
        <v>4992</v>
      </c>
      <c r="C264" s="575">
        <v>84317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916599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916599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17896643</v>
      </c>
      <c r="D268" s="1715">
        <f t="shared" si="12"/>
        <v>1726574</v>
      </c>
      <c r="E268" s="1715">
        <f t="shared" si="12"/>
        <v>1214484</v>
      </c>
      <c r="F268" s="1715">
        <f t="shared" si="12"/>
        <v>1799203</v>
      </c>
      <c r="G268" s="1715">
        <f t="shared" si="12"/>
        <v>733586</v>
      </c>
      <c r="H268" s="1715">
        <f t="shared" si="12"/>
        <v>19133</v>
      </c>
      <c r="I268" s="1715">
        <f t="shared" si="12"/>
        <v>156533</v>
      </c>
      <c r="J268" s="1715">
        <f t="shared" si="12"/>
        <v>213714</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7" activePane="bottomLeft" state="frozen"/>
      <selection pane="bottomLeft" activeCell="F3" sqref="F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5651576</v>
      </c>
      <c r="D5" s="466">
        <v>1029953</v>
      </c>
      <c r="E5" s="466">
        <v>35350</v>
      </c>
      <c r="F5" s="466">
        <v>243671</v>
      </c>
      <c r="G5" s="466">
        <v>232368</v>
      </c>
      <c r="H5" s="466">
        <v>2939</v>
      </c>
      <c r="I5" s="467"/>
      <c r="J5" s="467"/>
      <c r="K5" s="1671">
        <f>SUM(C5:J5)</f>
        <v>7195857</v>
      </c>
      <c r="L5" s="466">
        <v>7160939</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1845954</v>
      </c>
      <c r="D8" s="466">
        <v>526516</v>
      </c>
      <c r="E8" s="466">
        <v>31990</v>
      </c>
      <c r="F8" s="466">
        <v>33731</v>
      </c>
      <c r="G8" s="466">
        <v>4745</v>
      </c>
      <c r="H8" s="466">
        <v>425</v>
      </c>
      <c r="I8" s="467"/>
      <c r="J8" s="467"/>
      <c r="K8" s="1671">
        <f t="shared" si="0"/>
        <v>2443361</v>
      </c>
      <c r="L8" s="466">
        <v>2439129</v>
      </c>
    </row>
    <row r="9" spans="1:14" x14ac:dyDescent="0.2">
      <c r="A9" s="1504" t="s">
        <v>721</v>
      </c>
      <c r="B9" s="614" t="s">
        <v>968</v>
      </c>
      <c r="C9" s="467">
        <v>157181</v>
      </c>
      <c r="D9" s="467">
        <v>43635</v>
      </c>
      <c r="E9" s="467"/>
      <c r="F9" s="467">
        <v>1336</v>
      </c>
      <c r="G9" s="467"/>
      <c r="H9" s="467"/>
      <c r="I9" s="467"/>
      <c r="J9" s="467"/>
      <c r="K9" s="1671">
        <f t="shared" si="0"/>
        <v>202152</v>
      </c>
      <c r="L9" s="466">
        <v>241999</v>
      </c>
    </row>
    <row r="10" spans="1:14" x14ac:dyDescent="0.2">
      <c r="A10" s="1504" t="s">
        <v>722</v>
      </c>
      <c r="B10" s="614">
        <v>1250</v>
      </c>
      <c r="C10" s="466">
        <v>85398</v>
      </c>
      <c r="D10" s="466">
        <v>274</v>
      </c>
      <c r="E10" s="466"/>
      <c r="F10" s="466"/>
      <c r="G10" s="466"/>
      <c r="H10" s="466"/>
      <c r="I10" s="467"/>
      <c r="J10" s="467"/>
      <c r="K10" s="1671">
        <f t="shared" si="0"/>
        <v>85672</v>
      </c>
      <c r="L10" s="466">
        <v>88250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96652</v>
      </c>
      <c r="D13" s="466">
        <v>16091</v>
      </c>
      <c r="E13" s="466"/>
      <c r="F13" s="466">
        <v>4737</v>
      </c>
      <c r="G13" s="466"/>
      <c r="H13" s="466"/>
      <c r="I13" s="467"/>
      <c r="J13" s="467"/>
      <c r="K13" s="1671">
        <f t="shared" si="0"/>
        <v>117480</v>
      </c>
      <c r="L13" s="466">
        <v>121056</v>
      </c>
    </row>
    <row r="14" spans="1:14" x14ac:dyDescent="0.2">
      <c r="A14" s="1504" t="s">
        <v>963</v>
      </c>
      <c r="B14" s="614">
        <v>1500</v>
      </c>
      <c r="C14" s="466">
        <v>141605</v>
      </c>
      <c r="D14" s="466">
        <v>4618</v>
      </c>
      <c r="E14" s="466"/>
      <c r="F14" s="466">
        <v>830</v>
      </c>
      <c r="G14" s="466"/>
      <c r="H14" s="466">
        <v>1660</v>
      </c>
      <c r="I14" s="467"/>
      <c r="J14" s="467"/>
      <c r="K14" s="1671">
        <f t="shared" si="0"/>
        <v>148713</v>
      </c>
      <c r="L14" s="466">
        <v>150087</v>
      </c>
    </row>
    <row r="15" spans="1:14" x14ac:dyDescent="0.2">
      <c r="A15" s="1504" t="s">
        <v>964</v>
      </c>
      <c r="B15" s="614">
        <v>1600</v>
      </c>
      <c r="C15" s="466">
        <v>79590</v>
      </c>
      <c r="D15" s="466"/>
      <c r="E15" s="466">
        <v>6505</v>
      </c>
      <c r="F15" s="466">
        <v>555</v>
      </c>
      <c r="G15" s="466"/>
      <c r="H15" s="466"/>
      <c r="I15" s="467"/>
      <c r="J15" s="467"/>
      <c r="K15" s="1671">
        <f t="shared" si="0"/>
        <v>86650</v>
      </c>
      <c r="L15" s="466">
        <v>41406</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v>587004</v>
      </c>
      <c r="D18" s="466">
        <v>85132</v>
      </c>
      <c r="E18" s="466">
        <v>1079</v>
      </c>
      <c r="F18" s="466"/>
      <c r="G18" s="466"/>
      <c r="H18" s="466"/>
      <c r="I18" s="467"/>
      <c r="J18" s="467"/>
      <c r="K18" s="1671">
        <f t="shared" si="0"/>
        <v>673215</v>
      </c>
      <c r="L18" s="466">
        <v>683643</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275380</v>
      </c>
      <c r="I22" s="616"/>
      <c r="J22" s="477"/>
      <c r="K22" s="1671">
        <f t="shared" si="0"/>
        <v>275380</v>
      </c>
      <c r="L22" s="471">
        <v>142960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v>17150</v>
      </c>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8644960</v>
      </c>
      <c r="D33" s="1670">
        <f t="shared" ref="D33:L33" si="1">SUM(D5:D32)</f>
        <v>1706219</v>
      </c>
      <c r="E33" s="1670">
        <f t="shared" si="1"/>
        <v>74924</v>
      </c>
      <c r="F33" s="1670">
        <f t="shared" si="1"/>
        <v>284860</v>
      </c>
      <c r="G33" s="1670">
        <f t="shared" si="1"/>
        <v>237113</v>
      </c>
      <c r="H33" s="1670">
        <f t="shared" si="1"/>
        <v>280404</v>
      </c>
      <c r="I33" s="1670">
        <f t="shared" si="1"/>
        <v>0</v>
      </c>
      <c r="J33" s="1670">
        <f t="shared" si="1"/>
        <v>0</v>
      </c>
      <c r="K33" s="1670">
        <f t="shared" si="1"/>
        <v>11228480</v>
      </c>
      <c r="L33" s="1670">
        <f t="shared" si="1"/>
        <v>11086619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303091</v>
      </c>
      <c r="D36" s="481">
        <v>46713</v>
      </c>
      <c r="E36" s="481">
        <v>26938</v>
      </c>
      <c r="F36" s="481">
        <v>669</v>
      </c>
      <c r="G36" s="481"/>
      <c r="H36" s="481"/>
      <c r="I36" s="467"/>
      <c r="J36" s="467"/>
      <c r="K36" s="1671">
        <f t="shared" ref="K36:K41" si="2">SUM(C36:J36)</f>
        <v>377411</v>
      </c>
      <c r="L36" s="466">
        <v>385983</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506717</v>
      </c>
      <c r="D38" s="466">
        <v>129404</v>
      </c>
      <c r="E38" s="466">
        <v>34887</v>
      </c>
      <c r="F38" s="466">
        <v>14383</v>
      </c>
      <c r="G38" s="466">
        <v>9302</v>
      </c>
      <c r="H38" s="466">
        <v>65</v>
      </c>
      <c r="I38" s="467"/>
      <c r="J38" s="467"/>
      <c r="K38" s="1671">
        <f t="shared" si="2"/>
        <v>694758</v>
      </c>
      <c r="L38" s="466">
        <v>688397</v>
      </c>
    </row>
    <row r="39" spans="1:14" x14ac:dyDescent="0.2">
      <c r="A39" s="1504" t="s">
        <v>199</v>
      </c>
      <c r="B39" s="614">
        <v>2140</v>
      </c>
      <c r="C39" s="466">
        <v>270347</v>
      </c>
      <c r="D39" s="466">
        <v>39960</v>
      </c>
      <c r="E39" s="466">
        <v>48419</v>
      </c>
      <c r="F39" s="466"/>
      <c r="G39" s="466"/>
      <c r="H39" s="466">
        <v>585</v>
      </c>
      <c r="I39" s="467"/>
      <c r="J39" s="467"/>
      <c r="K39" s="1671">
        <f t="shared" si="2"/>
        <v>359311</v>
      </c>
      <c r="L39" s="466">
        <v>314355</v>
      </c>
    </row>
    <row r="40" spans="1:14" x14ac:dyDescent="0.2">
      <c r="A40" s="1504" t="s">
        <v>200</v>
      </c>
      <c r="B40" s="614">
        <v>2150</v>
      </c>
      <c r="C40" s="466">
        <v>432121</v>
      </c>
      <c r="D40" s="466">
        <v>59638</v>
      </c>
      <c r="E40" s="466">
        <v>2059</v>
      </c>
      <c r="F40" s="466">
        <v>2672</v>
      </c>
      <c r="G40" s="466">
        <v>4582</v>
      </c>
      <c r="H40" s="466">
        <v>100</v>
      </c>
      <c r="I40" s="467"/>
      <c r="J40" s="467"/>
      <c r="K40" s="1671">
        <f t="shared" si="2"/>
        <v>501172</v>
      </c>
      <c r="L40" s="466">
        <v>518106</v>
      </c>
    </row>
    <row r="41" spans="1:14" x14ac:dyDescent="0.2">
      <c r="A41" s="1504" t="s">
        <v>1669</v>
      </c>
      <c r="B41" s="614">
        <v>2190</v>
      </c>
      <c r="C41" s="466"/>
      <c r="D41" s="466"/>
      <c r="E41" s="466">
        <v>41251</v>
      </c>
      <c r="F41" s="466"/>
      <c r="G41" s="466"/>
      <c r="H41" s="466"/>
      <c r="I41" s="467"/>
      <c r="J41" s="467"/>
      <c r="K41" s="1671">
        <f t="shared" si="2"/>
        <v>41251</v>
      </c>
      <c r="L41" s="466">
        <v>45000</v>
      </c>
    </row>
    <row r="42" spans="1:14" ht="12.75" customHeight="1" thickBot="1" x14ac:dyDescent="0.25">
      <c r="A42" s="1668" t="s">
        <v>560</v>
      </c>
      <c r="B42" s="1669" t="s">
        <v>716</v>
      </c>
      <c r="C42" s="1670">
        <f>SUM(C36:C41)</f>
        <v>1512276</v>
      </c>
      <c r="D42" s="1670">
        <f t="shared" ref="D42:L42" si="3">SUM(D36:D41)</f>
        <v>275715</v>
      </c>
      <c r="E42" s="1670">
        <f t="shared" si="3"/>
        <v>153554</v>
      </c>
      <c r="F42" s="1670">
        <f t="shared" si="3"/>
        <v>17724</v>
      </c>
      <c r="G42" s="1670">
        <f t="shared" si="3"/>
        <v>13884</v>
      </c>
      <c r="H42" s="1670">
        <f t="shared" si="3"/>
        <v>750</v>
      </c>
      <c r="I42" s="1670">
        <f t="shared" si="3"/>
        <v>0</v>
      </c>
      <c r="J42" s="1670">
        <f t="shared" si="3"/>
        <v>0</v>
      </c>
      <c r="K42" s="1670">
        <f t="shared" si="3"/>
        <v>1973903</v>
      </c>
      <c r="L42" s="1670">
        <f t="shared" si="3"/>
        <v>1951841</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407874</v>
      </c>
      <c r="D44" s="481">
        <v>62161</v>
      </c>
      <c r="E44" s="481">
        <v>25450</v>
      </c>
      <c r="F44" s="481">
        <v>2136</v>
      </c>
      <c r="G44" s="481"/>
      <c r="H44" s="481">
        <v>1364</v>
      </c>
      <c r="I44" s="467"/>
      <c r="J44" s="467"/>
      <c r="K44" s="1672">
        <f>SUM(C44:J44)</f>
        <v>498985</v>
      </c>
      <c r="L44" s="481">
        <v>557306</v>
      </c>
    </row>
    <row r="45" spans="1:14" x14ac:dyDescent="0.2">
      <c r="A45" s="1504" t="s">
        <v>815</v>
      </c>
      <c r="B45" s="614">
        <v>2220</v>
      </c>
      <c r="C45" s="466">
        <v>794012</v>
      </c>
      <c r="D45" s="466">
        <v>177276</v>
      </c>
      <c r="E45" s="466">
        <v>62147</v>
      </c>
      <c r="F45" s="466">
        <v>188773</v>
      </c>
      <c r="G45" s="466">
        <v>131150</v>
      </c>
      <c r="H45" s="466">
        <v>455</v>
      </c>
      <c r="I45" s="467"/>
      <c r="J45" s="467"/>
      <c r="K45" s="1672">
        <f>SUM(C45:J45)</f>
        <v>1353813</v>
      </c>
      <c r="L45" s="466">
        <v>1420990</v>
      </c>
    </row>
    <row r="46" spans="1:14" x14ac:dyDescent="0.2">
      <c r="A46" s="1504" t="s">
        <v>816</v>
      </c>
      <c r="B46" s="614">
        <v>2230</v>
      </c>
      <c r="C46" s="466"/>
      <c r="D46" s="466"/>
      <c r="E46" s="466"/>
      <c r="F46" s="466">
        <v>29888</v>
      </c>
      <c r="G46" s="466"/>
      <c r="H46" s="466"/>
      <c r="I46" s="467"/>
      <c r="J46" s="467"/>
      <c r="K46" s="1672">
        <f>SUM(C46:J46)</f>
        <v>29888</v>
      </c>
      <c r="L46" s="466">
        <v>30000</v>
      </c>
    </row>
    <row r="47" spans="1:14" ht="12.75" customHeight="1" thickBot="1" x14ac:dyDescent="0.25">
      <c r="A47" s="1668" t="s">
        <v>561</v>
      </c>
      <c r="B47" s="1669" t="s">
        <v>32</v>
      </c>
      <c r="C47" s="1670">
        <f>SUM(C44:C46)</f>
        <v>1201886</v>
      </c>
      <c r="D47" s="1670">
        <f t="shared" ref="D47:K47" si="4">SUM(D44:D46)</f>
        <v>239437</v>
      </c>
      <c r="E47" s="1670">
        <f t="shared" si="4"/>
        <v>87597</v>
      </c>
      <c r="F47" s="1670">
        <f t="shared" si="4"/>
        <v>220797</v>
      </c>
      <c r="G47" s="1670">
        <f t="shared" si="4"/>
        <v>131150</v>
      </c>
      <c r="H47" s="1670">
        <f t="shared" si="4"/>
        <v>1819</v>
      </c>
      <c r="I47" s="1670">
        <f t="shared" si="4"/>
        <v>0</v>
      </c>
      <c r="J47" s="1670">
        <f t="shared" si="4"/>
        <v>0</v>
      </c>
      <c r="K47" s="1670">
        <f t="shared" si="4"/>
        <v>1882686</v>
      </c>
      <c r="L47" s="1670">
        <f>SUM(L44:L46)</f>
        <v>2008296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27390</v>
      </c>
      <c r="F49" s="481">
        <v>3202</v>
      </c>
      <c r="G49" s="481"/>
      <c r="H49" s="481">
        <v>5667</v>
      </c>
      <c r="I49" s="467"/>
      <c r="J49" s="467"/>
      <c r="K49" s="1672">
        <f>SUM(C49:J49)</f>
        <v>36259</v>
      </c>
      <c r="L49" s="481">
        <v>51500</v>
      </c>
    </row>
    <row r="50" spans="1:14" x14ac:dyDescent="0.2">
      <c r="A50" s="1504" t="s">
        <v>818</v>
      </c>
      <c r="B50" s="614">
        <v>2320</v>
      </c>
      <c r="C50" s="466">
        <v>262567</v>
      </c>
      <c r="D50" s="466">
        <v>71381</v>
      </c>
      <c r="E50" s="466">
        <v>5808</v>
      </c>
      <c r="F50" s="466">
        <v>3620</v>
      </c>
      <c r="G50" s="466"/>
      <c r="H50" s="466">
        <v>2680</v>
      </c>
      <c r="I50" s="467"/>
      <c r="J50" s="467"/>
      <c r="K50" s="1672">
        <f>SUM(C50:J50)</f>
        <v>346056</v>
      </c>
      <c r="L50" s="466">
        <v>350139</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v>62518</v>
      </c>
      <c r="F52" s="474"/>
      <c r="G52" s="474"/>
      <c r="H52" s="474"/>
      <c r="I52" s="474"/>
      <c r="J52" s="474"/>
      <c r="K52" s="1672">
        <f>SUM(C52:J52)</f>
        <v>62518</v>
      </c>
      <c r="L52" s="474">
        <v>65000</v>
      </c>
    </row>
    <row r="53" spans="1:14" ht="12.75" customHeight="1" thickBot="1" x14ac:dyDescent="0.25">
      <c r="A53" s="1668" t="s">
        <v>717</v>
      </c>
      <c r="B53" s="1669" t="s">
        <v>33</v>
      </c>
      <c r="C53" s="1670">
        <f>SUM(C49:C52)</f>
        <v>262567</v>
      </c>
      <c r="D53" s="1670">
        <f t="shared" ref="D53:L53" si="5">SUM(D49:D52)</f>
        <v>71381</v>
      </c>
      <c r="E53" s="1670">
        <f t="shared" si="5"/>
        <v>95716</v>
      </c>
      <c r="F53" s="1670">
        <f t="shared" si="5"/>
        <v>6822</v>
      </c>
      <c r="G53" s="1670">
        <f t="shared" si="5"/>
        <v>0</v>
      </c>
      <c r="H53" s="1670">
        <f t="shared" si="5"/>
        <v>8347</v>
      </c>
      <c r="I53" s="1670">
        <f t="shared" si="5"/>
        <v>0</v>
      </c>
      <c r="J53" s="1670">
        <f t="shared" si="5"/>
        <v>0</v>
      </c>
      <c r="K53" s="1670">
        <f t="shared" si="5"/>
        <v>444833</v>
      </c>
      <c r="L53" s="1670">
        <f t="shared" si="5"/>
        <v>466639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854625</v>
      </c>
      <c r="D55" s="481">
        <v>230554</v>
      </c>
      <c r="E55" s="481">
        <v>4466</v>
      </c>
      <c r="F55" s="481">
        <v>26320</v>
      </c>
      <c r="G55" s="481"/>
      <c r="H55" s="481">
        <v>816</v>
      </c>
      <c r="I55" s="467"/>
      <c r="J55" s="467"/>
      <c r="K55" s="1672">
        <f>SUM(C55:J55)</f>
        <v>1116781</v>
      </c>
      <c r="L55" s="481">
        <v>1139689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854625</v>
      </c>
      <c r="D57" s="1674">
        <f t="shared" ref="D57:K57" si="6">SUM(D55:D56)</f>
        <v>230554</v>
      </c>
      <c r="E57" s="1674">
        <f t="shared" si="6"/>
        <v>4466</v>
      </c>
      <c r="F57" s="1674">
        <f t="shared" si="6"/>
        <v>26320</v>
      </c>
      <c r="G57" s="1674">
        <f t="shared" si="6"/>
        <v>0</v>
      </c>
      <c r="H57" s="1674">
        <f t="shared" si="6"/>
        <v>816</v>
      </c>
      <c r="I57" s="1674">
        <f t="shared" si="6"/>
        <v>0</v>
      </c>
      <c r="J57" s="1674">
        <f t="shared" si="6"/>
        <v>0</v>
      </c>
      <c r="K57" s="1674">
        <f t="shared" si="6"/>
        <v>1116781</v>
      </c>
      <c r="L57" s="1670">
        <f>SUM(L55:L56)</f>
        <v>1139689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140425</v>
      </c>
      <c r="D59" s="481">
        <v>18324</v>
      </c>
      <c r="E59" s="481">
        <v>3929</v>
      </c>
      <c r="F59" s="481"/>
      <c r="G59" s="481"/>
      <c r="H59" s="481">
        <v>1060</v>
      </c>
      <c r="I59" s="467"/>
      <c r="J59" s="467"/>
      <c r="K59" s="1672">
        <f t="shared" ref="K59:K64" si="7">SUM(C59:J59)</f>
        <v>163738</v>
      </c>
      <c r="L59" s="481">
        <v>166449</v>
      </c>
      <c r="M59" s="609"/>
      <c r="N59" s="609"/>
    </row>
    <row r="60" spans="1:14" s="343" customFormat="1" x14ac:dyDescent="0.2">
      <c r="A60" s="1504" t="s">
        <v>463</v>
      </c>
      <c r="B60" s="614">
        <v>2520</v>
      </c>
      <c r="C60" s="466">
        <v>108157</v>
      </c>
      <c r="D60" s="466">
        <v>41857</v>
      </c>
      <c r="E60" s="466">
        <v>43983</v>
      </c>
      <c r="F60" s="466">
        <v>1992</v>
      </c>
      <c r="G60" s="466"/>
      <c r="H60" s="466"/>
      <c r="I60" s="467"/>
      <c r="J60" s="467"/>
      <c r="K60" s="1672">
        <f t="shared" si="7"/>
        <v>195989</v>
      </c>
      <c r="L60" s="466">
        <v>195960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78754</v>
      </c>
      <c r="D63" s="466">
        <v>2</v>
      </c>
      <c r="E63" s="466">
        <v>376080</v>
      </c>
      <c r="F63" s="466">
        <f>1921-251</f>
        <v>1670</v>
      </c>
      <c r="G63" s="466">
        <v>11987</v>
      </c>
      <c r="H63" s="466"/>
      <c r="I63" s="467"/>
      <c r="J63" s="467"/>
      <c r="K63" s="1672">
        <f t="shared" si="7"/>
        <v>468493</v>
      </c>
      <c r="L63" s="466">
        <v>479965</v>
      </c>
    </row>
    <row r="64" spans="1:14" s="609" customFormat="1" x14ac:dyDescent="0.2">
      <c r="A64" s="1509" t="s">
        <v>101</v>
      </c>
      <c r="B64" s="630">
        <v>2570</v>
      </c>
      <c r="C64" s="481"/>
      <c r="D64" s="481"/>
      <c r="E64" s="481">
        <v>45978</v>
      </c>
      <c r="F64" s="481"/>
      <c r="G64" s="481"/>
      <c r="H64" s="481"/>
      <c r="I64" s="467"/>
      <c r="J64" s="467"/>
      <c r="K64" s="1672">
        <f t="shared" si="7"/>
        <v>45978</v>
      </c>
      <c r="L64" s="481">
        <v>35750</v>
      </c>
    </row>
    <row r="65" spans="1:14" s="343" customFormat="1" ht="12.75" customHeight="1" thickBot="1" x14ac:dyDescent="0.25">
      <c r="A65" s="1668" t="s">
        <v>719</v>
      </c>
      <c r="B65" s="1669" t="s">
        <v>35</v>
      </c>
      <c r="C65" s="1670">
        <f>SUM(C59:C64)</f>
        <v>327336</v>
      </c>
      <c r="D65" s="1670">
        <f t="shared" ref="D65:L65" si="8">SUM(D59:D64)</f>
        <v>60183</v>
      </c>
      <c r="E65" s="1670">
        <f t="shared" si="8"/>
        <v>469970</v>
      </c>
      <c r="F65" s="1670">
        <f t="shared" si="8"/>
        <v>3662</v>
      </c>
      <c r="G65" s="1670">
        <f t="shared" si="8"/>
        <v>11987</v>
      </c>
      <c r="H65" s="1670">
        <f t="shared" si="8"/>
        <v>1060</v>
      </c>
      <c r="I65" s="1670">
        <f t="shared" si="8"/>
        <v>0</v>
      </c>
      <c r="J65" s="1670">
        <f t="shared" si="8"/>
        <v>0</v>
      </c>
      <c r="K65" s="1670">
        <f t="shared" si="8"/>
        <v>874198</v>
      </c>
      <c r="L65" s="1670">
        <f t="shared" si="8"/>
        <v>878124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v>25000</v>
      </c>
      <c r="F68" s="466"/>
      <c r="G68" s="466"/>
      <c r="H68" s="466"/>
      <c r="I68" s="467"/>
      <c r="J68" s="467"/>
      <c r="K68" s="1672">
        <f>SUM(C68:J68)</f>
        <v>25000</v>
      </c>
      <c r="L68" s="466">
        <v>25000</v>
      </c>
      <c r="M68" s="609"/>
      <c r="N68" s="609"/>
    </row>
    <row r="69" spans="1:14" s="343" customFormat="1" x14ac:dyDescent="0.2">
      <c r="A69" s="1504" t="s">
        <v>1061</v>
      </c>
      <c r="B69" s="614">
        <v>2630</v>
      </c>
      <c r="C69" s="466"/>
      <c r="D69" s="466"/>
      <c r="E69" s="466">
        <v>123711</v>
      </c>
      <c r="F69" s="466">
        <v>1217</v>
      </c>
      <c r="G69" s="466"/>
      <c r="H69" s="466"/>
      <c r="I69" s="467"/>
      <c r="J69" s="467"/>
      <c r="K69" s="1672">
        <f>SUM(C69:J69)</f>
        <v>124928</v>
      </c>
      <c r="L69" s="466">
        <v>111950</v>
      </c>
      <c r="M69" s="609"/>
      <c r="N69" s="609"/>
    </row>
    <row r="70" spans="1:14" s="343" customFormat="1" x14ac:dyDescent="0.2">
      <c r="A70" s="1504" t="s">
        <v>403</v>
      </c>
      <c r="B70" s="614">
        <v>2640</v>
      </c>
      <c r="C70" s="466">
        <v>81786</v>
      </c>
      <c r="D70" s="466">
        <v>26341</v>
      </c>
      <c r="E70" s="466">
        <v>16220</v>
      </c>
      <c r="F70" s="466">
        <v>13232</v>
      </c>
      <c r="G70" s="466"/>
      <c r="H70" s="466"/>
      <c r="I70" s="467"/>
      <c r="J70" s="467"/>
      <c r="K70" s="1672">
        <f>SUM(C70:J70)</f>
        <v>137579</v>
      </c>
      <c r="L70" s="466">
        <v>153332</v>
      </c>
      <c r="M70" s="609"/>
      <c r="N70" s="609"/>
    </row>
    <row r="71" spans="1:14" s="343" customFormat="1" x14ac:dyDescent="0.2">
      <c r="A71" s="1504" t="s">
        <v>404</v>
      </c>
      <c r="B71" s="614">
        <v>2660</v>
      </c>
      <c r="C71" s="466"/>
      <c r="D71" s="466"/>
      <c r="E71" s="466">
        <v>25479</v>
      </c>
      <c r="F71" s="466">
        <v>299</v>
      </c>
      <c r="G71" s="466"/>
      <c r="H71" s="466"/>
      <c r="I71" s="467"/>
      <c r="J71" s="467"/>
      <c r="K71" s="1672">
        <f>SUM(C71:J71)</f>
        <v>25778</v>
      </c>
      <c r="L71" s="466">
        <v>31536</v>
      </c>
      <c r="M71" s="609"/>
      <c r="N71" s="609"/>
    </row>
    <row r="72" spans="1:14" s="343" customFormat="1" ht="12.75" customHeight="1" thickBot="1" x14ac:dyDescent="0.25">
      <c r="A72" s="1668" t="s">
        <v>37</v>
      </c>
      <c r="B72" s="1675" t="s">
        <v>36</v>
      </c>
      <c r="C72" s="1670">
        <f>SUM(C67:C71)</f>
        <v>81786</v>
      </c>
      <c r="D72" s="1670">
        <f t="shared" ref="D72:K72" si="9">SUM(D67:D71)</f>
        <v>26341</v>
      </c>
      <c r="E72" s="1670">
        <f t="shared" si="9"/>
        <v>190410</v>
      </c>
      <c r="F72" s="1670">
        <f t="shared" si="9"/>
        <v>14748</v>
      </c>
      <c r="G72" s="1670">
        <f t="shared" si="9"/>
        <v>0</v>
      </c>
      <c r="H72" s="1670">
        <f t="shared" si="9"/>
        <v>0</v>
      </c>
      <c r="I72" s="1670">
        <f t="shared" si="9"/>
        <v>0</v>
      </c>
      <c r="J72" s="1670">
        <f t="shared" si="9"/>
        <v>0</v>
      </c>
      <c r="K72" s="1670">
        <f t="shared" si="9"/>
        <v>313285</v>
      </c>
      <c r="L72" s="1670">
        <f>SUM(L67:L71)</f>
        <v>321818</v>
      </c>
      <c r="M72" s="609"/>
      <c r="N72" s="609"/>
    </row>
    <row r="73" spans="1:14" s="343" customFormat="1" ht="14.25" thickTop="1" thickBot="1" x14ac:dyDescent="0.25">
      <c r="A73" s="1510" t="s">
        <v>980</v>
      </c>
      <c r="B73" s="632" t="s">
        <v>574</v>
      </c>
      <c r="C73" s="573">
        <v>763</v>
      </c>
      <c r="D73" s="573"/>
      <c r="E73" s="573">
        <v>8797</v>
      </c>
      <c r="F73" s="573"/>
      <c r="G73" s="573"/>
      <c r="H73" s="573"/>
      <c r="I73" s="531"/>
      <c r="J73" s="531"/>
      <c r="K73" s="1670">
        <f>SUM(C73:J73)</f>
        <v>9560</v>
      </c>
      <c r="L73" s="576">
        <v>4100</v>
      </c>
      <c r="M73" s="609"/>
      <c r="N73" s="609"/>
    </row>
    <row r="74" spans="1:14" ht="12.75" customHeight="1" thickTop="1" thickBot="1" x14ac:dyDescent="0.25">
      <c r="A74" s="1668" t="s">
        <v>811</v>
      </c>
      <c r="B74" s="1676">
        <v>2000</v>
      </c>
      <c r="C74" s="1677">
        <f>SUM(C42,C47,C53,C57,C65,C72,C73)</f>
        <v>4241239</v>
      </c>
      <c r="D74" s="1677">
        <f t="shared" ref="D74:K74" si="10">SUM(D42,D47,D53,D57,D65,D72,D73)</f>
        <v>903611</v>
      </c>
      <c r="E74" s="1677">
        <f t="shared" si="10"/>
        <v>1010510</v>
      </c>
      <c r="F74" s="1677">
        <f t="shared" si="10"/>
        <v>290073</v>
      </c>
      <c r="G74" s="1677">
        <f t="shared" si="10"/>
        <v>157021</v>
      </c>
      <c r="H74" s="1677">
        <f t="shared" si="10"/>
        <v>12792</v>
      </c>
      <c r="I74" s="1677">
        <f t="shared" si="10"/>
        <v>0</v>
      </c>
      <c r="J74" s="1677">
        <f t="shared" si="10"/>
        <v>0</v>
      </c>
      <c r="K74" s="1677">
        <f t="shared" si="10"/>
        <v>6615246</v>
      </c>
      <c r="L74" s="1677">
        <f>SUM(L42,L47,L53,L57,L65,L72,L73)</f>
        <v>6770507</v>
      </c>
    </row>
    <row r="75" spans="1:14" s="259" customFormat="1" ht="15.75" customHeight="1" thickTop="1" thickBot="1" x14ac:dyDescent="0.25">
      <c r="A75" s="1610" t="s">
        <v>47</v>
      </c>
      <c r="B75" s="1611" t="s">
        <v>575</v>
      </c>
      <c r="C75" s="573">
        <v>151418</v>
      </c>
      <c r="D75" s="573">
        <v>9142</v>
      </c>
      <c r="E75" s="573">
        <v>40518</v>
      </c>
      <c r="F75" s="573">
        <v>3932</v>
      </c>
      <c r="G75" s="573"/>
      <c r="H75" s="573"/>
      <c r="I75" s="531"/>
      <c r="J75" s="531"/>
      <c r="K75" s="1670">
        <f>SUM(C75:J75)</f>
        <v>205010</v>
      </c>
      <c r="L75" s="576">
        <v>235395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136832</v>
      </c>
      <c r="F79" s="616"/>
      <c r="G79" s="616"/>
      <c r="H79" s="466">
        <v>261479</v>
      </c>
      <c r="I79" s="477"/>
      <c r="J79" s="477"/>
      <c r="K79" s="1671">
        <f t="shared" si="11"/>
        <v>398311</v>
      </c>
      <c r="L79" s="466">
        <v>382007</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136832</v>
      </c>
      <c r="F84" s="616"/>
      <c r="G84" s="616"/>
      <c r="H84" s="1670">
        <f>SUM(H78:H83)</f>
        <v>261479</v>
      </c>
      <c r="I84" s="477"/>
      <c r="J84" s="477"/>
      <c r="K84" s="1670">
        <f>SUM(K78:K83)</f>
        <v>398311</v>
      </c>
      <c r="L84" s="1670">
        <f>SUM(L78:L83)</f>
        <v>382007</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136832</v>
      </c>
      <c r="F102" s="616"/>
      <c r="G102" s="616"/>
      <c r="H102" s="1677">
        <f>SUM(H84,H92,H100,H101)</f>
        <v>261479</v>
      </c>
      <c r="I102" s="477"/>
      <c r="J102" s="477"/>
      <c r="K102" s="1677">
        <f>SUM(K84,K92,K100,K101)</f>
        <v>398311</v>
      </c>
      <c r="L102" s="1677">
        <f>SUM(L84,L92,L100,L101)</f>
        <v>382007</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13037617</v>
      </c>
      <c r="D114" s="1670">
        <f t="shared" ref="D114:K114" si="13">SUM(D33,D74,D75,D102,D112,D113)</f>
        <v>2618972</v>
      </c>
      <c r="E114" s="1670">
        <f t="shared" si="13"/>
        <v>1262784</v>
      </c>
      <c r="F114" s="1670">
        <f t="shared" si="13"/>
        <v>578865</v>
      </c>
      <c r="G114" s="1670">
        <f t="shared" si="13"/>
        <v>394134</v>
      </c>
      <c r="H114" s="1670">
        <f>SUM(H33,H74,H75,H102,H112,H113)</f>
        <v>554675</v>
      </c>
      <c r="I114" s="1670">
        <f t="shared" si="13"/>
        <v>0</v>
      </c>
      <c r="J114" s="1670">
        <f t="shared" si="13"/>
        <v>0</v>
      </c>
      <c r="K114" s="1670">
        <f t="shared" si="13"/>
        <v>18447047</v>
      </c>
      <c r="L114" s="1670">
        <f>SUM(L33,L74,L75,L102,L112,L113)</f>
        <v>18474528</v>
      </c>
    </row>
    <row r="115" spans="1:14" ht="13.5" thickTop="1" x14ac:dyDescent="0.2">
      <c r="A115" s="2184" t="s">
        <v>996</v>
      </c>
      <c r="B115" s="2185"/>
      <c r="C115" s="618"/>
      <c r="D115" s="618"/>
      <c r="E115" s="618"/>
      <c r="F115" s="618"/>
      <c r="G115" s="618"/>
      <c r="H115" s="618"/>
      <c r="I115" s="618"/>
      <c r="J115" s="618"/>
      <c r="K115" s="1684">
        <f>'Revenues 9-14'!C268-'Expenditures 15-22'!K114</f>
        <v>-550404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740232</v>
      </c>
      <c r="D124" s="466">
        <v>142147</v>
      </c>
      <c r="E124" s="466">
        <v>311412</v>
      </c>
      <c r="F124" s="466">
        <v>234267</v>
      </c>
      <c r="G124" s="466">
        <v>143586</v>
      </c>
      <c r="H124" s="466">
        <v>519</v>
      </c>
      <c r="I124" s="467">
        <v>4224</v>
      </c>
      <c r="J124" s="467"/>
      <c r="K124" s="1670">
        <f>SUM(C124:J124)</f>
        <v>1576387</v>
      </c>
      <c r="L124" s="466">
        <v>1667251</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740232</v>
      </c>
      <c r="D127" s="1670">
        <f t="shared" ref="D127:L127" si="14">SUM(D122:D126)</f>
        <v>142147</v>
      </c>
      <c r="E127" s="1670">
        <f t="shared" si="14"/>
        <v>311412</v>
      </c>
      <c r="F127" s="1670">
        <f t="shared" si="14"/>
        <v>234267</v>
      </c>
      <c r="G127" s="1670">
        <f t="shared" si="14"/>
        <v>143586</v>
      </c>
      <c r="H127" s="1670">
        <f t="shared" si="14"/>
        <v>519</v>
      </c>
      <c r="I127" s="1670">
        <f t="shared" si="14"/>
        <v>4224</v>
      </c>
      <c r="J127" s="1670">
        <f t="shared" si="14"/>
        <v>0</v>
      </c>
      <c r="K127" s="1670">
        <f t="shared" si="14"/>
        <v>1576387</v>
      </c>
      <c r="L127" s="1670">
        <f t="shared" si="14"/>
        <v>1667251</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740232</v>
      </c>
      <c r="D129" s="1677">
        <f t="shared" ref="D129:L129" si="15">SUM(D120,D127,D128)</f>
        <v>142147</v>
      </c>
      <c r="E129" s="1677">
        <f t="shared" si="15"/>
        <v>311412</v>
      </c>
      <c r="F129" s="1677">
        <f t="shared" si="15"/>
        <v>234267</v>
      </c>
      <c r="G129" s="1677">
        <f t="shared" si="15"/>
        <v>143586</v>
      </c>
      <c r="H129" s="1677">
        <f t="shared" si="15"/>
        <v>519</v>
      </c>
      <c r="I129" s="1677">
        <f t="shared" si="15"/>
        <v>4224</v>
      </c>
      <c r="J129" s="1677">
        <f t="shared" si="15"/>
        <v>0</v>
      </c>
      <c r="K129" s="1677">
        <f t="shared" si="15"/>
        <v>1576387</v>
      </c>
      <c r="L129" s="1677">
        <f t="shared" si="15"/>
        <v>1667251</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740232</v>
      </c>
      <c r="D151" s="1670">
        <f t="shared" ref="D151:K151" si="16">SUM(D129,D130,D139,D149,D150)</f>
        <v>142147</v>
      </c>
      <c r="E151" s="1670">
        <f t="shared" si="16"/>
        <v>311412</v>
      </c>
      <c r="F151" s="1670">
        <f t="shared" si="16"/>
        <v>234267</v>
      </c>
      <c r="G151" s="1670">
        <f t="shared" si="16"/>
        <v>143586</v>
      </c>
      <c r="H151" s="1670">
        <f t="shared" si="16"/>
        <v>519</v>
      </c>
      <c r="I151" s="1670">
        <f t="shared" si="16"/>
        <v>4224</v>
      </c>
      <c r="J151" s="1670">
        <f t="shared" si="16"/>
        <v>0</v>
      </c>
      <c r="K151" s="1670">
        <f t="shared" si="16"/>
        <v>1576387</v>
      </c>
      <c r="L151" s="1670">
        <f>SUM(L129,L130,L139,L149,L150)</f>
        <v>1667251</v>
      </c>
    </row>
    <row r="152" spans="1:14" ht="12.75" customHeight="1" thickTop="1" x14ac:dyDescent="0.2">
      <c r="A152" s="2177" t="s">
        <v>1178</v>
      </c>
      <c r="B152" s="2178"/>
      <c r="C152" s="618"/>
      <c r="D152" s="618"/>
      <c r="E152" s="618"/>
      <c r="F152" s="618"/>
      <c r="G152" s="618"/>
      <c r="H152" s="618"/>
      <c r="I152" s="618"/>
      <c r="J152" s="616"/>
      <c r="K152" s="1684">
        <f>'Revenues 9-14'!D268-'Expenditures 15-22'!K151</f>
        <v>150187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320329</v>
      </c>
      <c r="I169" s="616"/>
      <c r="J169" s="616"/>
      <c r="K169" s="1671">
        <f>SUM(C169:H169)</f>
        <v>320329</v>
      </c>
      <c r="L169" s="656">
        <v>269413</v>
      </c>
    </row>
    <row r="170" spans="1:14" ht="33.75" customHeight="1" x14ac:dyDescent="0.2">
      <c r="A170" s="669" t="s">
        <v>1670</v>
      </c>
      <c r="B170" s="671" t="s">
        <v>31</v>
      </c>
      <c r="C170" s="616"/>
      <c r="D170" s="616"/>
      <c r="E170" s="616"/>
      <c r="F170" s="616"/>
      <c r="G170" s="616"/>
      <c r="H170" s="569">
        <v>1013717</v>
      </c>
      <c r="I170" s="616"/>
      <c r="J170" s="616"/>
      <c r="K170" s="1671">
        <f>SUM(C170:J170)</f>
        <v>1013717</v>
      </c>
      <c r="L170" s="569">
        <v>1046111</v>
      </c>
    </row>
    <row r="171" spans="1:14" ht="15.75" customHeight="1" x14ac:dyDescent="0.2">
      <c r="A171" s="621" t="s">
        <v>766</v>
      </c>
      <c r="B171" s="672" t="s">
        <v>84</v>
      </c>
      <c r="C171" s="616"/>
      <c r="D171" s="616"/>
      <c r="E171" s="466"/>
      <c r="F171" s="616"/>
      <c r="G171" s="616"/>
      <c r="H171" s="569">
        <v>79724</v>
      </c>
      <c r="I171" s="477"/>
      <c r="J171" s="616"/>
      <c r="K171" s="1671">
        <f>SUM(C171:J171)</f>
        <v>79724</v>
      </c>
      <c r="L171" s="569"/>
    </row>
    <row r="172" spans="1:14" ht="12.75" customHeight="1" thickBot="1" x14ac:dyDescent="0.25">
      <c r="A172" s="1668" t="s">
        <v>638</v>
      </c>
      <c r="B172" s="1669" t="s">
        <v>492</v>
      </c>
      <c r="C172" s="616"/>
      <c r="D172" s="616"/>
      <c r="E172" s="1677">
        <f>SUM(E168,E169,E170,E171)</f>
        <v>0</v>
      </c>
      <c r="F172" s="616"/>
      <c r="G172" s="616"/>
      <c r="H172" s="1677">
        <f>SUM(H168,H169,H170,H171)</f>
        <v>1413770</v>
      </c>
      <c r="I172" s="638"/>
      <c r="J172" s="616"/>
      <c r="K172" s="1677">
        <f>SUM(K168,K169,K170,K171)</f>
        <v>1413770</v>
      </c>
      <c r="L172" s="1677">
        <f>SUM(L168,L169,L170,L171)</f>
        <v>1315524</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1413770</v>
      </c>
      <c r="I174" s="638"/>
      <c r="J174" s="616"/>
      <c r="K174" s="1677">
        <f>SUM(K160,K172,K173)</f>
        <v>1413770</v>
      </c>
      <c r="L174" s="1677">
        <f>SUM(L160,L172,L173)</f>
        <v>1315524</v>
      </c>
    </row>
    <row r="175" spans="1:14" ht="13.5" thickTop="1" x14ac:dyDescent="0.2">
      <c r="A175" s="2184" t="s">
        <v>996</v>
      </c>
      <c r="B175" s="2185"/>
      <c r="C175" s="616"/>
      <c r="D175" s="616"/>
      <c r="E175" s="616"/>
      <c r="F175" s="616"/>
      <c r="G175" s="616"/>
      <c r="H175" s="618"/>
      <c r="I175" s="616"/>
      <c r="J175" s="616"/>
      <c r="K175" s="1684">
        <f>'Revenues 9-14'!E268-'Expenditures 15-22'!K174</f>
        <v>-199286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25011</v>
      </c>
      <c r="D182" s="466"/>
      <c r="E182" s="466">
        <f>1350227-4063</f>
        <v>1346164</v>
      </c>
      <c r="F182" s="466">
        <v>76475</v>
      </c>
      <c r="G182" s="466"/>
      <c r="H182" s="466"/>
      <c r="I182" s="467"/>
      <c r="J182" s="467"/>
      <c r="K182" s="1671">
        <f>SUM(C182:J182)</f>
        <v>1447650</v>
      </c>
      <c r="L182" s="466">
        <v>1451222</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25011</v>
      </c>
      <c r="D184" s="1677">
        <f t="shared" ref="D184:J184" si="17">SUM(D180,D182,D183)</f>
        <v>0</v>
      </c>
      <c r="E184" s="1677">
        <f t="shared" si="17"/>
        <v>1346164</v>
      </c>
      <c r="F184" s="1677">
        <f t="shared" si="17"/>
        <v>76475</v>
      </c>
      <c r="G184" s="1677">
        <f t="shared" si="17"/>
        <v>0</v>
      </c>
      <c r="H184" s="1677">
        <f t="shared" si="17"/>
        <v>0</v>
      </c>
      <c r="I184" s="1677">
        <f t="shared" si="17"/>
        <v>0</v>
      </c>
      <c r="J184" s="1677">
        <f t="shared" si="17"/>
        <v>0</v>
      </c>
      <c r="K184" s="1677">
        <f>SUM(K180,K182,K183)</f>
        <v>1447650</v>
      </c>
      <c r="L184" s="1677">
        <f>SUM(L180, L182:L183)</f>
        <v>1451222</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130002</v>
      </c>
      <c r="F189" s="616"/>
      <c r="G189" s="616"/>
      <c r="H189" s="466"/>
      <c r="I189" s="477"/>
      <c r="J189" s="616"/>
      <c r="K189" s="1671">
        <f t="shared" si="18"/>
        <v>130002</v>
      </c>
      <c r="L189" s="466">
        <v>145000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130002</v>
      </c>
      <c r="F194" s="616"/>
      <c r="G194" s="616"/>
      <c r="H194" s="1670">
        <f>SUM(H188:H193)</f>
        <v>0</v>
      </c>
      <c r="I194" s="477"/>
      <c r="J194" s="616"/>
      <c r="K194" s="1670">
        <f>SUM(K188:K193)</f>
        <v>130002</v>
      </c>
      <c r="L194" s="1670">
        <f>SUM(L188:L193)</f>
        <v>145000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130002</v>
      </c>
      <c r="F196" s="616"/>
      <c r="G196" s="616"/>
      <c r="H196" s="1677">
        <f>SUM(H194,H195)</f>
        <v>0</v>
      </c>
      <c r="I196" s="477"/>
      <c r="J196" s="616"/>
      <c r="K196" s="1677">
        <f>SUM(K194,K195)</f>
        <v>130002</v>
      </c>
      <c r="L196" s="1677">
        <f>SUM(L194,L195)</f>
        <v>145000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25011</v>
      </c>
      <c r="D210" s="1670">
        <f>SUM(D184,D185)</f>
        <v>0</v>
      </c>
      <c r="E210" s="1670">
        <f>SUM(E184,E185,E196)</f>
        <v>1476166</v>
      </c>
      <c r="F210" s="1670">
        <f>SUM(F184,F185)</f>
        <v>76475</v>
      </c>
      <c r="G210" s="1670">
        <f>SUM(G184,G185)</f>
        <v>0</v>
      </c>
      <c r="H210" s="1670">
        <f>SUM(H184,H185,H196,H208,H209)</f>
        <v>0</v>
      </c>
      <c r="I210" s="1670">
        <f>SUM(I184,I185)</f>
        <v>0</v>
      </c>
      <c r="J210" s="1670">
        <f>SUM(J184,J185)</f>
        <v>0</v>
      </c>
      <c r="K210" s="1671">
        <f>SUM(K184,K185,K196,K208,K209)</f>
        <v>1577652</v>
      </c>
      <c r="L210" s="1670">
        <f>SUM(L184,L185,L196,L208,L209)</f>
        <v>1596222</v>
      </c>
    </row>
    <row r="211" spans="1:14" ht="13.5" thickTop="1" x14ac:dyDescent="0.2">
      <c r="A211" s="2184" t="s">
        <v>996</v>
      </c>
      <c r="B211" s="2185"/>
      <c r="C211" s="618"/>
      <c r="D211" s="618"/>
      <c r="E211" s="618"/>
      <c r="F211" s="618"/>
      <c r="G211" s="618"/>
      <c r="H211" s="618"/>
      <c r="I211" s="616"/>
      <c r="J211" s="616"/>
      <c r="K211" s="1684">
        <f>'Revenues 9-14'!F268-'Expenditures 15-22'!K210</f>
        <v>221551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77574</v>
      </c>
      <c r="E215" s="616"/>
      <c r="F215" s="616"/>
      <c r="G215" s="616"/>
      <c r="H215" s="616"/>
      <c r="I215" s="616"/>
      <c r="J215" s="616"/>
      <c r="K215" s="1671">
        <f>D215</f>
        <v>77574</v>
      </c>
      <c r="L215" s="466">
        <v>77274</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153216</v>
      </c>
      <c r="E217" s="616"/>
      <c r="F217" s="616"/>
      <c r="G217" s="616"/>
      <c r="H217" s="616"/>
      <c r="I217" s="616"/>
      <c r="J217" s="616"/>
      <c r="K217" s="1671">
        <f t="shared" si="19"/>
        <v>153216</v>
      </c>
      <c r="L217" s="466">
        <v>125893</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6043</v>
      </c>
      <c r="E219" s="616"/>
      <c r="F219" s="616"/>
      <c r="G219" s="616"/>
      <c r="H219" s="616"/>
      <c r="I219" s="616"/>
      <c r="J219" s="616"/>
      <c r="K219" s="1671">
        <f t="shared" si="19"/>
        <v>6043</v>
      </c>
      <c r="L219" s="466">
        <v>5796</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1386</v>
      </c>
      <c r="E222" s="616"/>
      <c r="F222" s="616"/>
      <c r="G222" s="616"/>
      <c r="H222" s="616"/>
      <c r="I222" s="616"/>
      <c r="J222" s="616"/>
      <c r="K222" s="1671">
        <f t="shared" si="19"/>
        <v>1386</v>
      </c>
      <c r="L222" s="466">
        <v>1386</v>
      </c>
    </row>
    <row r="223" spans="1:14" x14ac:dyDescent="0.2">
      <c r="A223" s="1504" t="s">
        <v>963</v>
      </c>
      <c r="B223" s="614">
        <v>1500</v>
      </c>
      <c r="C223" s="616"/>
      <c r="D223" s="466">
        <v>2571</v>
      </c>
      <c r="E223" s="616"/>
      <c r="F223" s="616"/>
      <c r="G223" s="616"/>
      <c r="H223" s="616"/>
      <c r="I223" s="616"/>
      <c r="J223" s="616"/>
      <c r="K223" s="1671">
        <f t="shared" si="19"/>
        <v>2571</v>
      </c>
      <c r="L223" s="466">
        <v>2234</v>
      </c>
    </row>
    <row r="224" spans="1:14" x14ac:dyDescent="0.2">
      <c r="A224" s="1504" t="s">
        <v>964</v>
      </c>
      <c r="B224" s="614">
        <v>1600</v>
      </c>
      <c r="C224" s="616"/>
      <c r="D224" s="466">
        <v>6202</v>
      </c>
      <c r="E224" s="616"/>
      <c r="F224" s="616"/>
      <c r="G224" s="616"/>
      <c r="H224" s="616"/>
      <c r="I224" s="616"/>
      <c r="J224" s="616"/>
      <c r="K224" s="1671">
        <f t="shared" si="19"/>
        <v>6202</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v>17826</v>
      </c>
      <c r="E227" s="616"/>
      <c r="F227" s="616"/>
      <c r="G227" s="616"/>
      <c r="H227" s="616"/>
      <c r="I227" s="616"/>
      <c r="J227" s="616"/>
      <c r="K227" s="1671">
        <f t="shared" si="19"/>
        <v>17826</v>
      </c>
      <c r="L227" s="466">
        <v>12240</v>
      </c>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264818</v>
      </c>
      <c r="E229" s="616"/>
      <c r="F229" s="616"/>
      <c r="G229" s="616"/>
      <c r="H229" s="616"/>
      <c r="I229" s="616"/>
      <c r="J229" s="616"/>
      <c r="K229" s="1670">
        <f>SUM(K215:K228)</f>
        <v>264818</v>
      </c>
      <c r="L229" s="1670">
        <f>SUM(L215:L228)</f>
        <v>224823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4601</v>
      </c>
      <c r="E232" s="616"/>
      <c r="F232" s="616"/>
      <c r="G232" s="616"/>
      <c r="H232" s="616"/>
      <c r="I232" s="616"/>
      <c r="J232" s="616"/>
      <c r="K232" s="1671">
        <f t="shared" ref="K232:K237" si="20">D232</f>
        <v>4601</v>
      </c>
      <c r="L232" s="466">
        <v>4238</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88294</v>
      </c>
      <c r="E234" s="616"/>
      <c r="F234" s="616"/>
      <c r="G234" s="616"/>
      <c r="H234" s="616"/>
      <c r="I234" s="616"/>
      <c r="J234" s="616"/>
      <c r="K234" s="1671">
        <f t="shared" si="20"/>
        <v>88294</v>
      </c>
      <c r="L234" s="466">
        <v>77413</v>
      </c>
    </row>
    <row r="235" spans="1:12" x14ac:dyDescent="0.2">
      <c r="A235" s="1504" t="s">
        <v>199</v>
      </c>
      <c r="B235" s="614">
        <v>2140</v>
      </c>
      <c r="C235" s="616"/>
      <c r="D235" s="466">
        <v>3794</v>
      </c>
      <c r="E235" s="616"/>
      <c r="F235" s="616"/>
      <c r="G235" s="616"/>
      <c r="H235" s="616"/>
      <c r="I235" s="616"/>
      <c r="J235" s="616"/>
      <c r="K235" s="1671">
        <f t="shared" si="20"/>
        <v>3794</v>
      </c>
      <c r="L235" s="466">
        <v>3802</v>
      </c>
    </row>
    <row r="236" spans="1:12" x14ac:dyDescent="0.2">
      <c r="A236" s="1504" t="s">
        <v>200</v>
      </c>
      <c r="B236" s="614">
        <v>2150</v>
      </c>
      <c r="C236" s="616"/>
      <c r="D236" s="466">
        <v>6157</v>
      </c>
      <c r="E236" s="616"/>
      <c r="F236" s="616"/>
      <c r="G236" s="616"/>
      <c r="H236" s="616"/>
      <c r="I236" s="616"/>
      <c r="J236" s="616"/>
      <c r="K236" s="1671">
        <f t="shared" si="20"/>
        <v>6157</v>
      </c>
      <c r="L236" s="466">
        <v>6285</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102846</v>
      </c>
      <c r="E238" s="616"/>
      <c r="F238" s="616"/>
      <c r="G238" s="616"/>
      <c r="H238" s="616"/>
      <c r="I238" s="616"/>
      <c r="J238" s="616"/>
      <c r="K238" s="1670">
        <f>SUM(K232:K237)</f>
        <v>102846</v>
      </c>
      <c r="L238" s="1670">
        <f>SUM(L232:L237)</f>
        <v>91738</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13076</v>
      </c>
      <c r="E240" s="616"/>
      <c r="F240" s="616"/>
      <c r="G240" s="616"/>
      <c r="H240" s="616"/>
      <c r="I240" s="616"/>
      <c r="J240" s="616"/>
      <c r="K240" s="1672">
        <f>D240</f>
        <v>13076</v>
      </c>
      <c r="L240" s="481">
        <v>1816</v>
      </c>
    </row>
    <row r="241" spans="1:12" x14ac:dyDescent="0.2">
      <c r="A241" s="1504" t="s">
        <v>815</v>
      </c>
      <c r="B241" s="614">
        <v>2220</v>
      </c>
      <c r="C241" s="616"/>
      <c r="D241" s="466">
        <v>40055</v>
      </c>
      <c r="E241" s="616"/>
      <c r="F241" s="616"/>
      <c r="G241" s="616"/>
      <c r="H241" s="616"/>
      <c r="I241" s="616"/>
      <c r="J241" s="616"/>
      <c r="K241" s="1672">
        <f>D241</f>
        <v>40055</v>
      </c>
      <c r="L241" s="466">
        <v>39462</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53131</v>
      </c>
      <c r="E243" s="616"/>
      <c r="F243" s="616"/>
      <c r="G243" s="616"/>
      <c r="H243" s="616"/>
      <c r="I243" s="616"/>
      <c r="J243" s="616"/>
      <c r="K243" s="1670">
        <f>SUM(K240:K242)</f>
        <v>53131</v>
      </c>
      <c r="L243" s="1670">
        <f>SUM(L240:L242)</f>
        <v>41278</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12583</v>
      </c>
      <c r="E246" s="616"/>
      <c r="F246" s="616"/>
      <c r="G246" s="616"/>
      <c r="H246" s="616"/>
      <c r="I246" s="616"/>
      <c r="J246" s="616"/>
      <c r="K246" s="1672">
        <f t="shared" ref="K246:K256" si="21">D246</f>
        <v>12583</v>
      </c>
      <c r="L246" s="466">
        <v>19303</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12583</v>
      </c>
      <c r="E257" s="616"/>
      <c r="F257" s="616"/>
      <c r="G257" s="616"/>
      <c r="H257" s="616"/>
      <c r="I257" s="616"/>
      <c r="J257" s="616"/>
      <c r="K257" s="1670">
        <f>SUM(K245:K256)</f>
        <v>12583</v>
      </c>
      <c r="L257" s="1670">
        <f>SUM(L245:L256)</f>
        <v>19303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56496</v>
      </c>
      <c r="E259" s="616"/>
      <c r="F259" s="616"/>
      <c r="G259" s="616"/>
      <c r="H259" s="616"/>
      <c r="I259" s="616"/>
      <c r="J259" s="616"/>
      <c r="K259" s="1672">
        <f>D259</f>
        <v>56496</v>
      </c>
      <c r="L259" s="481">
        <v>49570</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56496</v>
      </c>
      <c r="E261" s="616"/>
      <c r="F261" s="616"/>
      <c r="G261" s="616"/>
      <c r="H261" s="616"/>
      <c r="I261" s="616"/>
      <c r="J261" s="616"/>
      <c r="K261" s="1670">
        <f>SUM(K259:K260)</f>
        <v>56496</v>
      </c>
      <c r="L261" s="1670">
        <f>SUM(L259:L260)</f>
        <v>49570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2039</v>
      </c>
      <c r="E263" s="616"/>
      <c r="F263" s="616"/>
      <c r="G263" s="616"/>
      <c r="H263" s="616"/>
      <c r="I263" s="616"/>
      <c r="J263" s="616"/>
      <c r="K263" s="1672">
        <f>D263</f>
        <v>2039</v>
      </c>
      <c r="L263" s="481">
        <v>2037</v>
      </c>
    </row>
    <row r="264" spans="1:14" x14ac:dyDescent="0.2">
      <c r="A264" s="1504" t="s">
        <v>463</v>
      </c>
      <c r="B264" s="685">
        <v>2520</v>
      </c>
      <c r="C264" s="616"/>
      <c r="D264" s="466">
        <v>19044</v>
      </c>
      <c r="E264" s="616"/>
      <c r="F264" s="616"/>
      <c r="G264" s="616"/>
      <c r="H264" s="616"/>
      <c r="I264" s="616"/>
      <c r="J264" s="616"/>
      <c r="K264" s="1672">
        <f t="shared" ref="K264:K269" si="22">D264</f>
        <v>19044</v>
      </c>
      <c r="L264" s="466">
        <v>19606</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127482</v>
      </c>
      <c r="E266" s="616"/>
      <c r="F266" s="616"/>
      <c r="G266" s="616"/>
      <c r="H266" s="616"/>
      <c r="I266" s="616"/>
      <c r="J266" s="616"/>
      <c r="K266" s="1672">
        <f t="shared" si="22"/>
        <v>127482</v>
      </c>
      <c r="L266" s="466">
        <v>122113</v>
      </c>
    </row>
    <row r="267" spans="1:14" x14ac:dyDescent="0.2">
      <c r="A267" s="1504" t="s">
        <v>953</v>
      </c>
      <c r="B267" s="614">
        <v>2550</v>
      </c>
      <c r="C267" s="616"/>
      <c r="D267" s="466">
        <v>1044</v>
      </c>
      <c r="E267" s="616"/>
      <c r="F267" s="616"/>
      <c r="G267" s="616"/>
      <c r="H267" s="616"/>
      <c r="I267" s="616"/>
      <c r="J267" s="616"/>
      <c r="K267" s="1672">
        <f t="shared" si="22"/>
        <v>1044</v>
      </c>
      <c r="L267" s="466"/>
    </row>
    <row r="268" spans="1:14" x14ac:dyDescent="0.2">
      <c r="A268" s="1504" t="s">
        <v>100</v>
      </c>
      <c r="B268" s="614">
        <v>2560</v>
      </c>
      <c r="C268" s="616"/>
      <c r="D268" s="466">
        <v>5978</v>
      </c>
      <c r="E268" s="616"/>
      <c r="F268" s="616"/>
      <c r="G268" s="616"/>
      <c r="H268" s="616"/>
      <c r="I268" s="616"/>
      <c r="J268" s="616"/>
      <c r="K268" s="1672">
        <f t="shared" si="22"/>
        <v>5978</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155587</v>
      </c>
      <c r="E270" s="616"/>
      <c r="F270" s="616"/>
      <c r="G270" s="616"/>
      <c r="H270" s="616"/>
      <c r="I270" s="616"/>
      <c r="J270" s="616"/>
      <c r="K270" s="1670">
        <f>SUM(K263:K269)</f>
        <v>155587</v>
      </c>
      <c r="L270" s="1670">
        <f>SUM(L263:L269)</f>
        <v>143756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v>13933</v>
      </c>
      <c r="E275" s="616"/>
      <c r="F275" s="616"/>
      <c r="G275" s="616"/>
      <c r="H275" s="616"/>
      <c r="I275" s="616"/>
      <c r="J275" s="616"/>
      <c r="K275" s="1672">
        <f>D275</f>
        <v>13933</v>
      </c>
      <c r="L275" s="466">
        <v>11616</v>
      </c>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13933</v>
      </c>
      <c r="E277" s="616"/>
      <c r="F277" s="616"/>
      <c r="G277" s="616"/>
      <c r="H277" s="616"/>
      <c r="I277" s="616"/>
      <c r="J277" s="616"/>
      <c r="K277" s="1670">
        <f>SUM(K272:K276)</f>
        <v>13933</v>
      </c>
      <c r="L277" s="1670">
        <f>SUM(L272:L276)</f>
        <v>11616</v>
      </c>
    </row>
    <row r="278" spans="1:12" ht="13.5" customHeight="1" thickTop="1" x14ac:dyDescent="0.2">
      <c r="A278" s="1510" t="s">
        <v>980</v>
      </c>
      <c r="B278" s="655" t="s">
        <v>574</v>
      </c>
      <c r="C278" s="616"/>
      <c r="D278" s="656">
        <v>119</v>
      </c>
      <c r="E278" s="616"/>
      <c r="F278" s="616"/>
      <c r="G278" s="616"/>
      <c r="H278" s="616"/>
      <c r="I278" s="616"/>
      <c r="J278" s="616"/>
      <c r="K278" s="1685">
        <f>D278</f>
        <v>119</v>
      </c>
      <c r="L278" s="656"/>
    </row>
    <row r="279" spans="1:12" ht="12.75" customHeight="1" thickBot="1" x14ac:dyDescent="0.25">
      <c r="A279" s="1698" t="s">
        <v>811</v>
      </c>
      <c r="B279" s="1681">
        <v>2000</v>
      </c>
      <c r="C279" s="616"/>
      <c r="D279" s="1677">
        <f>SUM(D238,D243,D257,D261,D270,D277,D278)</f>
        <v>394695</v>
      </c>
      <c r="E279" s="616"/>
      <c r="F279" s="616"/>
      <c r="G279" s="616"/>
      <c r="H279" s="616"/>
      <c r="I279" s="616"/>
      <c r="J279" s="616"/>
      <c r="K279" s="1677">
        <f>SUM(K238,K243,K257,K261,K270,K277,K278)</f>
        <v>394695</v>
      </c>
      <c r="L279" s="1677">
        <f>SUM(L238,L243,L257,L261,L270,L277,L278)</f>
        <v>357261</v>
      </c>
    </row>
    <row r="280" spans="1:12" ht="15.75" customHeight="1" thickTop="1" thickBot="1" x14ac:dyDescent="0.25">
      <c r="A280" s="1624" t="s">
        <v>875</v>
      </c>
      <c r="B280" s="1613">
        <v>3000</v>
      </c>
      <c r="C280" s="616"/>
      <c r="D280" s="576">
        <f>17545+28</f>
        <v>17573</v>
      </c>
      <c r="E280" s="616"/>
      <c r="F280" s="616"/>
      <c r="G280" s="616"/>
      <c r="H280" s="616"/>
      <c r="I280" s="616"/>
      <c r="J280" s="616"/>
      <c r="K280" s="1679">
        <f>D280</f>
        <v>17573</v>
      </c>
      <c r="L280" s="576">
        <v>7626</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677086</v>
      </c>
      <c r="E295" s="616"/>
      <c r="F295" s="616"/>
      <c r="G295" s="616"/>
      <c r="H295" s="1670">
        <f>H293</f>
        <v>0</v>
      </c>
      <c r="I295" s="616"/>
      <c r="J295" s="616"/>
      <c r="K295" s="1670">
        <f>SUM(K229,K279,K280,K285,K293,K294)</f>
        <v>677086</v>
      </c>
      <c r="L295" s="1670">
        <f>SUM(L229,L279,L280,L285,L293,L294)</f>
        <v>589710</v>
      </c>
    </row>
    <row r="296" spans="1:14" ht="13.5" thickTop="1" x14ac:dyDescent="0.2">
      <c r="A296" s="2184" t="s">
        <v>996</v>
      </c>
      <c r="B296" s="2185"/>
      <c r="C296" s="616"/>
      <c r="D296" s="618"/>
      <c r="E296" s="616"/>
      <c r="F296" s="616"/>
      <c r="G296" s="616"/>
      <c r="H296" s="687"/>
      <c r="I296" s="616"/>
      <c r="J296" s="616"/>
      <c r="K296" s="1684">
        <f>'Revenues 9-14'!G268-'Expenditures 15-22'!K295</f>
        <v>56500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6100</v>
      </c>
      <c r="F301" s="466"/>
      <c r="G301" s="466">
        <v>125464</v>
      </c>
      <c r="H301" s="466"/>
      <c r="I301" s="467"/>
      <c r="J301" s="467"/>
      <c r="K301" s="1671">
        <f>SUM(C301:J301)</f>
        <v>131564</v>
      </c>
      <c r="L301" s="467">
        <v>156128</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6100</v>
      </c>
      <c r="F303" s="1677">
        <f t="shared" si="23"/>
        <v>0</v>
      </c>
      <c r="G303" s="1677">
        <f t="shared" si="23"/>
        <v>125464</v>
      </c>
      <c r="H303" s="1677">
        <f t="shared" si="23"/>
        <v>0</v>
      </c>
      <c r="I303" s="1677">
        <f t="shared" si="23"/>
        <v>0</v>
      </c>
      <c r="J303" s="1677">
        <f t="shared" si="23"/>
        <v>0</v>
      </c>
      <c r="K303" s="1677">
        <f t="shared" si="23"/>
        <v>131564</v>
      </c>
      <c r="L303" s="1677">
        <f t="shared" si="23"/>
        <v>156128</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6100</v>
      </c>
      <c r="F312" s="1670">
        <f>SUM(F303)</f>
        <v>0</v>
      </c>
      <c r="G312" s="1670">
        <f>SUM(G303)</f>
        <v>125464</v>
      </c>
      <c r="H312" s="1670">
        <f>SUM(H303,H310)</f>
        <v>0</v>
      </c>
      <c r="I312" s="1670">
        <f>SUM(I303)</f>
        <v>0</v>
      </c>
      <c r="J312" s="1670">
        <f>SUM(J303)</f>
        <v>0</v>
      </c>
      <c r="K312" s="1670">
        <f>SUM(K303,K310,K311)</f>
        <v>131564</v>
      </c>
      <c r="L312" s="1670">
        <f>SUM(L303,L310,L311)</f>
        <v>156128</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-112431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v>99018</v>
      </c>
      <c r="F320" s="467"/>
      <c r="G320" s="467"/>
      <c r="H320" s="467"/>
      <c r="I320" s="467"/>
      <c r="J320" s="467"/>
      <c r="K320" s="1671">
        <f t="shared" ref="K320:K327" si="24">SUM(C320:J320)</f>
        <v>99018</v>
      </c>
      <c r="L320" s="467">
        <v>99018</v>
      </c>
      <c r="M320" s="665"/>
      <c r="N320" s="665"/>
    </row>
    <row r="321" spans="1:14" s="674" customFormat="1" x14ac:dyDescent="0.2">
      <c r="A321" s="1519" t="s">
        <v>300</v>
      </c>
      <c r="B321" s="697" t="s">
        <v>283</v>
      </c>
      <c r="C321" s="467"/>
      <c r="D321" s="467"/>
      <c r="E321" s="467">
        <v>340</v>
      </c>
      <c r="F321" s="467"/>
      <c r="G321" s="467"/>
      <c r="H321" s="467"/>
      <c r="I321" s="467"/>
      <c r="J321" s="467"/>
      <c r="K321" s="1671">
        <f t="shared" si="24"/>
        <v>340</v>
      </c>
      <c r="L321" s="467">
        <v>3500</v>
      </c>
      <c r="M321" s="665"/>
      <c r="N321" s="665"/>
    </row>
    <row r="322" spans="1:14" s="674" customFormat="1" x14ac:dyDescent="0.2">
      <c r="A322" s="1519" t="s">
        <v>238</v>
      </c>
      <c r="B322" s="697" t="s">
        <v>284</v>
      </c>
      <c r="C322" s="467"/>
      <c r="D322" s="467"/>
      <c r="E322" s="467">
        <v>58288</v>
      </c>
      <c r="F322" s="467"/>
      <c r="G322" s="467"/>
      <c r="H322" s="467"/>
      <c r="I322" s="467"/>
      <c r="J322" s="467"/>
      <c r="K322" s="1671">
        <f t="shared" si="24"/>
        <v>58288</v>
      </c>
      <c r="L322" s="467">
        <v>61425</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157646</v>
      </c>
      <c r="F330" s="1670">
        <f t="shared" si="25"/>
        <v>0</v>
      </c>
      <c r="G330" s="1670">
        <f t="shared" si="25"/>
        <v>0</v>
      </c>
      <c r="H330" s="1670">
        <f t="shared" si="25"/>
        <v>0</v>
      </c>
      <c r="I330" s="1670">
        <f t="shared" si="25"/>
        <v>0</v>
      </c>
      <c r="J330" s="1670">
        <f t="shared" si="25"/>
        <v>0</v>
      </c>
      <c r="K330" s="1670">
        <f>SUM(K319:K329)</f>
        <v>157646</v>
      </c>
      <c r="L330" s="1670">
        <f>SUM(L319:L329)</f>
        <v>163943</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157646</v>
      </c>
      <c r="F342" s="1670">
        <f>SUM(F330)</f>
        <v>0</v>
      </c>
      <c r="G342" s="1670">
        <f>SUM(G330)</f>
        <v>0</v>
      </c>
      <c r="H342" s="1670">
        <f>SUM(H330,H334,H340)</f>
        <v>0</v>
      </c>
      <c r="I342" s="1670">
        <f>SUM(I330)</f>
        <v>0</v>
      </c>
      <c r="J342" s="1670">
        <f>SUM(J330)</f>
        <v>0</v>
      </c>
      <c r="K342" s="1670">
        <f>SUM(K330,K334,K340)</f>
        <v>157646</v>
      </c>
      <c r="L342" s="1677">
        <f>SUM(L330,L340,L341)</f>
        <v>163943</v>
      </c>
    </row>
    <row r="343" spans="1:14" ht="12.75" customHeight="1" thickTop="1" x14ac:dyDescent="0.2">
      <c r="A343" s="2170" t="s">
        <v>996</v>
      </c>
      <c r="B343" s="2171"/>
      <c r="C343" s="616"/>
      <c r="D343" s="616"/>
      <c r="E343" s="616"/>
      <c r="F343" s="616"/>
      <c r="G343" s="616"/>
      <c r="H343" s="616"/>
      <c r="I343" s="616"/>
      <c r="J343" s="616"/>
      <c r="K343" s="1684">
        <f>'Revenues 9-14'!J268-'Expenditures 15-22'!K342</f>
        <v>56068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4" t="s">
        <v>996</v>
      </c>
      <c r="B368" s="2185"/>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4"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1799</v>
      </c>
      <c r="B2" s="1528" t="s">
        <v>1948</v>
      </c>
      <c r="C2" s="714" t="s">
        <v>1949</v>
      </c>
      <c r="D2" s="714" t="s">
        <v>1950</v>
      </c>
      <c r="E2" s="714" t="s">
        <v>1951</v>
      </c>
      <c r="F2" s="714" t="s">
        <v>1952</v>
      </c>
    </row>
    <row r="3" spans="1:6" ht="12" customHeight="1" x14ac:dyDescent="0.2">
      <c r="A3" s="2187"/>
      <c r="B3" s="1525"/>
      <c r="C3" s="1526"/>
      <c r="D3" s="1527" t="s">
        <v>256</v>
      </c>
      <c r="E3" s="1526"/>
      <c r="F3" s="1527" t="s">
        <v>257</v>
      </c>
    </row>
    <row r="4" spans="1:6" ht="13.7" customHeight="1" x14ac:dyDescent="0.2">
      <c r="A4" s="715" t="s">
        <v>1155</v>
      </c>
      <c r="B4" s="1749">
        <f>'Revenues 9-14'!C5</f>
        <v>13910999</v>
      </c>
      <c r="C4" s="1524">
        <v>7445428</v>
      </c>
      <c r="D4" s="1752">
        <f>B4-C4</f>
        <v>6465571</v>
      </c>
      <c r="E4" s="1524">
        <v>14329704</v>
      </c>
      <c r="F4" s="1752">
        <f>E4-C4</f>
        <v>6884276</v>
      </c>
    </row>
    <row r="5" spans="1:6" ht="13.7" customHeight="1" x14ac:dyDescent="0.2">
      <c r="A5" s="715" t="s">
        <v>870</v>
      </c>
      <c r="B5" s="1750">
        <f>'Revenues 9-14'!D5</f>
        <v>1584286</v>
      </c>
      <c r="C5" s="585">
        <v>841583</v>
      </c>
      <c r="D5" s="1753">
        <f t="shared" ref="D5:D18" si="0">B5-C5</f>
        <v>742703</v>
      </c>
      <c r="E5" s="585">
        <v>1619736</v>
      </c>
      <c r="F5" s="1753">
        <f>E5-C5</f>
        <v>778153</v>
      </c>
    </row>
    <row r="6" spans="1:6" ht="13.7" customHeight="1" x14ac:dyDescent="0.2">
      <c r="A6" s="715" t="s">
        <v>411</v>
      </c>
      <c r="B6" s="1750">
        <f>'Revenues 9-14'!E5</f>
        <v>1205687</v>
      </c>
      <c r="C6" s="585">
        <v>646078</v>
      </c>
      <c r="D6" s="1753">
        <f t="shared" si="0"/>
        <v>559609</v>
      </c>
      <c r="E6" s="585">
        <v>1243462</v>
      </c>
      <c r="F6" s="1753">
        <f t="shared" ref="F6:F18" si="1">E6-C6</f>
        <v>597384</v>
      </c>
    </row>
    <row r="7" spans="1:6" ht="13.7" customHeight="1" x14ac:dyDescent="0.2">
      <c r="A7" s="715" t="s">
        <v>155</v>
      </c>
      <c r="B7" s="1750">
        <f>'Revenues 9-14'!F5</f>
        <v>1244360</v>
      </c>
      <c r="C7" s="585">
        <v>655198</v>
      </c>
      <c r="D7" s="1753">
        <f t="shared" si="0"/>
        <v>589162</v>
      </c>
      <c r="E7" s="585">
        <v>1261014</v>
      </c>
      <c r="F7" s="1753">
        <f t="shared" si="1"/>
        <v>605816</v>
      </c>
    </row>
    <row r="8" spans="1:6" ht="13.7" customHeight="1" x14ac:dyDescent="0.2">
      <c r="A8" s="715" t="s">
        <v>1179</v>
      </c>
      <c r="B8" s="1750">
        <f>'Revenues 9-14'!G5</f>
        <v>364534</v>
      </c>
      <c r="C8" s="585">
        <v>198355</v>
      </c>
      <c r="D8" s="1753">
        <f t="shared" si="0"/>
        <v>166179</v>
      </c>
      <c r="E8" s="585">
        <v>381760</v>
      </c>
      <c r="F8" s="1753">
        <f t="shared" si="1"/>
        <v>183405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142496</v>
      </c>
      <c r="C10" s="585">
        <v>142496</v>
      </c>
      <c r="D10" s="1753">
        <f t="shared" si="0"/>
        <v>0</v>
      </c>
      <c r="E10" s="585">
        <v>274253</v>
      </c>
      <c r="F10" s="1753">
        <f t="shared" si="1"/>
        <v>131757</v>
      </c>
    </row>
    <row r="11" spans="1:6" x14ac:dyDescent="0.2">
      <c r="A11" s="715" t="s">
        <v>409</v>
      </c>
      <c r="B11" s="1750">
        <f>'Revenues 9-14'!J5</f>
        <v>212352</v>
      </c>
      <c r="C11" s="585">
        <v>115706</v>
      </c>
      <c r="D11" s="1753">
        <f t="shared" si="0"/>
        <v>96646</v>
      </c>
      <c r="E11" s="585">
        <v>222693</v>
      </c>
      <c r="F11" s="1753">
        <f t="shared" si="1"/>
        <v>106987</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364535</v>
      </c>
      <c r="C16" s="585">
        <v>198355</v>
      </c>
      <c r="D16" s="1753">
        <f t="shared" si="0"/>
        <v>166180</v>
      </c>
      <c r="E16" s="585">
        <v>381760</v>
      </c>
      <c r="F16" s="1753">
        <f t="shared" si="1"/>
        <v>183405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19029249</v>
      </c>
      <c r="C19" s="1751">
        <f>SUM(C4:C18)</f>
        <v>10243199</v>
      </c>
      <c r="D19" s="1751">
        <f>SUM(D4:D18)</f>
        <v>8786050</v>
      </c>
      <c r="E19" s="1751">
        <f>SUM(E4:E18)</f>
        <v>19714382</v>
      </c>
      <c r="F19" s="1751">
        <f>SUM(F4:F18)</f>
        <v>9471183</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0" colorId="8" zoomScale="110" zoomScaleNormal="110" workbookViewId="0">
      <selection activeCell="G35" sqref="G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1799</v>
      </c>
      <c r="B2" s="2202"/>
      <c r="C2" s="1884" t="s">
        <v>1953</v>
      </c>
      <c r="D2" s="723" t="s">
        <v>1954</v>
      </c>
      <c r="E2" s="723" t="s">
        <v>1955</v>
      </c>
      <c r="F2" s="1884" t="s">
        <v>1956</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1908</v>
      </c>
      <c r="H30" s="1885" t="s">
        <v>1959</v>
      </c>
      <c r="I30" s="1885" t="s">
        <v>1960</v>
      </c>
      <c r="J30" s="1886" t="s">
        <v>2</v>
      </c>
      <c r="K30" s="731"/>
    </row>
    <row r="31" spans="1:11" ht="12" customHeight="1" x14ac:dyDescent="0.2">
      <c r="A31" s="732" t="s">
        <v>2130</v>
      </c>
      <c r="B31" s="733">
        <v>41309</v>
      </c>
      <c r="C31" s="734">
        <v>7950000</v>
      </c>
      <c r="D31" s="735">
        <v>1</v>
      </c>
      <c r="E31" s="734">
        <v>5400000</v>
      </c>
      <c r="F31" s="734"/>
      <c r="G31" s="734">
        <v>-515000</v>
      </c>
      <c r="H31" s="734">
        <v>885000</v>
      </c>
      <c r="I31" s="1756">
        <f>((E31+F31)-H31)+G31</f>
        <v>4000000</v>
      </c>
      <c r="J31" s="734">
        <f>-211855+4000000</f>
        <v>3788145</v>
      </c>
      <c r="K31" s="736"/>
    </row>
    <row r="32" spans="1:11" ht="12" customHeight="1" x14ac:dyDescent="0.2">
      <c r="A32" s="732" t="s">
        <v>2131</v>
      </c>
      <c r="B32" s="733">
        <v>43509</v>
      </c>
      <c r="C32" s="734">
        <v>1315000</v>
      </c>
      <c r="D32" s="735">
        <v>3</v>
      </c>
      <c r="E32" s="734"/>
      <c r="F32" s="734">
        <v>1315000</v>
      </c>
      <c r="G32" s="734"/>
      <c r="H32" s="734"/>
      <c r="I32" s="1756">
        <f>((E32+F32)-H32)+G32</f>
        <v>1315000</v>
      </c>
      <c r="J32" s="734">
        <f>-69647+1315000</f>
        <v>1245353</v>
      </c>
      <c r="K32" s="736"/>
    </row>
    <row r="33" spans="1:11" ht="12" customHeight="1" x14ac:dyDescent="0.2">
      <c r="A33" s="732" t="s">
        <v>2133</v>
      </c>
      <c r="B33" s="733">
        <v>43509</v>
      </c>
      <c r="C33" s="734">
        <v>2775000</v>
      </c>
      <c r="D33" s="735">
        <v>1</v>
      </c>
      <c r="E33" s="734"/>
      <c r="F33" s="734">
        <v>2775000</v>
      </c>
      <c r="G33" s="734"/>
      <c r="H33" s="734"/>
      <c r="I33" s="1756">
        <f t="shared" ref="I33:I48" si="1">((E33+F33)-H33)+G33</f>
        <v>2775000</v>
      </c>
      <c r="J33" s="734">
        <f>-146974+2775000</f>
        <v>2628026</v>
      </c>
      <c r="K33" s="736"/>
    </row>
    <row r="34" spans="1:11" ht="12" customHeight="1" x14ac:dyDescent="0.2">
      <c r="A34" s="732" t="s">
        <v>2132</v>
      </c>
      <c r="B34" s="733">
        <v>41667</v>
      </c>
      <c r="C34" s="734">
        <v>2140000</v>
      </c>
      <c r="D34" s="735">
        <v>1</v>
      </c>
      <c r="E34" s="734">
        <v>2140000</v>
      </c>
      <c r="F34" s="734"/>
      <c r="G34" s="734">
        <v>-690000</v>
      </c>
      <c r="H34" s="734"/>
      <c r="I34" s="1756">
        <f t="shared" si="1"/>
        <v>1450000</v>
      </c>
      <c r="J34" s="734">
        <f>-76797+1450000</f>
        <v>1373203</v>
      </c>
      <c r="K34" s="737"/>
    </row>
    <row r="35" spans="1:11" ht="12" customHeight="1" x14ac:dyDescent="0.2">
      <c r="A35" s="732" t="s">
        <v>2134</v>
      </c>
      <c r="B35" s="733"/>
      <c r="C35" s="738"/>
      <c r="D35" s="735"/>
      <c r="E35" s="738">
        <v>166508</v>
      </c>
      <c r="F35" s="738">
        <v>224360</v>
      </c>
      <c r="G35" s="738">
        <v>-57346</v>
      </c>
      <c r="H35" s="738">
        <v>128717</v>
      </c>
      <c r="I35" s="1756">
        <f t="shared" si="1"/>
        <v>204805</v>
      </c>
      <c r="J35" s="738">
        <v>204805</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14180000</v>
      </c>
      <c r="D49" s="745"/>
      <c r="E49" s="1756">
        <f t="shared" ref="E49:J49" si="2">SUM(E31:E48)</f>
        <v>7706508</v>
      </c>
      <c r="F49" s="1756">
        <f t="shared" si="2"/>
        <v>4314360</v>
      </c>
      <c r="G49" s="1756">
        <f t="shared" si="2"/>
        <v>-1262346</v>
      </c>
      <c r="H49" s="1756">
        <f t="shared" si="2"/>
        <v>1013717</v>
      </c>
      <c r="I49" s="1756">
        <f t="shared" si="2"/>
        <v>9744805</v>
      </c>
      <c r="J49" s="1756">
        <f t="shared" si="2"/>
        <v>9239532</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1809</v>
      </c>
      <c r="K2" s="762" t="s">
        <v>138</v>
      </c>
    </row>
    <row r="3" spans="1:11" x14ac:dyDescent="0.2">
      <c r="A3" s="2223" t="s">
        <v>1961</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4" t="s">
        <v>1810</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0</v>
      </c>
      <c r="I12" s="1758">
        <f>SUM(I5:I11)</f>
        <v>0</v>
      </c>
      <c r="J12" s="1758">
        <f>SUM(J5:J11)</f>
        <v>0</v>
      </c>
      <c r="K12" s="1758">
        <f>SUM(K5:K11)</f>
        <v>0</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c r="I14" s="771"/>
      <c r="J14" s="773"/>
      <c r="K14" s="765"/>
    </row>
    <row r="15" spans="1:11" x14ac:dyDescent="0.2">
      <c r="A15" s="2217" t="s">
        <v>4</v>
      </c>
      <c r="B15" s="2217"/>
      <c r="C15" s="2217"/>
      <c r="D15" s="2217"/>
      <c r="E15" s="2245"/>
      <c r="F15" s="789" t="s">
        <v>855</v>
      </c>
      <c r="G15" s="771"/>
      <c r="H15" s="764"/>
      <c r="I15" s="764"/>
      <c r="J15" s="765"/>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1806</v>
      </c>
      <c r="B19" s="2252"/>
      <c r="C19" s="2252"/>
      <c r="D19" s="2252"/>
      <c r="E19" s="2253"/>
      <c r="F19" s="789" t="s">
        <v>933</v>
      </c>
      <c r="G19" s="782"/>
      <c r="H19" s="782"/>
      <c r="I19" s="782"/>
      <c r="J19" s="765"/>
      <c r="K19" s="795"/>
    </row>
    <row r="20" spans="1:11" x14ac:dyDescent="0.2">
      <c r="A20" s="2231" t="s">
        <v>1811</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1812</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0</v>
      </c>
      <c r="I23" s="1758">
        <f>SUM(I14:I16,I21,I22)</f>
        <v>0</v>
      </c>
      <c r="J23" s="1758">
        <f>SUM(J14:J16,J21,J22)</f>
        <v>0</v>
      </c>
      <c r="K23" s="1758">
        <f>SUM(K14:K16,K21,K22)</f>
        <v>0</v>
      </c>
    </row>
    <row r="24" spans="1:11" ht="14.25" thickTop="1" thickBot="1" x14ac:dyDescent="0.25">
      <c r="A24" s="2238" t="s">
        <v>1962</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O19" sqref="O1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1906</v>
      </c>
      <c r="B1" s="2257"/>
      <c r="C1" s="2258"/>
      <c r="D1" s="826"/>
      <c r="E1" s="827"/>
      <c r="F1" s="827"/>
      <c r="G1" s="828"/>
      <c r="H1" s="829"/>
      <c r="I1" s="830"/>
      <c r="J1" s="2254"/>
      <c r="K1" s="2255"/>
      <c r="L1" s="2255"/>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405938</v>
      </c>
      <c r="D5" s="841"/>
      <c r="E5" s="841"/>
      <c r="F5" s="1760">
        <f>(C5+D5)-E5</f>
        <v>405938</v>
      </c>
      <c r="G5" s="837"/>
      <c r="H5" s="842"/>
      <c r="I5" s="842"/>
      <c r="J5" s="842"/>
      <c r="K5" s="793"/>
      <c r="L5" s="1769">
        <f>F5-K5</f>
        <v>405938</v>
      </c>
    </row>
    <row r="6" spans="1:14" ht="14.25" thickTop="1" thickBot="1" x14ac:dyDescent="0.25">
      <c r="A6" s="778" t="s">
        <v>1117</v>
      </c>
      <c r="B6" s="840">
        <v>222</v>
      </c>
      <c r="C6" s="765"/>
      <c r="D6" s="765">
        <v>125464</v>
      </c>
      <c r="E6" s="765"/>
      <c r="F6" s="1760">
        <f>(C6+D6)-E6</f>
        <v>125464</v>
      </c>
      <c r="G6" s="837">
        <v>50</v>
      </c>
      <c r="H6" s="765"/>
      <c r="I6" s="765"/>
      <c r="J6" s="765"/>
      <c r="K6" s="1769">
        <f>(H6+I6)-J6</f>
        <v>0</v>
      </c>
      <c r="L6" s="1769">
        <f>F6-K6</f>
        <v>125464</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19568680</v>
      </c>
      <c r="D8" s="844">
        <v>132820</v>
      </c>
      <c r="E8" s="844"/>
      <c r="F8" s="1760">
        <f>(C8+D8)-E8</f>
        <v>19701500</v>
      </c>
      <c r="G8" s="843">
        <v>50</v>
      </c>
      <c r="H8" s="765">
        <v>4422051</v>
      </c>
      <c r="I8" s="765">
        <v>646410</v>
      </c>
      <c r="J8" s="765"/>
      <c r="K8" s="1769">
        <f>(H8+I8)-J8</f>
        <v>5068461</v>
      </c>
      <c r="L8" s="1769">
        <f>F8-K8</f>
        <v>14633039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788721</v>
      </c>
      <c r="D10" s="846"/>
      <c r="E10" s="846"/>
      <c r="F10" s="1764">
        <f>(C10+D10)-E10</f>
        <v>788721</v>
      </c>
      <c r="G10" s="843">
        <v>20</v>
      </c>
      <c r="H10" s="847">
        <v>372259</v>
      </c>
      <c r="I10" s="847">
        <v>23038</v>
      </c>
      <c r="J10" s="847"/>
      <c r="K10" s="1769">
        <f>(H10+I10)-J10</f>
        <v>395297</v>
      </c>
      <c r="L10" s="1769">
        <f>F10-K10</f>
        <v>393424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2111311</v>
      </c>
      <c r="D12" s="844">
        <v>404900</v>
      </c>
      <c r="E12" s="844"/>
      <c r="F12" s="1760">
        <f>(C12+D12)-E12</f>
        <v>2516211</v>
      </c>
      <c r="G12" s="843">
        <v>10</v>
      </c>
      <c r="H12" s="765">
        <v>1475731</v>
      </c>
      <c r="I12" s="765">
        <v>161321</v>
      </c>
      <c r="J12" s="765"/>
      <c r="K12" s="1769">
        <f>(H12+I12)-J12</f>
        <v>1637052</v>
      </c>
      <c r="L12" s="1769">
        <f>F12-K12</f>
        <v>879159</v>
      </c>
    </row>
    <row r="13" spans="1:14" ht="14.25" thickTop="1" thickBot="1" x14ac:dyDescent="0.25">
      <c r="A13" s="848" t="s">
        <v>1122</v>
      </c>
      <c r="B13" s="840">
        <v>252</v>
      </c>
      <c r="C13" s="844">
        <v>88962</v>
      </c>
      <c r="D13" s="844"/>
      <c r="E13" s="844"/>
      <c r="F13" s="1760">
        <f>(C13+D13)-E13</f>
        <v>88962</v>
      </c>
      <c r="G13" s="843">
        <v>5</v>
      </c>
      <c r="H13" s="765">
        <v>60695</v>
      </c>
      <c r="I13" s="765">
        <v>7995</v>
      </c>
      <c r="J13" s="765"/>
      <c r="K13" s="1769">
        <f>(H13+I13)-J13</f>
        <v>68690</v>
      </c>
      <c r="L13" s="1769">
        <f>F13-K13</f>
        <v>20272</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22963612</v>
      </c>
      <c r="D16" s="1760">
        <f>SUM(D3,D5:D6,D8:D10,D12:D15)</f>
        <v>663184</v>
      </c>
      <c r="E16" s="1760">
        <f>SUM(E3,E5:E6,E8:E10,E12:E15)</f>
        <v>0</v>
      </c>
      <c r="F16" s="1760">
        <f>SUM(F3,F5:F6,F8:F10,F12:F15)</f>
        <v>23626796</v>
      </c>
      <c r="G16" s="843"/>
      <c r="H16" s="1760">
        <f>SUM(H3,H6,H8:H10,H12:H14,)</f>
        <v>6330736</v>
      </c>
      <c r="I16" s="1760">
        <f>SUM(I3,I6,I8:I10,I12:I14,)</f>
        <v>838764</v>
      </c>
      <c r="J16" s="1760">
        <f>SUM(J3,J6,J8:J10,J12:J14,)</f>
        <v>0</v>
      </c>
      <c r="K16" s="1760">
        <f>(H16+I16)-J16</f>
        <v>7169500</v>
      </c>
      <c r="L16" s="1760">
        <f>F16-K16</f>
        <v>16457296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4224</v>
      </c>
      <c r="G17" s="837">
        <v>10</v>
      </c>
      <c r="H17" s="769"/>
      <c r="I17" s="1769">
        <f>F17/G17</f>
        <v>422.4</v>
      </c>
      <c r="J17" s="769"/>
      <c r="K17" s="795"/>
      <c r="L17" s="795"/>
    </row>
    <row r="18" spans="1:12" ht="14.25" thickTop="1" thickBot="1" x14ac:dyDescent="0.25">
      <c r="A18" s="1767" t="s">
        <v>685</v>
      </c>
      <c r="B18" s="1768"/>
      <c r="C18" s="771"/>
      <c r="D18" s="771"/>
      <c r="E18" s="771"/>
      <c r="F18" s="850"/>
      <c r="G18" s="851"/>
      <c r="H18" s="773"/>
      <c r="I18" s="1760">
        <f>SUM(I16,I17)</f>
        <v>839186.4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1972</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18447047</v>
      </c>
      <c r="G8" s="865"/>
    </row>
    <row r="9" spans="1:7" x14ac:dyDescent="0.2">
      <c r="A9" s="869" t="s">
        <v>460</v>
      </c>
      <c r="B9" s="870" t="s">
        <v>1874</v>
      </c>
      <c r="C9" s="871"/>
      <c r="D9" s="869" t="s">
        <v>501</v>
      </c>
      <c r="E9" s="868"/>
      <c r="F9" s="1909">
        <f>'Expenditures 15-22'!K151</f>
        <v>1576387</v>
      </c>
      <c r="G9" s="872"/>
    </row>
    <row r="10" spans="1:7" x14ac:dyDescent="0.2">
      <c r="A10" s="869" t="s">
        <v>499</v>
      </c>
      <c r="B10" s="870" t="s">
        <v>1875</v>
      </c>
      <c r="C10" s="871"/>
      <c r="D10" s="869" t="s">
        <v>501</v>
      </c>
      <c r="E10" s="868"/>
      <c r="F10" s="1909">
        <f>'Expenditures 15-22'!K174</f>
        <v>1413770</v>
      </c>
      <c r="G10" s="872"/>
    </row>
    <row r="11" spans="1:7" x14ac:dyDescent="0.2">
      <c r="A11" s="869" t="s">
        <v>461</v>
      </c>
      <c r="B11" s="870" t="s">
        <v>1876</v>
      </c>
      <c r="C11" s="871"/>
      <c r="D11" s="869" t="s">
        <v>501</v>
      </c>
      <c r="E11" s="868"/>
      <c r="F11" s="1909">
        <f>'Expenditures 15-22'!K210</f>
        <v>1577652</v>
      </c>
      <c r="G11" s="872"/>
    </row>
    <row r="12" spans="1:7" x14ac:dyDescent="0.2">
      <c r="A12" s="869" t="s">
        <v>462</v>
      </c>
      <c r="B12" s="870" t="s">
        <v>1877</v>
      </c>
      <c r="C12" s="871"/>
      <c r="D12" s="869" t="s">
        <v>501</v>
      </c>
      <c r="E12" s="868"/>
      <c r="F12" s="1909">
        <f>'Expenditures 15-22'!K295</f>
        <v>677086</v>
      </c>
      <c r="G12" s="872"/>
    </row>
    <row r="13" spans="1:7" x14ac:dyDescent="0.2">
      <c r="A13" s="869" t="s">
        <v>106</v>
      </c>
      <c r="B13" s="870" t="s">
        <v>1878</v>
      </c>
      <c r="C13" s="871"/>
      <c r="D13" s="869" t="s">
        <v>501</v>
      </c>
      <c r="E13" s="868"/>
      <c r="F13" s="1909">
        <f>'Expenditures 15-22'!K342</f>
        <v>157646</v>
      </c>
      <c r="G13" s="873"/>
    </row>
    <row r="14" spans="1:7" ht="12" customHeight="1" thickBot="1" x14ac:dyDescent="0.25">
      <c r="A14" s="1770"/>
      <c r="B14" s="1771"/>
      <c r="C14" s="1772"/>
      <c r="D14" s="1773" t="s">
        <v>501</v>
      </c>
      <c r="E14" s="1774" t="s">
        <v>958</v>
      </c>
      <c r="F14" s="1775">
        <f>SUM(F8:F13)</f>
        <v>23849588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202152</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86650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275380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205010</v>
      </c>
      <c r="G52" s="865"/>
    </row>
    <row r="53" spans="1:7" x14ac:dyDescent="0.2">
      <c r="A53" s="869" t="s">
        <v>459</v>
      </c>
      <c r="B53" s="869" t="s">
        <v>1475</v>
      </c>
      <c r="C53" s="889">
        <f>'Expenditures 15-22'!B102</f>
        <v>4000</v>
      </c>
      <c r="D53" s="888" t="str">
        <f>'Expenditures 15-22'!A102</f>
        <v>Total Payments to Other Govt Units</v>
      </c>
      <c r="E53" s="868"/>
      <c r="F53" s="1913">
        <f>'Expenditures 15-22'!K102</f>
        <v>398311</v>
      </c>
      <c r="G53" s="865"/>
    </row>
    <row r="54" spans="1:7" x14ac:dyDescent="0.2">
      <c r="A54" s="869" t="s">
        <v>459</v>
      </c>
      <c r="B54" s="869" t="s">
        <v>1476</v>
      </c>
      <c r="C54" s="889" t="s">
        <v>982</v>
      </c>
      <c r="D54" s="885" t="s">
        <v>1095</v>
      </c>
      <c r="E54" s="868"/>
      <c r="F54" s="1913">
        <f>'Expenditures 15-22'!G114</f>
        <v>394134</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143586</v>
      </c>
      <c r="G58" s="865"/>
    </row>
    <row r="59" spans="1:7" x14ac:dyDescent="0.2">
      <c r="A59" s="893" t="s">
        <v>460</v>
      </c>
      <c r="B59" s="856" t="s">
        <v>1881</v>
      </c>
      <c r="C59" s="894" t="s">
        <v>982</v>
      </c>
      <c r="D59" s="856" t="s">
        <v>291</v>
      </c>
      <c r="F59" s="1916">
        <f>'Expenditures 15-22'!I151</f>
        <v>4224</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1013717</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130002</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6202</v>
      </c>
      <c r="G71" s="865"/>
    </row>
    <row r="72" spans="1:8" x14ac:dyDescent="0.2">
      <c r="A72" s="869" t="s">
        <v>462</v>
      </c>
      <c r="B72" s="869" t="s">
        <v>1893</v>
      </c>
      <c r="C72" s="886">
        <f>'Expenditures 15-22'!B280</f>
        <v>3000</v>
      </c>
      <c r="D72" s="876" t="s">
        <v>449</v>
      </c>
      <c r="E72" s="868"/>
      <c r="F72" s="1913">
        <f>'Expenditures 15-22'!K280</f>
        <v>17573</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2876941</v>
      </c>
      <c r="G76" s="865"/>
    </row>
    <row r="77" spans="1:8" s="893" customFormat="1" ht="12" customHeight="1" thickTop="1" thickBot="1" x14ac:dyDescent="0.25">
      <c r="A77" s="1779"/>
      <c r="B77" s="1776"/>
      <c r="C77" s="1772"/>
      <c r="D77" s="1777" t="s">
        <v>1897</v>
      </c>
      <c r="E77" s="1774"/>
      <c r="F77" s="1780">
        <f>(F14-F76)</f>
        <v>20972647</v>
      </c>
      <c r="G77" s="869"/>
    </row>
    <row r="78" spans="1:8" s="893" customFormat="1" ht="12" customHeight="1" thickTop="1" x14ac:dyDescent="0.2">
      <c r="A78" s="1781"/>
      <c r="B78" s="1776"/>
      <c r="C78" s="1772"/>
      <c r="D78" s="1777" t="s">
        <v>2059</v>
      </c>
      <c r="E78" s="1774"/>
      <c r="F78" s="898">
        <v>1406.7</v>
      </c>
      <c r="G78" s="899"/>
      <c r="H78" s="869"/>
    </row>
    <row r="79" spans="1:8" s="893" customFormat="1" ht="12" customHeight="1" thickBot="1" x14ac:dyDescent="0.25">
      <c r="A79" s="1782"/>
      <c r="B79" s="1776"/>
      <c r="C79" s="1772"/>
      <c r="D79" s="1777" t="s">
        <v>1898</v>
      </c>
      <c r="E79" s="1774" t="s">
        <v>958</v>
      </c>
      <c r="F79" s="1783">
        <f>IF(F78&gt;0,F77/F78," Complete Line 78")</f>
        <v>14909.111395464563</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189549</v>
      </c>
      <c r="G94" s="912"/>
    </row>
    <row r="95" spans="1:7" x14ac:dyDescent="0.2">
      <c r="A95" s="908" t="s">
        <v>140</v>
      </c>
      <c r="B95" s="908" t="s">
        <v>175</v>
      </c>
      <c r="C95" s="910">
        <v>1700</v>
      </c>
      <c r="D95" s="918" t="str">
        <f>'Revenues 9-14'!A82</f>
        <v>Total District/School Activity Income</v>
      </c>
      <c r="E95" s="906"/>
      <c r="F95" s="1789">
        <f>SUM('Revenues 9-14'!C82,'Revenues 9-14'!D82)</f>
        <v>62680</v>
      </c>
      <c r="G95" s="912"/>
    </row>
    <row r="96" spans="1:7" x14ac:dyDescent="0.2">
      <c r="A96" s="908" t="s">
        <v>459</v>
      </c>
      <c r="B96" s="908" t="s">
        <v>176</v>
      </c>
      <c r="C96" s="910">
        <f>'Revenues 9-14'!B84</f>
        <v>1811</v>
      </c>
      <c r="D96" s="911" t="str">
        <f>'Revenues 9-14'!A84</f>
        <v>Rentals - Regular Textbooks</v>
      </c>
      <c r="E96" s="906"/>
      <c r="F96" s="1789">
        <f>'Revenues 9-14'!C84</f>
        <v>250458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120606</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371435</v>
      </c>
      <c r="G104" s="912"/>
    </row>
    <row r="105" spans="1:7" x14ac:dyDescent="0.2">
      <c r="A105" s="908" t="s">
        <v>503</v>
      </c>
      <c r="B105" s="908" t="s">
        <v>2000</v>
      </c>
      <c r="C105" s="913">
        <v>3100</v>
      </c>
      <c r="D105" s="919" t="str">
        <f>'Revenues 9-14'!A132</f>
        <v>Total Special Education</v>
      </c>
      <c r="E105" s="906"/>
      <c r="F105" s="1789">
        <f>SUM('Revenues 9-14'!C132:D132,'Revenues 9-14'!F132)</f>
        <v>0</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3792</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0</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515866</v>
      </c>
      <c r="G111" s="912"/>
    </row>
    <row r="112" spans="1:7" x14ac:dyDescent="0.2">
      <c r="A112" s="908" t="s">
        <v>459</v>
      </c>
      <c r="B112" s="908" t="s">
        <v>2007</v>
      </c>
      <c r="C112" s="920">
        <f>'Revenues 9-14'!B156</f>
        <v>3610</v>
      </c>
      <c r="D112" s="911" t="str">
        <f>'Revenues 9-14'!A156</f>
        <v>Learning Improvement - Change Grants</v>
      </c>
      <c r="E112" s="906"/>
      <c r="F112" s="1789">
        <f>'Revenues 9-14'!C156</f>
        <v>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190</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9">
        <f>SUM('Revenues 9-14'!C198,'Revenues 9-14'!G198)</f>
        <v>218316</v>
      </c>
      <c r="G125" s="930"/>
    </row>
    <row r="126" spans="1:7" x14ac:dyDescent="0.2">
      <c r="A126" s="927" t="s">
        <v>668</v>
      </c>
      <c r="B126" s="927" t="s">
        <v>2021</v>
      </c>
      <c r="C126" s="932">
        <v>4300</v>
      </c>
      <c r="D126" s="933" t="str">
        <f>'Revenues 9-14'!A204</f>
        <v>Total Title I</v>
      </c>
      <c r="E126" s="906"/>
      <c r="F126" s="1789">
        <f>SUM('Revenues 9-14'!C204,'Revenues 9-14'!D204,'Revenues 9-14'!F204,'Revenues 9-14'!G204)</f>
        <v>187211</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1425</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97727</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0</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30432</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30487</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14729</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84317</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2179220</v>
      </c>
    </row>
    <row r="175" spans="1:7" ht="12" customHeight="1" x14ac:dyDescent="0.2">
      <c r="A175" s="1770"/>
      <c r="B175" s="1784"/>
      <c r="C175" s="1785"/>
      <c r="D175" s="1786" t="s">
        <v>2054</v>
      </c>
      <c r="E175" s="1787"/>
      <c r="F175" s="1789">
        <f>'PCTC-OEPP 27-28'!F77-F174</f>
        <v>18793427</v>
      </c>
    </row>
    <row r="176" spans="1:7" ht="12" customHeight="1" x14ac:dyDescent="0.2">
      <c r="A176" s="1770"/>
      <c r="B176" s="1784"/>
      <c r="C176" s="1785"/>
      <c r="D176" s="1786" t="s">
        <v>1814</v>
      </c>
      <c r="E176" s="1787"/>
      <c r="F176" s="1789">
        <f>'Cap Outlay Deprec 26'!I18</f>
        <v>839186.4</v>
      </c>
    </row>
    <row r="177" spans="1:7" ht="12" customHeight="1" x14ac:dyDescent="0.2">
      <c r="A177" s="1770"/>
      <c r="B177" s="1784"/>
      <c r="C177" s="1785"/>
      <c r="D177" s="1786" t="s">
        <v>2055</v>
      </c>
      <c r="E177" s="1787"/>
      <c r="F177" s="1789">
        <f>F175+F176</f>
        <v>19632613.399999999</v>
      </c>
    </row>
    <row r="178" spans="1:7" ht="12" customHeight="1" x14ac:dyDescent="0.2">
      <c r="A178" s="1770"/>
      <c r="B178" s="1790"/>
      <c r="C178" s="1785"/>
      <c r="D178" s="1786" t="str">
        <f>D78</f>
        <v>9 Month ADA from District Average Daily Attendance/Prior General State Aid Inquiry 2018-2019</v>
      </c>
      <c r="E178" s="1787"/>
      <c r="F178" s="1791">
        <f>'PCTC-OEPP 27-28'!F78</f>
        <v>1406.7</v>
      </c>
      <c r="G178" s="930"/>
    </row>
    <row r="179" spans="1:7" ht="12" customHeight="1" thickBot="1" x14ac:dyDescent="0.25">
      <c r="A179" s="1770"/>
      <c r="B179" s="1790"/>
      <c r="C179" s="1785"/>
      <c r="D179" s="1786" t="s">
        <v>2056</v>
      </c>
      <c r="E179" s="1787" t="s">
        <v>1545</v>
      </c>
      <c r="F179" s="1792">
        <f>F177/F178</f>
        <v>13956.503447785595</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4" zoomScaleNormal="100" workbookViewId="0">
      <selection activeCell="B46" sqref="B46"/>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1815</v>
      </c>
      <c r="B4" s="2274"/>
      <c r="C4" s="2274"/>
      <c r="D4" s="2274"/>
      <c r="E4" s="2274"/>
      <c r="F4" s="2274"/>
      <c r="G4" s="2275"/>
    </row>
    <row r="5" spans="1:7" x14ac:dyDescent="0.25">
      <c r="A5" s="2276"/>
      <c r="B5" s="2277"/>
      <c r="C5" s="2277"/>
      <c r="D5" s="2277"/>
      <c r="E5" s="2277"/>
      <c r="F5" s="2277"/>
      <c r="G5" s="2278"/>
    </row>
    <row r="6" spans="1:7" ht="18.75" x14ac:dyDescent="0.25">
      <c r="A6" s="1534" t="s">
        <v>1816</v>
      </c>
      <c r="B6" s="1535"/>
      <c r="C6" s="1535"/>
      <c r="D6" s="1535"/>
      <c r="E6" s="1535"/>
      <c r="F6" s="1535"/>
      <c r="G6" s="1536"/>
    </row>
    <row r="7" spans="1:7" ht="30.75" customHeight="1" x14ac:dyDescent="0.25">
      <c r="A7" s="2279" t="s">
        <v>1929</v>
      </c>
      <c r="B7" s="2280"/>
      <c r="C7" s="2280"/>
      <c r="D7" s="2280"/>
      <c r="E7" s="2280"/>
      <c r="F7" s="2280"/>
      <c r="G7" s="2281"/>
    </row>
    <row r="8" spans="1:7" ht="15.75" customHeight="1" x14ac:dyDescent="0.25">
      <c r="A8" s="2282" t="s">
        <v>1904</v>
      </c>
      <c r="B8" s="2283"/>
      <c r="C8" s="2283"/>
      <c r="D8" s="2283"/>
      <c r="E8" s="2283"/>
      <c r="F8" s="2283"/>
      <c r="G8" s="2284"/>
    </row>
    <row r="9" spans="1:7" ht="35.25" customHeight="1" x14ac:dyDescent="0.25">
      <c r="A9" s="2279" t="s">
        <v>1932</v>
      </c>
      <c r="B9" s="2280"/>
      <c r="C9" s="2280"/>
      <c r="D9" s="2280"/>
      <c r="E9" s="2280"/>
      <c r="F9" s="2280"/>
      <c r="G9" s="2281"/>
    </row>
    <row r="10" spans="1:7" ht="15" customHeight="1" x14ac:dyDescent="0.25">
      <c r="A10" s="1537" t="s">
        <v>1817</v>
      </c>
      <c r="B10" s="1538"/>
      <c r="C10" s="1538"/>
      <c r="D10" s="1538"/>
      <c r="E10" s="1538"/>
      <c r="F10" s="1538"/>
      <c r="G10" s="1539"/>
    </row>
    <row r="11" spans="1:7" ht="17.25" customHeight="1" x14ac:dyDescent="0.25">
      <c r="A11" s="2279" t="s">
        <v>1931</v>
      </c>
      <c r="B11" s="2280"/>
      <c r="C11" s="2280"/>
      <c r="D11" s="2280"/>
      <c r="E11" s="2280"/>
      <c r="F11" s="2280"/>
      <c r="G11" s="2281"/>
    </row>
    <row r="12" spans="1:7" ht="15" customHeight="1" x14ac:dyDescent="0.25">
      <c r="A12" s="1537" t="s">
        <v>1822</v>
      </c>
      <c r="B12" s="1538"/>
      <c r="C12" s="1538"/>
      <c r="D12" s="1538"/>
      <c r="E12" s="1538"/>
      <c r="F12" s="1538"/>
      <c r="G12" s="1539"/>
    </row>
    <row r="13" spans="1:7" ht="32.25" customHeight="1" x14ac:dyDescent="0.25">
      <c r="A13" s="2270" t="s">
        <v>1973</v>
      </c>
      <c r="B13" s="2271"/>
      <c r="C13" s="2271"/>
      <c r="D13" s="2271"/>
      <c r="E13" s="2271"/>
      <c r="F13" s="2271"/>
      <c r="G13" s="2272"/>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0" t="s">
        <v>2156</v>
      </c>
      <c r="B17" s="2490" t="s">
        <v>2198</v>
      </c>
      <c r="C17" s="1943" t="s">
        <v>2171</v>
      </c>
      <c r="D17" s="1844">
        <v>26349</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1349</v>
      </c>
      <c r="H17" s="1647"/>
    </row>
    <row r="18" spans="1:8" x14ac:dyDescent="0.25">
      <c r="A18" s="1940" t="s">
        <v>2145</v>
      </c>
      <c r="B18" s="2490" t="s">
        <v>2199</v>
      </c>
      <c r="C18" s="1943" t="s">
        <v>2172</v>
      </c>
      <c r="D18" s="1844">
        <v>29356</v>
      </c>
      <c r="E18" s="1540">
        <f t="shared" ref="E18:E140" si="2">IF(D18&lt;=25000,D18,IF(D18&gt;25000,25000,0))</f>
        <v>25000</v>
      </c>
      <c r="F18" s="1932">
        <f t="shared" si="1"/>
        <v>0</v>
      </c>
      <c r="G18" s="1793">
        <f t="shared" ref="G18:G140" si="3">IF(F18=0,0,D18-F18)</f>
        <v>0</v>
      </c>
    </row>
    <row r="19" spans="1:8" x14ac:dyDescent="0.25">
      <c r="A19" s="1940" t="s">
        <v>2146</v>
      </c>
      <c r="B19" s="2490" t="s">
        <v>2200</v>
      </c>
      <c r="C19" s="1943" t="s">
        <v>2173</v>
      </c>
      <c r="D19" s="1844">
        <v>251945</v>
      </c>
      <c r="E19" s="1540">
        <f t="shared" si="2"/>
        <v>25000</v>
      </c>
      <c r="F19" s="1932">
        <f t="shared" si="1"/>
        <v>25000</v>
      </c>
      <c r="G19" s="1793">
        <f t="shared" si="3"/>
        <v>226945</v>
      </c>
    </row>
    <row r="20" spans="1:8" x14ac:dyDescent="0.25">
      <c r="A20" s="1940" t="s">
        <v>2147</v>
      </c>
      <c r="B20" s="1941" t="s">
        <v>2163</v>
      </c>
      <c r="C20" s="1943" t="s">
        <v>2174</v>
      </c>
      <c r="D20" s="1844">
        <v>100297</v>
      </c>
      <c r="E20" s="1540">
        <f t="shared" si="2"/>
        <v>25000</v>
      </c>
      <c r="F20" s="1932">
        <f t="shared" si="1"/>
        <v>25000</v>
      </c>
      <c r="G20" s="1793">
        <f t="shared" si="3"/>
        <v>75297</v>
      </c>
    </row>
    <row r="21" spans="1:8" x14ac:dyDescent="0.25">
      <c r="A21" s="1940" t="s">
        <v>2148</v>
      </c>
      <c r="B21" s="1941" t="s">
        <v>2164</v>
      </c>
      <c r="C21" s="1943" t="s">
        <v>2175</v>
      </c>
      <c r="D21" s="1844">
        <v>420077</v>
      </c>
      <c r="E21" s="1540">
        <f t="shared" si="2"/>
        <v>25000</v>
      </c>
      <c r="F21" s="1932">
        <f t="shared" si="1"/>
        <v>25000</v>
      </c>
      <c r="G21" s="1793">
        <f t="shared" si="3"/>
        <v>395077</v>
      </c>
    </row>
    <row r="22" spans="1:8" x14ac:dyDescent="0.25">
      <c r="A22" s="1940" t="s">
        <v>2149</v>
      </c>
      <c r="B22" s="1941" t="s">
        <v>2165</v>
      </c>
      <c r="C22" s="1943" t="s">
        <v>2176</v>
      </c>
      <c r="D22" s="1844">
        <v>34920</v>
      </c>
      <c r="E22" s="1540">
        <f t="shared" si="2"/>
        <v>25000</v>
      </c>
      <c r="F22" s="1932">
        <f t="shared" si="1"/>
        <v>25000</v>
      </c>
      <c r="G22" s="1793">
        <f t="shared" si="3"/>
        <v>9920</v>
      </c>
    </row>
    <row r="23" spans="1:8" x14ac:dyDescent="0.25">
      <c r="A23" s="1940" t="s">
        <v>2150</v>
      </c>
      <c r="B23" s="2490" t="s">
        <v>2201</v>
      </c>
      <c r="C23" s="1943" t="s">
        <v>2177</v>
      </c>
      <c r="D23" s="1844">
        <v>42600</v>
      </c>
      <c r="E23" s="1540">
        <f t="shared" si="2"/>
        <v>25000</v>
      </c>
      <c r="F23" s="1932">
        <f t="shared" si="1"/>
        <v>25000</v>
      </c>
      <c r="G23" s="1793">
        <f t="shared" si="3"/>
        <v>17600</v>
      </c>
    </row>
    <row r="24" spans="1:8" x14ac:dyDescent="0.25">
      <c r="A24" s="1940" t="s">
        <v>2151</v>
      </c>
      <c r="B24" s="1941" t="s">
        <v>2166</v>
      </c>
      <c r="C24" s="1943" t="s">
        <v>2178</v>
      </c>
      <c r="D24" s="1844">
        <v>147426</v>
      </c>
      <c r="E24" s="1540">
        <f t="shared" si="2"/>
        <v>25000</v>
      </c>
      <c r="F24" s="1932">
        <f t="shared" si="1"/>
        <v>25000</v>
      </c>
      <c r="G24" s="1793">
        <f t="shared" si="3"/>
        <v>122426</v>
      </c>
    </row>
    <row r="25" spans="1:8" x14ac:dyDescent="0.25">
      <c r="A25" s="1940" t="s">
        <v>2152</v>
      </c>
      <c r="B25" s="1941" t="s">
        <v>2167</v>
      </c>
      <c r="C25" s="1943" t="s">
        <v>2179</v>
      </c>
      <c r="D25" s="1844">
        <v>121350</v>
      </c>
      <c r="E25" s="1540">
        <f t="shared" si="2"/>
        <v>25000</v>
      </c>
      <c r="F25" s="1932">
        <f t="shared" si="1"/>
        <v>25000</v>
      </c>
      <c r="G25" s="1793">
        <f t="shared" si="3"/>
        <v>96350</v>
      </c>
    </row>
    <row r="26" spans="1:8" x14ac:dyDescent="0.25">
      <c r="A26" s="1940" t="s">
        <v>2149</v>
      </c>
      <c r="B26" s="1941" t="s">
        <v>2165</v>
      </c>
      <c r="C26" s="1943" t="s">
        <v>2180</v>
      </c>
      <c r="D26" s="1844">
        <v>25000</v>
      </c>
      <c r="E26" s="1540">
        <f t="shared" si="2"/>
        <v>25000</v>
      </c>
      <c r="F26" s="1932">
        <f t="shared" si="1"/>
        <v>25000</v>
      </c>
      <c r="G26" s="1793">
        <f t="shared" si="3"/>
        <v>0</v>
      </c>
    </row>
    <row r="27" spans="1:8" x14ac:dyDescent="0.25">
      <c r="A27" s="1940" t="s">
        <v>2145</v>
      </c>
      <c r="B27" s="1941" t="s">
        <v>2168</v>
      </c>
      <c r="C27" s="1943" t="s">
        <v>2181</v>
      </c>
      <c r="D27" s="1844">
        <v>1306288</v>
      </c>
      <c r="E27" s="1540">
        <f t="shared" si="2"/>
        <v>25000</v>
      </c>
      <c r="F27" s="1932">
        <f t="shared" si="1"/>
        <v>25000</v>
      </c>
      <c r="G27" s="1793">
        <f t="shared" si="3"/>
        <v>1281288</v>
      </c>
    </row>
    <row r="28" spans="1:8" x14ac:dyDescent="0.25">
      <c r="A28" s="1940" t="s">
        <v>2153</v>
      </c>
      <c r="B28" s="1941" t="s">
        <v>2169</v>
      </c>
      <c r="C28" s="1943" t="s">
        <v>2182</v>
      </c>
      <c r="D28" s="1844">
        <v>76475</v>
      </c>
      <c r="E28" s="1540">
        <f t="shared" si="2"/>
        <v>25000</v>
      </c>
      <c r="F28" s="1932">
        <f t="shared" si="1"/>
        <v>25000</v>
      </c>
      <c r="G28" s="1793">
        <f t="shared" si="3"/>
        <v>51475</v>
      </c>
    </row>
    <row r="29" spans="1:8" x14ac:dyDescent="0.25">
      <c r="A29" s="1940" t="s">
        <v>2151</v>
      </c>
      <c r="B29" s="1941" t="s">
        <v>2166</v>
      </c>
      <c r="C29" s="1943" t="s">
        <v>2183</v>
      </c>
      <c r="D29" s="1844">
        <v>149109</v>
      </c>
      <c r="E29" s="1540">
        <f t="shared" si="2"/>
        <v>25000</v>
      </c>
      <c r="F29" s="1932">
        <f t="shared" si="1"/>
        <v>25000</v>
      </c>
      <c r="G29" s="1793">
        <f t="shared" si="3"/>
        <v>124109</v>
      </c>
    </row>
    <row r="30" spans="1:8" x14ac:dyDescent="0.25">
      <c r="A30" s="1940" t="s">
        <v>2154</v>
      </c>
      <c r="B30" s="2490" t="s">
        <v>2202</v>
      </c>
      <c r="C30" s="1943" t="s">
        <v>2184</v>
      </c>
      <c r="D30" s="1844">
        <v>99018</v>
      </c>
      <c r="E30" s="1540">
        <f t="shared" si="2"/>
        <v>25000</v>
      </c>
      <c r="F30" s="1932">
        <f t="shared" si="1"/>
        <v>25000</v>
      </c>
      <c r="G30" s="1793">
        <f t="shared" si="3"/>
        <v>74018</v>
      </c>
    </row>
    <row r="31" spans="1:8" x14ac:dyDescent="0.25">
      <c r="A31" s="1940" t="s">
        <v>2155</v>
      </c>
      <c r="B31" s="2490" t="s">
        <v>2201</v>
      </c>
      <c r="C31" s="1943" t="s">
        <v>2185</v>
      </c>
      <c r="D31" s="1844">
        <v>26938</v>
      </c>
      <c r="E31" s="1540">
        <f t="shared" si="2"/>
        <v>25000</v>
      </c>
      <c r="F31" s="1932">
        <f t="shared" si="1"/>
        <v>25000</v>
      </c>
      <c r="G31" s="1793">
        <f t="shared" si="3"/>
        <v>1938</v>
      </c>
    </row>
    <row r="32" spans="1:8" x14ac:dyDescent="0.25">
      <c r="A32" s="1940" t="s">
        <v>2156</v>
      </c>
      <c r="B32" s="2490" t="s">
        <v>2203</v>
      </c>
      <c r="C32" s="1943" t="s">
        <v>2186</v>
      </c>
      <c r="D32" s="1844">
        <v>71740</v>
      </c>
      <c r="E32" s="1540">
        <f t="shared" si="2"/>
        <v>25000</v>
      </c>
      <c r="F32" s="1932">
        <f t="shared" si="1"/>
        <v>25000</v>
      </c>
      <c r="G32" s="1793">
        <f t="shared" si="3"/>
        <v>46740</v>
      </c>
    </row>
    <row r="33" spans="1:7" x14ac:dyDescent="0.25">
      <c r="A33" s="1940" t="s">
        <v>2156</v>
      </c>
      <c r="B33" s="2490" t="s">
        <v>2203</v>
      </c>
      <c r="C33" s="1943" t="s">
        <v>2187</v>
      </c>
      <c r="D33" s="1844">
        <v>32954</v>
      </c>
      <c r="E33" s="1540">
        <f t="shared" si="2"/>
        <v>25000</v>
      </c>
      <c r="F33" s="1932">
        <f t="shared" si="1"/>
        <v>25000</v>
      </c>
      <c r="G33" s="1793">
        <f t="shared" si="3"/>
        <v>7954</v>
      </c>
    </row>
    <row r="34" spans="1:7" x14ac:dyDescent="0.25">
      <c r="A34" s="1940" t="s">
        <v>2147</v>
      </c>
      <c r="B34" s="1941" t="s">
        <v>2163</v>
      </c>
      <c r="C34" s="1943" t="s">
        <v>2188</v>
      </c>
      <c r="D34" s="1844">
        <v>64799</v>
      </c>
      <c r="E34" s="1540">
        <f t="shared" si="2"/>
        <v>25000</v>
      </c>
      <c r="F34" s="1932">
        <f t="shared" si="1"/>
        <v>25000</v>
      </c>
      <c r="G34" s="1793">
        <f t="shared" si="3"/>
        <v>39799</v>
      </c>
    </row>
    <row r="35" spans="1:7" x14ac:dyDescent="0.25">
      <c r="A35" s="1940"/>
      <c r="B35" s="1941"/>
      <c r="C35" s="1943"/>
      <c r="D35" s="1844"/>
      <c r="E35" s="1540">
        <f t="shared" si="2"/>
        <v>0</v>
      </c>
      <c r="F35" s="1932">
        <f t="shared" si="1"/>
        <v>0</v>
      </c>
      <c r="G35" s="1793">
        <f t="shared" si="3"/>
        <v>0</v>
      </c>
    </row>
    <row r="36" spans="1:7" x14ac:dyDescent="0.25">
      <c r="A36" s="1940"/>
      <c r="B36" s="1941"/>
      <c r="C36" s="1943"/>
      <c r="D36" s="1844"/>
      <c r="E36" s="1540">
        <f t="shared" si="2"/>
        <v>0</v>
      </c>
      <c r="F36" s="1932">
        <f t="shared" si="1"/>
        <v>0</v>
      </c>
      <c r="G36" s="1793">
        <f t="shared" si="3"/>
        <v>0</v>
      </c>
    </row>
    <row r="37" spans="1:7" x14ac:dyDescent="0.25">
      <c r="A37" s="1940"/>
      <c r="B37" s="1941"/>
      <c r="C37" s="1943"/>
      <c r="D37" s="1844"/>
      <c r="E37" s="1540">
        <f t="shared" si="2"/>
        <v>0</v>
      </c>
      <c r="F37" s="1932">
        <f t="shared" si="1"/>
        <v>0</v>
      </c>
      <c r="G37" s="1793">
        <f t="shared" si="3"/>
        <v>0</v>
      </c>
    </row>
    <row r="38" spans="1:7" x14ac:dyDescent="0.25">
      <c r="A38" s="1940" t="s">
        <v>2157</v>
      </c>
      <c r="B38" s="2491" t="s">
        <v>2204</v>
      </c>
      <c r="C38" s="1943" t="s">
        <v>2189</v>
      </c>
      <c r="D38" s="1844">
        <v>35512</v>
      </c>
      <c r="E38" s="1540">
        <f t="shared" si="2"/>
        <v>25000</v>
      </c>
      <c r="F38" s="1932">
        <f t="shared" si="1"/>
        <v>25000</v>
      </c>
      <c r="G38" s="1793">
        <f t="shared" si="3"/>
        <v>10512</v>
      </c>
    </row>
    <row r="39" spans="1:7" x14ac:dyDescent="0.25">
      <c r="A39" s="1940" t="s">
        <v>2157</v>
      </c>
      <c r="B39" s="2491" t="s">
        <v>2204</v>
      </c>
      <c r="C39" s="1943" t="s">
        <v>2190</v>
      </c>
      <c r="D39" s="1844">
        <v>21607</v>
      </c>
      <c r="E39" s="1540">
        <f t="shared" si="2"/>
        <v>21607</v>
      </c>
      <c r="F39" s="1932">
        <f t="shared" si="1"/>
        <v>21607</v>
      </c>
      <c r="G39" s="1793">
        <f t="shared" si="3"/>
        <v>0</v>
      </c>
    </row>
    <row r="40" spans="1:7" x14ac:dyDescent="0.25">
      <c r="A40" s="1940" t="s">
        <v>2158</v>
      </c>
      <c r="B40" s="2491" t="s">
        <v>2202</v>
      </c>
      <c r="C40" s="1943" t="s">
        <v>2191</v>
      </c>
      <c r="D40" s="1844">
        <v>58288</v>
      </c>
      <c r="E40" s="1540">
        <f t="shared" si="2"/>
        <v>25000</v>
      </c>
      <c r="F40" s="1932">
        <f t="shared" si="1"/>
        <v>25000</v>
      </c>
      <c r="G40" s="1793">
        <f t="shared" si="3"/>
        <v>33288</v>
      </c>
    </row>
    <row r="41" spans="1:7" x14ac:dyDescent="0.25">
      <c r="A41" s="1940" t="s">
        <v>2159</v>
      </c>
      <c r="B41" s="2491" t="s">
        <v>2201</v>
      </c>
      <c r="C41" s="1943" t="s">
        <v>2192</v>
      </c>
      <c r="D41" s="1844">
        <v>48805</v>
      </c>
      <c r="E41" s="1540">
        <f t="shared" si="2"/>
        <v>25000</v>
      </c>
      <c r="F41" s="1932">
        <f t="shared" si="1"/>
        <v>25000</v>
      </c>
      <c r="G41" s="1793">
        <f t="shared" si="3"/>
        <v>23805</v>
      </c>
    </row>
    <row r="42" spans="1:7" x14ac:dyDescent="0.25">
      <c r="A42" s="1940"/>
      <c r="B42" s="1942"/>
      <c r="C42" s="1943"/>
      <c r="D42" s="1844"/>
      <c r="E42" s="1540">
        <f t="shared" si="2"/>
        <v>0</v>
      </c>
      <c r="F42" s="1932">
        <f t="shared" si="1"/>
        <v>0</v>
      </c>
      <c r="G42" s="1793">
        <f t="shared" si="3"/>
        <v>0</v>
      </c>
    </row>
    <row r="43" spans="1:7" x14ac:dyDescent="0.25">
      <c r="A43" s="1940" t="s">
        <v>2160</v>
      </c>
      <c r="B43" s="1942" t="s">
        <v>2170</v>
      </c>
      <c r="C43" s="1943" t="s">
        <v>2193</v>
      </c>
      <c r="D43" s="1844">
        <v>30257</v>
      </c>
      <c r="E43" s="1540">
        <f t="shared" si="2"/>
        <v>25000</v>
      </c>
      <c r="F43" s="1932">
        <f t="shared" si="1"/>
        <v>25000</v>
      </c>
      <c r="G43" s="1793">
        <f t="shared" si="3"/>
        <v>5257</v>
      </c>
    </row>
    <row r="44" spans="1:7" x14ac:dyDescent="0.25">
      <c r="A44" s="1940" t="s">
        <v>2156</v>
      </c>
      <c r="B44" s="2491" t="s">
        <v>2203</v>
      </c>
      <c r="C44" s="1943" t="s">
        <v>2194</v>
      </c>
      <c r="D44" s="1844">
        <v>59607</v>
      </c>
      <c r="E44" s="1540">
        <f t="shared" si="2"/>
        <v>25000</v>
      </c>
      <c r="F44" s="1932">
        <f t="shared" si="1"/>
        <v>25000</v>
      </c>
      <c r="G44" s="1793">
        <f t="shared" si="3"/>
        <v>34607</v>
      </c>
    </row>
    <row r="45" spans="1:7" x14ac:dyDescent="0.25">
      <c r="A45" s="1940" t="s">
        <v>2161</v>
      </c>
      <c r="B45" s="1942" t="s">
        <v>2165</v>
      </c>
      <c r="C45" s="1943" t="s">
        <v>2195</v>
      </c>
      <c r="D45" s="1844">
        <v>48876</v>
      </c>
      <c r="E45" s="1540">
        <f t="shared" si="2"/>
        <v>25000</v>
      </c>
      <c r="F45" s="1932">
        <f t="shared" si="1"/>
        <v>25000</v>
      </c>
      <c r="G45" s="1793">
        <f t="shared" si="3"/>
        <v>23876</v>
      </c>
    </row>
    <row r="46" spans="1:7" x14ac:dyDescent="0.25">
      <c r="A46" s="1940" t="s">
        <v>2162</v>
      </c>
      <c r="B46" s="2491" t="s">
        <v>2205</v>
      </c>
      <c r="C46" s="1943" t="s">
        <v>2196</v>
      </c>
      <c r="D46" s="1844">
        <v>111081</v>
      </c>
      <c r="E46" s="1540">
        <f t="shared" si="2"/>
        <v>25000</v>
      </c>
      <c r="F46" s="1932">
        <f t="shared" si="1"/>
        <v>25000</v>
      </c>
      <c r="G46" s="1793">
        <f t="shared" si="3"/>
        <v>86081</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3440674</v>
      </c>
      <c r="E141" s="1541">
        <f t="shared" si="0"/>
        <v>25000</v>
      </c>
      <c r="F141" s="1933">
        <f>SUM(F17:F140)</f>
        <v>621607</v>
      </c>
      <c r="G141" s="1795">
        <f>SUM(G17:G140)</f>
        <v>2789711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290" t="s">
        <v>1974</v>
      </c>
      <c r="B11" s="2291"/>
      <c r="C11" s="2291"/>
      <c r="D11" s="2292"/>
      <c r="E11" s="977">
        <v>38949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11256185</v>
      </c>
      <c r="F19" s="1799"/>
      <c r="G19" s="1801">
        <f>'Expenditures 15-22'!K33-SUM('Expenditures 15-22'!G33,'Expenditures 15-22'!I33)+'Expenditures 15-22'!D229</f>
        <v>11256185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2062865</v>
      </c>
      <c r="F21" s="1802"/>
      <c r="G21" s="1805">
        <f>'Expenditures 15-22'!K42-SUM('Expenditures 15-22'!G42,'Expenditures 15-22'!I42)+'Expenditures 15-22'!K120-SUM('Expenditures 15-22'!G120,'Expenditures 15-22'!I120)+'Expenditures 15-22'!K180-SUM('Expenditures 15-22'!G180,'Expenditures 15-22'!I180)+'Expenditures 15-22'!D238</f>
        <v>2062865</v>
      </c>
      <c r="H21" s="987"/>
      <c r="I21" s="162"/>
    </row>
    <row r="22" spans="1:9" s="668" customFormat="1" ht="12" customHeight="1" x14ac:dyDescent="0.2">
      <c r="A22" s="994" t="s">
        <v>564</v>
      </c>
      <c r="B22" s="995"/>
      <c r="C22" s="993">
        <v>2200</v>
      </c>
      <c r="D22" s="1802"/>
      <c r="E22" s="1804">
        <f>'Expenditures 15-22'!K47-SUM('Expenditures 15-22'!G47,'Expenditures 15-22'!I47)+'Expenditures 15-22'!D243</f>
        <v>1804667</v>
      </c>
      <c r="F22" s="1802"/>
      <c r="G22" s="1805">
        <f>'Expenditures 15-22'!K47-SUM('Expenditures 15-22'!G47,'Expenditures 15-22'!I47)+'Expenditures 15-22'!D243</f>
        <v>1804667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615062</v>
      </c>
      <c r="F23" s="1802"/>
      <c r="G23" s="1804">
        <f>'Expenditures 15-22'!K53-SUM('Expenditures 15-22'!G53,'Expenditures 15-22'!I53)+'Expenditures 15-22'!D257+'Expenditures 15-22'!K330-SUM('Expenditures 15-22'!G330,'Expenditures 15-22'!I330)</f>
        <v>615062</v>
      </c>
      <c r="H23" s="987"/>
      <c r="I23" s="162"/>
    </row>
    <row r="24" spans="1:9" s="668" customFormat="1" ht="12" customHeight="1" x14ac:dyDescent="0.2">
      <c r="A24" s="994" t="s">
        <v>566</v>
      </c>
      <c r="B24" s="995"/>
      <c r="C24" s="993">
        <v>2400</v>
      </c>
      <c r="D24" s="1802"/>
      <c r="E24" s="1804">
        <f>'Expenditures 15-22'!K57-SUM('Expenditures 15-22'!G57,'Expenditures 15-22'!I57)+'Expenditures 15-22'!D261</f>
        <v>1173277</v>
      </c>
      <c r="F24" s="1802"/>
      <c r="G24" s="1805">
        <f>'Expenditures 15-22'!K57-SUM('Expenditures 15-22'!G57,'Expenditures 15-22'!I57)+'Expenditures 15-22'!D261</f>
        <v>1173277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165777</v>
      </c>
      <c r="E26" s="1804">
        <f>'Expenditures 15-22'!K122-SUM('Expenditures 15-22'!G122,'Expenditures 15-22'!I122)+E7</f>
        <v>0</v>
      </c>
      <c r="F26" s="1804">
        <f>'Expenditures 15-22'!K59-SUM('Expenditures 15-22'!G59,'Expenditures 15-22'!I59)+'Expenditures 15-22'!D263-E7</f>
        <v>165777</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215033</v>
      </c>
      <c r="E27" s="1804">
        <f>E8</f>
        <v>0</v>
      </c>
      <c r="F27" s="1804">
        <f>'Expenditures 15-22'!K60-SUM('Expenditures 15-22'!G60,'Expenditures 15-22'!I60)+'Expenditures 15-22'!D264-E8</f>
        <v>215033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1556059</v>
      </c>
      <c r="F28" s="1806">
        <f>'Expenditures 15-22'!K61-SUM('Expenditures 15-22'!G61,'Expenditures 15-22'!I61)+'Expenditures 15-22'!K124-SUM('Expenditures 15-22'!G124,'Expenditures 15-22'!I124)+'Expenditures 15-22'!D266-E9</f>
        <v>1556059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1448694</v>
      </c>
      <c r="F29" s="1802"/>
      <c r="G29" s="1805">
        <f>'Expenditures 15-22'!K62-SUM('Expenditures 15-22'!G62,'Expenditures 15-22'!I62)+'Expenditures 15-22'!K125-SUM('Expenditures 15-22'!G125,'Expenditures 15-22'!I125)+'Expenditures 15-22'!K182-SUM('Expenditures 15-22'!G182,'Expenditures 15-22'!I182)+'Expenditures 15-22'!D267</f>
        <v>1448694</v>
      </c>
      <c r="H29" s="985"/>
    </row>
    <row r="30" spans="1:9" ht="12" customHeight="1" x14ac:dyDescent="0.2">
      <c r="A30" s="994" t="s">
        <v>100</v>
      </c>
      <c r="B30" s="997"/>
      <c r="C30" s="993">
        <v>2560</v>
      </c>
      <c r="D30" s="1802"/>
      <c r="E30" s="1804">
        <f>'Expenditures 15-22'!K63-SUM('Expenditures 15-22'!G63,'Expenditures 15-22'!I63)+'Expenditures 15-22'!D268-E10</f>
        <v>462484</v>
      </c>
      <c r="F30" s="1802"/>
      <c r="G30" s="1804">
        <f>'Expenditures 15-22'!K63-SUM('Expenditures 15-22'!G63,'Expenditures 15-22'!I63)+'Expenditures 15-22'!D268-E10</f>
        <v>462484</v>
      </c>
    </row>
    <row r="31" spans="1:9" ht="12" customHeight="1" x14ac:dyDescent="0.2">
      <c r="A31" s="994" t="s">
        <v>101</v>
      </c>
      <c r="B31" s="997"/>
      <c r="C31" s="993">
        <v>2570</v>
      </c>
      <c r="D31" s="1804">
        <f>'Expenditures 15-22'!K64-SUM('Expenditures 15-22'!G64,'Expenditures 15-22'!I64)+'Expenditures 15-22'!D269-E12</f>
        <v>45978</v>
      </c>
      <c r="E31" s="1804">
        <f>E12</f>
        <v>0</v>
      </c>
      <c r="F31" s="1804">
        <f>'Expenditures 15-22'!K64-SUM('Expenditures 15-22'!G64,'Expenditures 15-22'!I64)+'Expenditures 15-22'!D269-E12</f>
        <v>45978</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25000</v>
      </c>
      <c r="F34" s="1802"/>
      <c r="G34" s="1804">
        <f>'Expenditures 15-22'!K68-SUM('Expenditures 15-22'!G68,'Expenditures 15-22'!I68)+'Expenditures 15-22'!D273</f>
        <v>25000</v>
      </c>
    </row>
    <row r="35" spans="1:7" ht="12" customHeight="1" x14ac:dyDescent="0.2">
      <c r="A35" s="994" t="s">
        <v>1061</v>
      </c>
      <c r="B35" s="997"/>
      <c r="C35" s="993">
        <v>2630</v>
      </c>
      <c r="D35" s="1802"/>
      <c r="E35" s="1804">
        <f>'Expenditures 15-22'!K69-SUM('Expenditures 15-22'!G69,'Expenditures 15-22'!I69)+'Expenditures 15-22'!D274</f>
        <v>124928</v>
      </c>
      <c r="F35" s="1802"/>
      <c r="G35" s="1804">
        <f>'Expenditures 15-22'!K69-SUM('Expenditures 15-22'!G69,'Expenditures 15-22'!I69)+'Expenditures 15-22'!D274</f>
        <v>124928</v>
      </c>
    </row>
    <row r="36" spans="1:7" ht="12" customHeight="1" x14ac:dyDescent="0.2">
      <c r="A36" s="994" t="s">
        <v>403</v>
      </c>
      <c r="B36" s="997"/>
      <c r="C36" s="993">
        <v>2640</v>
      </c>
      <c r="D36" s="1804">
        <f>'Expenditures 15-22'!K70-SUM('Expenditures 15-22'!G70,'Expenditures 15-22'!I70)+'Expenditures 15-22'!D275-E13</f>
        <v>151512</v>
      </c>
      <c r="E36" s="1804">
        <f>E13</f>
        <v>0</v>
      </c>
      <c r="F36" s="1804">
        <f>'Expenditures 15-22'!K70-SUM('Expenditures 15-22'!G70,'Expenditures 15-22'!I70)+'Expenditures 15-22'!D275-E13</f>
        <v>151512</v>
      </c>
      <c r="G36" s="1804">
        <f>E13</f>
        <v>0</v>
      </c>
    </row>
    <row r="37" spans="1:7" ht="12" customHeight="1" x14ac:dyDescent="0.2">
      <c r="A37" s="994" t="s">
        <v>404</v>
      </c>
      <c r="B37" s="997"/>
      <c r="C37" s="993">
        <v>2660</v>
      </c>
      <c r="D37" s="1804">
        <f>'Expenditures 15-22'!K71-SUM('Expenditures 15-22'!G71,'Expenditures 15-22'!I71)+'Expenditures 15-22'!D276-E14</f>
        <v>25778</v>
      </c>
      <c r="E37" s="1804">
        <f>E14</f>
        <v>0</v>
      </c>
      <c r="F37" s="1804">
        <f>'Expenditures 15-22'!K71-SUM('Expenditures 15-22'!G71,'Expenditures 15-22'!I71)+'Expenditures 15-22'!D276-E14</f>
        <v>25778</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9679</v>
      </c>
      <c r="F38" s="1802"/>
      <c r="G38" s="1804">
        <f>'Expenditures 15-22'!K73-SUM('Expenditures 15-22'!G73,'Expenditures 15-22'!I73)+'Expenditures 15-22'!K128-SUM('Expenditures 15-22'!G128,'Expenditures 15-22'!I128)+'Expenditures 15-22'!K183-SUM('Expenditures 15-22'!G183,'Expenditures 15-22'!I183)+'Expenditures 15-22'!D278</f>
        <v>9679</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222583</v>
      </c>
      <c r="F39" s="1802"/>
      <c r="G39" s="1804">
        <f>'Expenditures 15-22'!K75-SUM('Expenditures 15-22'!G75,'Expenditures 15-22'!I75)+'Expenditures 15-22'!K130-SUM('Expenditures 15-22'!G130,'Expenditures 15-22'!I130)+'Expenditures 15-22'!K185-SUM('Expenditures 15-22'!G185,'Expenditures 15-22'!I185)+'Expenditures 15-22'!D280</f>
        <v>222583</v>
      </c>
    </row>
    <row r="40" spans="1:7" ht="12" customHeight="1" x14ac:dyDescent="0.2">
      <c r="A40" s="990" t="s">
        <v>1820</v>
      </c>
      <c r="B40" s="991"/>
      <c r="C40" s="993"/>
      <c r="D40" s="1802"/>
      <c r="E40" s="1806">
        <f>-'Contracts Paid in CY 29'!G141</f>
        <v>-2789711</v>
      </c>
      <c r="F40" s="1802"/>
      <c r="G40" s="1806">
        <f>-'Contracts Paid in CY 29'!G141</f>
        <v>-2789711</v>
      </c>
    </row>
    <row r="41" spans="1:7" ht="12" customHeight="1" x14ac:dyDescent="0.2">
      <c r="A41" s="998" t="s">
        <v>156</v>
      </c>
      <c r="B41" s="999"/>
      <c r="C41" s="1000"/>
      <c r="D41" s="1806">
        <f>SUM(D19:D39)</f>
        <v>604078</v>
      </c>
      <c r="E41" s="1806">
        <f>SUM(E19:E40)</f>
        <v>17971772</v>
      </c>
      <c r="F41" s="1806">
        <f>SUM(F19:F39)</f>
        <v>2160137</v>
      </c>
      <c r="G41" s="1806">
        <f>SUM(G19:G40)</f>
        <v>16415713</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604078</v>
      </c>
      <c r="F43" s="1807" t="s">
        <v>473</v>
      </c>
      <c r="G43" s="1808">
        <f>F41</f>
        <v>2160137</v>
      </c>
    </row>
    <row r="44" spans="1:7" ht="12" customHeight="1" x14ac:dyDescent="0.2">
      <c r="A44" s="987"/>
      <c r="B44" s="162"/>
      <c r="C44" s="1001"/>
      <c r="D44" s="1807" t="s">
        <v>474</v>
      </c>
      <c r="E44" s="1808">
        <f>E41</f>
        <v>17971772</v>
      </c>
      <c r="F44" s="1807" t="s">
        <v>474</v>
      </c>
      <c r="G44" s="1808">
        <f>G41</f>
        <v>16415713</v>
      </c>
    </row>
    <row r="45" spans="1:7" ht="12" customHeight="1" x14ac:dyDescent="0.2">
      <c r="A45" s="987"/>
      <c r="B45" s="162"/>
      <c r="C45" s="162"/>
      <c r="D45" s="1809" t="s">
        <v>1006</v>
      </c>
      <c r="E45" s="1810">
        <f>(E43/E44)</f>
        <v>3.3612600916592975E-2</v>
      </c>
      <c r="F45" s="1809" t="s">
        <v>1006</v>
      </c>
      <c r="G45" s="1810">
        <f>(G43/G44)</f>
        <v>0.13158959345841389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F31" sqref="F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1909</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Prospect Heights SD 23</v>
      </c>
      <c r="D6" s="2300"/>
      <c r="E6" s="2300"/>
      <c r="F6" s="1852"/>
    </row>
    <row r="7" spans="1:10" ht="11.25" customHeight="1" thickBot="1" x14ac:dyDescent="0.3">
      <c r="A7" s="1850"/>
      <c r="B7" s="1851"/>
      <c r="C7" s="2301">
        <f>COVER!A13</f>
        <v>5016023002</v>
      </c>
      <c r="D7" s="2301"/>
      <c r="E7" s="2301"/>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2061</v>
      </c>
      <c r="D14" s="1865" t="s">
        <v>2061</v>
      </c>
      <c r="E14" s="1868"/>
      <c r="F14" s="1867" t="s">
        <v>2137</v>
      </c>
      <c r="H14" s="1878">
        <f t="shared" si="0"/>
        <v>5</v>
      </c>
      <c r="I14" s="1878">
        <f t="shared" si="1"/>
        <v>5</v>
      </c>
      <c r="J14" s="1878">
        <f t="shared" si="2"/>
        <v>0</v>
      </c>
    </row>
    <row r="15" spans="1:10" ht="12" customHeight="1" x14ac:dyDescent="0.2">
      <c r="A15" s="1863" t="s">
        <v>1387</v>
      </c>
      <c r="B15" s="1864"/>
      <c r="C15" s="1865" t="s">
        <v>2061</v>
      </c>
      <c r="D15" s="1865" t="s">
        <v>2061</v>
      </c>
      <c r="E15" s="1868"/>
      <c r="F15" s="1867" t="s">
        <v>2138</v>
      </c>
      <c r="H15" s="1878">
        <f t="shared" si="0"/>
        <v>5</v>
      </c>
      <c r="I15" s="1878">
        <f t="shared" si="1"/>
        <v>5</v>
      </c>
      <c r="J15" s="1878">
        <f t="shared" si="2"/>
        <v>0</v>
      </c>
    </row>
    <row r="16" spans="1:10" ht="12" customHeight="1" x14ac:dyDescent="0.2">
      <c r="A16" s="1863" t="s">
        <v>1388</v>
      </c>
      <c r="B16" s="1864"/>
      <c r="C16" s="1865" t="s">
        <v>2061</v>
      </c>
      <c r="D16" s="1865" t="s">
        <v>2061</v>
      </c>
      <c r="E16" s="1868"/>
      <c r="F16" s="1867" t="s">
        <v>2139</v>
      </c>
      <c r="H16" s="1878">
        <f t="shared" si="0"/>
        <v>5</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2061</v>
      </c>
      <c r="D19" s="1865" t="s">
        <v>2061</v>
      </c>
      <c r="E19" s="1868"/>
      <c r="F19" s="1867" t="s">
        <v>2140</v>
      </c>
      <c r="H19" s="1878">
        <f t="shared" si="0"/>
        <v>5</v>
      </c>
      <c r="I19" s="1878">
        <f t="shared" si="1"/>
        <v>5</v>
      </c>
      <c r="J19" s="1878">
        <f t="shared" si="2"/>
        <v>0</v>
      </c>
    </row>
    <row r="20" spans="1:12" ht="12" customHeight="1" x14ac:dyDescent="0.2">
      <c r="A20" s="1863" t="s">
        <v>1528</v>
      </c>
      <c r="B20" s="1864"/>
      <c r="C20" s="1865" t="s">
        <v>2061</v>
      </c>
      <c r="D20" s="1865" t="s">
        <v>2061</v>
      </c>
      <c r="E20" s="1868"/>
      <c r="F20" s="1867" t="s">
        <v>2141</v>
      </c>
      <c r="H20" s="1878">
        <f t="shared" si="0"/>
        <v>5</v>
      </c>
      <c r="I20" s="1878">
        <f t="shared" si="1"/>
        <v>5</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t="s">
        <v>2061</v>
      </c>
      <c r="D23" s="1865" t="s">
        <v>2061</v>
      </c>
      <c r="E23" s="1868"/>
      <c r="F23" s="1867" t="s">
        <v>2142</v>
      </c>
      <c r="H23" s="1878">
        <f t="shared" si="0"/>
        <v>5</v>
      </c>
      <c r="I23" s="1878">
        <f t="shared" si="1"/>
        <v>5</v>
      </c>
      <c r="J23" s="1878">
        <f t="shared" si="2"/>
        <v>0</v>
      </c>
    </row>
    <row r="24" spans="1:12" ht="12" customHeight="1" x14ac:dyDescent="0.2">
      <c r="A24" s="1863" t="s">
        <v>1532</v>
      </c>
      <c r="B24" s="1864"/>
      <c r="C24" s="1865" t="s">
        <v>2061</v>
      </c>
      <c r="D24" s="1865" t="s">
        <v>2061</v>
      </c>
      <c r="E24" s="1868"/>
      <c r="F24" s="1867" t="s">
        <v>2142</v>
      </c>
      <c r="H24" s="1878">
        <f t="shared" si="0"/>
        <v>5</v>
      </c>
      <c r="I24" s="1878">
        <f t="shared" si="1"/>
        <v>5</v>
      </c>
      <c r="J24" s="1878">
        <f t="shared" si="2"/>
        <v>0</v>
      </c>
    </row>
    <row r="25" spans="1:12" ht="12" customHeight="1" x14ac:dyDescent="0.2">
      <c r="A25" s="1863" t="s">
        <v>1533</v>
      </c>
      <c r="B25" s="1864"/>
      <c r="C25" s="1865" t="s">
        <v>2061</v>
      </c>
      <c r="D25" s="1865" t="s">
        <v>2061</v>
      </c>
      <c r="E25" s="1868"/>
      <c r="F25" s="1867" t="s">
        <v>2143</v>
      </c>
      <c r="H25" s="1878">
        <f t="shared" si="0"/>
        <v>5</v>
      </c>
      <c r="I25" s="1878">
        <f t="shared" si="1"/>
        <v>5</v>
      </c>
      <c r="J25" s="1878">
        <f t="shared" si="2"/>
        <v>0</v>
      </c>
    </row>
    <row r="26" spans="1:12" ht="12" customHeight="1" x14ac:dyDescent="0.2">
      <c r="A26" s="1863" t="s">
        <v>1534</v>
      </c>
      <c r="B26" s="1864"/>
      <c r="C26" s="1865" t="s">
        <v>2061</v>
      </c>
      <c r="D26" s="1865" t="s">
        <v>2061</v>
      </c>
      <c r="E26" s="1868"/>
      <c r="F26" s="1867" t="s">
        <v>2142</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2061</v>
      </c>
      <c r="D30" s="1865" t="s">
        <v>2061</v>
      </c>
      <c r="E30" s="1868"/>
      <c r="F30" s="1867" t="s">
        <v>2144</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50</v>
      </c>
      <c r="I34" s="1878">
        <f>SUM(I11:I32)</f>
        <v>50</v>
      </c>
      <c r="J34" s="1878">
        <f>SUM(J11:J32)</f>
        <v>0</v>
      </c>
      <c r="K34" s="1878">
        <f>SUM(H34:J34)</f>
        <v>100</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Prospect Heights SD 23</v>
      </c>
      <c r="J6" s="2321"/>
      <c r="Q6" s="1664"/>
    </row>
    <row r="7" spans="1:17" x14ac:dyDescent="0.2">
      <c r="A7" s="2322" t="s">
        <v>869</v>
      </c>
      <c r="B7" s="2323"/>
      <c r="C7" s="2323"/>
      <c r="D7" s="2323"/>
      <c r="E7" s="2324"/>
      <c r="F7" s="1017"/>
      <c r="G7" s="1009"/>
      <c r="H7" s="1016" t="s">
        <v>372</v>
      </c>
      <c r="I7" s="2325">
        <f>COVER!A13</f>
        <v>5016023002</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346056</v>
      </c>
      <c r="F12" s="1039"/>
      <c r="G12" s="1811">
        <f t="shared" ref="G12:G18" si="0">SUM(E12:F12)</f>
        <v>346056</v>
      </c>
      <c r="H12" s="1040">
        <v>335305</v>
      </c>
      <c r="I12" s="1039"/>
      <c r="J12" s="1811">
        <f t="shared" ref="J12:J18" si="1">SUM(H12:I12)</f>
        <v>335305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163738</v>
      </c>
      <c r="F15" s="1811">
        <f>'Expenditures 15-22'!K122</f>
        <v>0</v>
      </c>
      <c r="G15" s="1811">
        <f t="shared" si="0"/>
        <v>163738</v>
      </c>
      <c r="H15" s="1040">
        <v>176144</v>
      </c>
      <c r="I15" s="1040"/>
      <c r="J15" s="1811">
        <f t="shared" si="1"/>
        <v>176144</v>
      </c>
    </row>
    <row r="16" spans="1:17" ht="15" customHeight="1" x14ac:dyDescent="0.2">
      <c r="A16" s="1035">
        <v>5</v>
      </c>
      <c r="B16" s="1036" t="s">
        <v>101</v>
      </c>
      <c r="C16" s="1037"/>
      <c r="D16" s="1038">
        <v>2570</v>
      </c>
      <c r="E16" s="1811">
        <f>'Expenditures 15-22'!K64</f>
        <v>45978</v>
      </c>
      <c r="F16" s="1039"/>
      <c r="G16" s="1811">
        <f t="shared" si="0"/>
        <v>45978</v>
      </c>
      <c r="H16" s="1040">
        <v>31000</v>
      </c>
      <c r="I16" s="1039"/>
      <c r="J16" s="1811">
        <f t="shared" si="1"/>
        <v>31000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555772</v>
      </c>
      <c r="F19" s="1813">
        <f t="shared" si="2"/>
        <v>0</v>
      </c>
      <c r="G19" s="1813">
        <f t="shared" si="2"/>
        <v>555772</v>
      </c>
      <c r="H19" s="1813">
        <f t="shared" si="2"/>
        <v>542449</v>
      </c>
      <c r="I19" s="1813">
        <f t="shared" si="2"/>
        <v>0</v>
      </c>
      <c r="J19" s="1813">
        <f t="shared" si="2"/>
        <v>542449</v>
      </c>
    </row>
    <row r="20" spans="1:10" ht="13.5" thickTop="1" x14ac:dyDescent="0.2">
      <c r="A20" s="1035">
        <v>9</v>
      </c>
      <c r="B20" s="2332" t="s">
        <v>1978</v>
      </c>
      <c r="C20" s="2332"/>
      <c r="D20" s="2333"/>
      <c r="E20" s="1046"/>
      <c r="F20" s="1046"/>
      <c r="G20" s="1046"/>
      <c r="H20" s="1046"/>
      <c r="I20" s="1046"/>
      <c r="J20" s="1814">
        <f>IF(AND(G19&gt;0,J19&gt;0),(((J19-G19)/G19)),"Enter Budget Data")</f>
        <v>-2.3972060485234953E-2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1980</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8" sqref="B1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2135</v>
      </c>
    </row>
    <row r="6" spans="1:2" x14ac:dyDescent="0.2">
      <c r="A6" s="1068">
        <v>2</v>
      </c>
      <c r="B6" s="329" t="s">
        <v>2136</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Prospect Heights SD 23</v>
      </c>
    </row>
    <row r="65" spans="2:2" x14ac:dyDescent="0.2">
      <c r="B65" s="1070">
        <f>COVER!A13</f>
        <v>5016023002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76200</xdr:colOff>
                <xdr:row>1</xdr:row>
                <xdr:rowOff>142875</xdr:rowOff>
              </from>
              <to>
                <xdr:col>1</xdr:col>
                <xdr:colOff>990600</xdr:colOff>
                <xdr:row>6</xdr:row>
                <xdr:rowOff>19050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1200150</xdr:colOff>
                <xdr:row>1</xdr:row>
                <xdr:rowOff>161925</xdr:rowOff>
              </from>
              <to>
                <xdr:col>1</xdr:col>
                <xdr:colOff>2114550</xdr:colOff>
                <xdr:row>6</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2343150</xdr:colOff>
                <xdr:row>1</xdr:row>
                <xdr:rowOff>161925</xdr:rowOff>
              </from>
              <to>
                <xdr:col>1</xdr:col>
                <xdr:colOff>3257550</xdr:colOff>
                <xdr:row>6</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1984</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1985</v>
      </c>
      <c r="B4" s="2360"/>
      <c r="C4" s="2360"/>
      <c r="D4" s="2360"/>
      <c r="E4" s="2360"/>
      <c r="F4" s="2361"/>
      <c r="G4" s="1074"/>
      <c r="H4" s="1074"/>
    </row>
    <row r="5" spans="1:8" ht="14.25" customHeight="1" x14ac:dyDescent="0.2">
      <c r="A5" s="2362" t="s">
        <v>1981</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17896643</v>
      </c>
      <c r="C8" s="1815">
        <f>'Acct Summary 7-8'!D8</f>
        <v>1726574</v>
      </c>
      <c r="D8" s="1815">
        <f>'Acct Summary 7-8'!F8</f>
        <v>1799203</v>
      </c>
      <c r="E8" s="1815">
        <f>'Acct Summary 7-8'!I8</f>
        <v>156533</v>
      </c>
      <c r="F8" s="1815">
        <f>SUM(B8:E8)</f>
        <v>21578953</v>
      </c>
    </row>
    <row r="9" spans="1:8" s="1079" customFormat="1" ht="14.25" customHeight="1" thickBot="1" x14ac:dyDescent="0.25">
      <c r="A9" s="1078" t="s">
        <v>1369</v>
      </c>
      <c r="B9" s="1816">
        <f>'Acct Summary 7-8'!C17</f>
        <v>18447047</v>
      </c>
      <c r="C9" s="1816">
        <f>'Acct Summary 7-8'!D17</f>
        <v>1576387</v>
      </c>
      <c r="D9" s="1816">
        <f>'Acct Summary 7-8'!F17</f>
        <v>1577652</v>
      </c>
      <c r="E9" s="1815"/>
      <c r="F9" s="1815">
        <f>SUM(B9:E9)</f>
        <v>21601086</v>
      </c>
    </row>
    <row r="10" spans="1:8" s="1079" customFormat="1" ht="14.25" thickTop="1" thickBot="1" x14ac:dyDescent="0.25">
      <c r="A10" s="1080" t="s">
        <v>1370</v>
      </c>
      <c r="B10" s="1817">
        <f>(B8-B9)</f>
        <v>-550404</v>
      </c>
      <c r="C10" s="1817">
        <f>(C8-C9)</f>
        <v>150187</v>
      </c>
      <c r="D10" s="1817">
        <f>(D8-D9)</f>
        <v>221551</v>
      </c>
      <c r="E10" s="1816">
        <f>(E8-E9)</f>
        <v>156533</v>
      </c>
      <c r="F10" s="1818">
        <f>SUM(F8-F9)</f>
        <v>-22133</v>
      </c>
    </row>
    <row r="11" spans="1:8" s="1079" customFormat="1" ht="14.25" thickTop="1" thickBot="1" x14ac:dyDescent="0.25">
      <c r="A11" s="1081" t="s">
        <v>1982</v>
      </c>
      <c r="B11" s="1819">
        <f>'Acct Summary 7-8'!C81</f>
        <v>5464236</v>
      </c>
      <c r="C11" s="1819">
        <f>'Acct Summary 7-8'!D81</f>
        <v>901259</v>
      </c>
      <c r="D11" s="1819">
        <f>'Acct Summary 7-8'!F81</f>
        <v>1072904</v>
      </c>
      <c r="E11" s="1819">
        <f>'Acct Summary 7-8'!I81</f>
        <v>160511</v>
      </c>
      <c r="F11" s="1820">
        <f>SUM(B11:E11)</f>
        <v>7598910</v>
      </c>
    </row>
    <row r="12" spans="1:8" ht="16.5" customHeight="1" thickTop="1" x14ac:dyDescent="0.2">
      <c r="A12" s="1082"/>
      <c r="B12" s="1083"/>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2" colorId="8" zoomScale="110" zoomScaleNormal="110" workbookViewId="0">
      <selection activeCell="C82" sqref="C8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ERROR!</v>
      </c>
    </row>
    <row r="69" spans="1:4" x14ac:dyDescent="0.2">
      <c r="A69" s="1100"/>
      <c r="B69" s="1110"/>
      <c r="C69" s="1102" t="s">
        <v>1913</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5016023002</v>
      </c>
    </row>
    <row r="3" spans="1:2" x14ac:dyDescent="0.2">
      <c r="A3" t="s">
        <v>956</v>
      </c>
      <c r="B3" s="138" t="str">
        <f>COVER!A15</f>
        <v>Cook</v>
      </c>
    </row>
    <row r="4" spans="1:2" x14ac:dyDescent="0.2">
      <c r="A4" t="s">
        <v>1007</v>
      </c>
      <c r="B4" s="138" t="str">
        <f>COVER!A17</f>
        <v>Prospect Heights SD 23</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066-005340</v>
      </c>
    </row>
    <row r="16" spans="1:2" x14ac:dyDescent="0.2">
      <c r="A16" t="s">
        <v>422</v>
      </c>
      <c r="B16" s="138" t="str">
        <f>COVER!T13</f>
        <v>Evans, Marshall and Pease, PC</v>
      </c>
    </row>
    <row r="17" spans="1:2" x14ac:dyDescent="0.2">
      <c r="A17" t="s">
        <v>884</v>
      </c>
      <c r="B17" s="138" t="str">
        <f>COVER!T15</f>
        <v>Jeffery M. Rollefson, CPA</v>
      </c>
    </row>
    <row r="18" spans="1:2" x14ac:dyDescent="0.2">
      <c r="A18" t="s">
        <v>1150</v>
      </c>
      <c r="B18" s="138" t="str">
        <f>COVER!T17</f>
        <v>1875 Hicks Road</v>
      </c>
    </row>
    <row r="19" spans="1:2" x14ac:dyDescent="0.2">
      <c r="A19" t="s">
        <v>886</v>
      </c>
      <c r="B19" s="138" t="str">
        <f>COVER!T25</f>
        <v>jeff@empcpa.com</v>
      </c>
    </row>
    <row r="20" spans="1:2" x14ac:dyDescent="0.2">
      <c r="A20" t="s">
        <v>887</v>
      </c>
      <c r="B20" s="138" t="str">
        <f>COVER!T19</f>
        <v>Rolling Meadows</v>
      </c>
    </row>
    <row r="21" spans="1:2" x14ac:dyDescent="0.2">
      <c r="A21" t="s">
        <v>479</v>
      </c>
      <c r="B21" s="138" t="str">
        <f>COVER!X19</f>
        <v>Illinois</v>
      </c>
    </row>
    <row r="22" spans="1:2" x14ac:dyDescent="0.2">
      <c r="A22" t="s">
        <v>888</v>
      </c>
      <c r="B22" s="138">
        <f>COVER!Z19</f>
        <v>60008</v>
      </c>
    </row>
    <row r="23" spans="1:2" x14ac:dyDescent="0.2">
      <c r="A23" t="s">
        <v>1152</v>
      </c>
      <c r="B23" s="138" t="str">
        <f>COVER!T21</f>
        <v>847-221-5700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5595136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130900</v>
      </c>
      <c r="C91" s="2" t="s">
        <v>573</v>
      </c>
      <c r="D91" s="2" t="str">
        <f t="shared" si="0"/>
        <v>Error?</v>
      </c>
    </row>
    <row r="92" spans="1:4" x14ac:dyDescent="0.2">
      <c r="A92" s="5">
        <v>31</v>
      </c>
      <c r="B92" s="138">
        <f>'Assets-Liab 5-6'!C39</f>
        <v>5464236</v>
      </c>
      <c r="D92" s="2" t="str">
        <f t="shared" si="0"/>
        <v>Error?</v>
      </c>
    </row>
    <row r="93" spans="1:4" x14ac:dyDescent="0.2">
      <c r="A93" s="5">
        <v>32</v>
      </c>
      <c r="B93" s="138">
        <f>'Assets-Liab 5-6'!C41</f>
        <v>5595136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900086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-1173</v>
      </c>
      <c r="C122" s="2" t="s">
        <v>573</v>
      </c>
      <c r="D122" s="2" t="str">
        <f t="shared" si="0"/>
        <v>Error?</v>
      </c>
    </row>
    <row r="123" spans="1:4" x14ac:dyDescent="0.2">
      <c r="A123" s="5">
        <v>62</v>
      </c>
      <c r="B123" s="138">
        <f>'Assets-Liab 5-6'!D39</f>
        <v>901259</v>
      </c>
      <c r="D123" s="2" t="str">
        <f t="shared" si="0"/>
        <v>Error?</v>
      </c>
    </row>
    <row r="124" spans="1:4" x14ac:dyDescent="0.2">
      <c r="A124" s="5">
        <v>63</v>
      </c>
      <c r="B124" s="138">
        <f>'Assets-Liab 5-6'!D41</f>
        <v>900086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505273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505273</v>
      </c>
      <c r="D140" s="2" t="str">
        <f t="shared" si="1"/>
        <v>Error?</v>
      </c>
    </row>
    <row r="141" spans="1:4" x14ac:dyDescent="0.2">
      <c r="A141" s="5">
        <v>80</v>
      </c>
      <c r="B141" s="138">
        <f>'Assets-Liab 5-6'!E41</f>
        <v>505273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1072940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36</v>
      </c>
      <c r="C169" s="2" t="s">
        <v>573</v>
      </c>
      <c r="D169" s="2" t="str">
        <f t="shared" si="1"/>
        <v>Error?</v>
      </c>
    </row>
    <row r="170" spans="1:4" x14ac:dyDescent="0.2">
      <c r="A170" s="5">
        <v>109</v>
      </c>
      <c r="B170" s="138">
        <f>'Assets-Liab 5-6'!F39</f>
        <v>1072904</v>
      </c>
      <c r="D170" s="2" t="str">
        <f t="shared" si="1"/>
        <v>Error?</v>
      </c>
    </row>
    <row r="171" spans="1:4" x14ac:dyDescent="0.2">
      <c r="A171" s="5">
        <v>110</v>
      </c>
      <c r="B171" s="138">
        <f>'Assets-Liab 5-6'!F41</f>
        <v>1072940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88631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88631</v>
      </c>
      <c r="D189" s="2" t="str">
        <f t="shared" si="1"/>
        <v>Error?</v>
      </c>
    </row>
    <row r="190" spans="1:4" x14ac:dyDescent="0.2">
      <c r="A190" s="5">
        <v>129</v>
      </c>
      <c r="B190" s="138">
        <f>'Assets-Liab 5-6'!G41</f>
        <v>88631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3388514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3388514</v>
      </c>
      <c r="D212" s="2" t="str">
        <f t="shared" si="2"/>
        <v>Error?</v>
      </c>
    </row>
    <row r="213" spans="1:4" x14ac:dyDescent="0.2">
      <c r="A213" s="12">
        <v>152</v>
      </c>
      <c r="B213" s="138">
        <f>'Assets-Liab 5-6'!H41</f>
        <v>3388514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405938</v>
      </c>
      <c r="D273" s="2" t="str">
        <f t="shared" si="3"/>
        <v>Error?</v>
      </c>
    </row>
    <row r="274" spans="1:4" x14ac:dyDescent="0.2">
      <c r="A274" s="5">
        <v>213</v>
      </c>
      <c r="B274" s="138">
        <f>'Assets-Liab 5-6'!M17</f>
        <v>19754348</v>
      </c>
      <c r="D274" s="2" t="str">
        <f t="shared" si="3"/>
        <v>Error?</v>
      </c>
    </row>
    <row r="275" spans="1:4" x14ac:dyDescent="0.2">
      <c r="A275" s="5">
        <v>214</v>
      </c>
      <c r="B275" s="138">
        <f>'Assets-Liab 5-6'!M18</f>
        <v>795209</v>
      </c>
      <c r="D275" s="2" t="str">
        <f t="shared" si="3"/>
        <v>Error?</v>
      </c>
    </row>
    <row r="276" spans="1:4" x14ac:dyDescent="0.2">
      <c r="A276" s="5">
        <v>215</v>
      </c>
      <c r="B276" s="138">
        <f>'Assets-Liab 5-6'!M19</f>
        <v>2712377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23793336</v>
      </c>
      <c r="C279" s="2" t="s">
        <v>573</v>
      </c>
      <c r="D279" s="2" t="str">
        <f t="shared" si="3"/>
        <v>Error?</v>
      </c>
    </row>
    <row r="280" spans="1:4" x14ac:dyDescent="0.2">
      <c r="A280" s="5">
        <v>219</v>
      </c>
      <c r="B280" s="138">
        <f>'Assets-Liab 5-6'!M40</f>
        <v>23793336</v>
      </c>
      <c r="D280" s="2" t="str">
        <f t="shared" si="3"/>
        <v>Error?</v>
      </c>
    </row>
    <row r="281" spans="1:4" x14ac:dyDescent="0.2">
      <c r="A281" s="5">
        <v>220</v>
      </c>
      <c r="B281" s="138">
        <f>'Assets-Liab 5-6'!M41</f>
        <v>23793336</v>
      </c>
      <c r="C281" s="2" t="s">
        <v>573</v>
      </c>
      <c r="D281" s="2" t="str">
        <f t="shared" si="3"/>
        <v>Error?</v>
      </c>
    </row>
    <row r="282" spans="1:4" x14ac:dyDescent="0.2">
      <c r="A282" s="5">
        <v>221</v>
      </c>
      <c r="B282" s="138">
        <f>'Assets-Liab 5-6'!N21</f>
        <v>505273</v>
      </c>
      <c r="D282" s="2" t="str">
        <f t="shared" si="3"/>
        <v>Error?</v>
      </c>
    </row>
    <row r="283" spans="1:4" x14ac:dyDescent="0.2">
      <c r="A283" s="5">
        <v>222</v>
      </c>
      <c r="B283" s="138">
        <f>'Assets-Liab 5-6'!N22</f>
        <v>9239532</v>
      </c>
      <c r="D283" s="2" t="str">
        <f t="shared" si="3"/>
        <v>Error?</v>
      </c>
    </row>
    <row r="284" spans="1:4" x14ac:dyDescent="0.2">
      <c r="A284" s="5">
        <v>223</v>
      </c>
      <c r="B284" s="138">
        <f>'Assets-Liab 5-6'!N23</f>
        <v>9744805</v>
      </c>
      <c r="C284" s="2" t="s">
        <v>573</v>
      </c>
      <c r="D284" s="2" t="str">
        <f t="shared" si="3"/>
        <v>Error?</v>
      </c>
    </row>
    <row r="285" spans="1:4" x14ac:dyDescent="0.2">
      <c r="A285" s="5">
        <v>224</v>
      </c>
      <c r="B285" s="138">
        <f>'Assets-Liab 5-6'!N36</f>
        <v>9744805</v>
      </c>
      <c r="D285" s="2" t="str">
        <f t="shared" si="3"/>
        <v>Error?</v>
      </c>
    </row>
    <row r="286" spans="1:4" x14ac:dyDescent="0.2">
      <c r="A286" s="10">
        <v>225</v>
      </c>
      <c r="D286" s="2" t="str">
        <f t="shared" si="3"/>
        <v>OK</v>
      </c>
    </row>
    <row r="287" spans="1:4" x14ac:dyDescent="0.2">
      <c r="A287" s="5">
        <v>226</v>
      </c>
      <c r="B287" s="138">
        <f>'Assets-Liab 5-6'!N37</f>
        <v>9744805</v>
      </c>
      <c r="C287" s="2" t="s">
        <v>573</v>
      </c>
      <c r="D287" s="2" t="str">
        <f t="shared" si="3"/>
        <v>Error?</v>
      </c>
    </row>
    <row r="288" spans="1:4" x14ac:dyDescent="0.2">
      <c r="A288" s="5">
        <v>227</v>
      </c>
      <c r="B288" s="138">
        <f>'Assets-Liab 5-6'!N41</f>
        <v>9744805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44615</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2775000</v>
      </c>
      <c r="D651" s="2" t="str">
        <f t="shared" si="9"/>
        <v>Error?</v>
      </c>
    </row>
    <row r="652" spans="1:4" x14ac:dyDescent="0.2">
      <c r="A652" s="5">
        <v>591</v>
      </c>
      <c r="B652" s="138">
        <f>'Acct Summary 7-8'!I34</f>
        <v>225000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5651576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587004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96652</v>
      </c>
      <c r="D717" s="2" t="str">
        <f t="shared" si="10"/>
        <v>Error?</v>
      </c>
    </row>
    <row r="718" spans="1:4" x14ac:dyDescent="0.2">
      <c r="A718" s="5">
        <v>657</v>
      </c>
      <c r="B718" s="138">
        <f>'Expenditures 15-22'!C14</f>
        <v>141605</v>
      </c>
      <c r="D718" s="2" t="str">
        <f t="shared" si="10"/>
        <v>Error?</v>
      </c>
    </row>
    <row r="719" spans="1:4" x14ac:dyDescent="0.2">
      <c r="A719" s="5">
        <v>658</v>
      </c>
      <c r="B719" s="138">
        <f>'Expenditures 15-22'!C15</f>
        <v>79590</v>
      </c>
      <c r="D719" s="2" t="str">
        <f t="shared" si="10"/>
        <v>Error?</v>
      </c>
    </row>
    <row r="720" spans="1:4" x14ac:dyDescent="0.2">
      <c r="A720" s="5">
        <v>659</v>
      </c>
      <c r="B720" s="138">
        <f>'Expenditures 15-22'!C33</f>
        <v>8644960</v>
      </c>
      <c r="C720" s="2" t="s">
        <v>573</v>
      </c>
      <c r="D720" s="2" t="str">
        <f t="shared" si="10"/>
        <v>Error?</v>
      </c>
    </row>
    <row r="721" spans="1:4" x14ac:dyDescent="0.2">
      <c r="A721" s="5">
        <v>660</v>
      </c>
      <c r="B721" s="138">
        <f>'Expenditures 15-22'!C36</f>
        <v>303091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506717</v>
      </c>
      <c r="D723" s="2" t="str">
        <f t="shared" si="10"/>
        <v>Error?</v>
      </c>
    </row>
    <row r="724" spans="1:4" x14ac:dyDescent="0.2">
      <c r="A724" s="5">
        <v>663</v>
      </c>
      <c r="B724" s="138">
        <f>'Expenditures 15-22'!C39</f>
        <v>270347</v>
      </c>
      <c r="D724" s="2" t="str">
        <f t="shared" si="10"/>
        <v>Error?</v>
      </c>
    </row>
    <row r="725" spans="1:4" x14ac:dyDescent="0.2">
      <c r="A725" s="5">
        <v>664</v>
      </c>
      <c r="B725" s="138">
        <f>'Expenditures 15-22'!C40</f>
        <v>432121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1512276</v>
      </c>
      <c r="C727" s="2" t="s">
        <v>573</v>
      </c>
      <c r="D727" s="2" t="str">
        <f t="shared" si="10"/>
        <v>Error?</v>
      </c>
    </row>
    <row r="728" spans="1:4" x14ac:dyDescent="0.2">
      <c r="A728" s="5">
        <v>667</v>
      </c>
      <c r="B728" s="138">
        <f>'Expenditures 15-22'!C44</f>
        <v>407874</v>
      </c>
      <c r="D728" s="2" t="str">
        <f t="shared" si="10"/>
        <v>Error?</v>
      </c>
    </row>
    <row r="729" spans="1:4" x14ac:dyDescent="0.2">
      <c r="A729" s="5">
        <v>668</v>
      </c>
      <c r="B729" s="138">
        <f>'Expenditures 15-22'!C45</f>
        <v>794012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1201886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262567</v>
      </c>
      <c r="D733" s="2" t="str">
        <f t="shared" si="10"/>
        <v>Error?</v>
      </c>
    </row>
    <row r="734" spans="1:4" x14ac:dyDescent="0.2">
      <c r="A734" s="5">
        <v>673</v>
      </c>
      <c r="B734" s="138">
        <f>'Expenditures 15-22'!C53</f>
        <v>262567</v>
      </c>
      <c r="C734" s="2" t="s">
        <v>573</v>
      </c>
      <c r="D734" s="2" t="str">
        <f t="shared" si="10"/>
        <v>Error?</v>
      </c>
    </row>
    <row r="735" spans="1:4" x14ac:dyDescent="0.2">
      <c r="A735" s="5">
        <v>674</v>
      </c>
      <c r="B735" s="138">
        <f>'Expenditures 15-22'!C55</f>
        <v>854625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854625</v>
      </c>
      <c r="C737" s="2" t="s">
        <v>573</v>
      </c>
      <c r="D737" s="2" t="str">
        <f t="shared" si="10"/>
        <v>Error?</v>
      </c>
    </row>
    <row r="738" spans="1:4" x14ac:dyDescent="0.2">
      <c r="A738" s="5">
        <v>677</v>
      </c>
      <c r="B738" s="138">
        <f>'Expenditures 15-22'!C59</f>
        <v>140425</v>
      </c>
      <c r="D738" s="2" t="str">
        <f t="shared" si="10"/>
        <v>Error?</v>
      </c>
    </row>
    <row r="739" spans="1:4" x14ac:dyDescent="0.2">
      <c r="A739" s="5">
        <v>678</v>
      </c>
      <c r="B739" s="138">
        <f>'Expenditures 15-22'!C60</f>
        <v>108157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78754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327336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81786</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81786</v>
      </c>
      <c r="C753" s="2" t="s">
        <v>573</v>
      </c>
      <c r="D753" s="2" t="str">
        <f t="shared" si="10"/>
        <v>Error?</v>
      </c>
    </row>
    <row r="754" spans="1:4" x14ac:dyDescent="0.2">
      <c r="A754" s="5">
        <v>693</v>
      </c>
      <c r="B754" s="138">
        <f>'Expenditures 15-22'!C73</f>
        <v>763</v>
      </c>
      <c r="D754" s="2" t="str">
        <f t="shared" si="10"/>
        <v>Error?</v>
      </c>
    </row>
    <row r="755" spans="1:4" x14ac:dyDescent="0.2">
      <c r="A755" s="5">
        <v>694</v>
      </c>
      <c r="B755" s="138">
        <f>'Expenditures 15-22'!C74</f>
        <v>4241239</v>
      </c>
      <c r="C755" s="2" t="s">
        <v>573</v>
      </c>
      <c r="D755" s="2" t="str">
        <f t="shared" si="10"/>
        <v>Error?</v>
      </c>
    </row>
    <row r="756" spans="1:4" x14ac:dyDescent="0.2">
      <c r="A756" s="5">
        <v>695</v>
      </c>
      <c r="B756" s="138">
        <f>'Expenditures 15-22'!C75</f>
        <v>151418</v>
      </c>
      <c r="D756" s="2" t="str">
        <f t="shared" si="10"/>
        <v>Error?</v>
      </c>
    </row>
    <row r="757" spans="1:4" x14ac:dyDescent="0.2">
      <c r="A757" s="5">
        <v>696</v>
      </c>
      <c r="B757" s="138">
        <f>'Expenditures 15-22'!C114</f>
        <v>13037617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1029953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85132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16091</v>
      </c>
      <c r="D775" s="2" t="str">
        <f t="shared" si="11"/>
        <v>Error?</v>
      </c>
    </row>
    <row r="776" spans="1:4" x14ac:dyDescent="0.2">
      <c r="A776" s="5">
        <v>715</v>
      </c>
      <c r="B776" s="138">
        <f>'Expenditures 15-22'!D14</f>
        <v>4618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1706219</v>
      </c>
      <c r="C778" s="2" t="s">
        <v>573</v>
      </c>
      <c r="D778" s="2" t="str">
        <f t="shared" si="11"/>
        <v>Error?</v>
      </c>
    </row>
    <row r="779" spans="1:4" x14ac:dyDescent="0.2">
      <c r="A779" s="5">
        <v>718</v>
      </c>
      <c r="B779" s="138">
        <f>'Expenditures 15-22'!D36</f>
        <v>46713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129404</v>
      </c>
      <c r="D781" s="2" t="str">
        <f t="shared" si="11"/>
        <v>Error?</v>
      </c>
    </row>
    <row r="782" spans="1:4" x14ac:dyDescent="0.2">
      <c r="A782" s="5">
        <v>721</v>
      </c>
      <c r="B782" s="138">
        <f>'Expenditures 15-22'!D39</f>
        <v>39960</v>
      </c>
      <c r="D782" s="2" t="str">
        <f t="shared" si="11"/>
        <v>Error?</v>
      </c>
    </row>
    <row r="783" spans="1:4" x14ac:dyDescent="0.2">
      <c r="A783" s="5">
        <v>722</v>
      </c>
      <c r="B783" s="138">
        <f>'Expenditures 15-22'!D40</f>
        <v>59638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275715</v>
      </c>
      <c r="C785" s="2" t="s">
        <v>573</v>
      </c>
      <c r="D785" s="2" t="str">
        <f t="shared" si="11"/>
        <v>Error?</v>
      </c>
    </row>
    <row r="786" spans="1:4" x14ac:dyDescent="0.2">
      <c r="A786" s="5">
        <v>725</v>
      </c>
      <c r="B786" s="138">
        <f>'Expenditures 15-22'!D44</f>
        <v>62161</v>
      </c>
      <c r="D786" s="2" t="str">
        <f t="shared" si="11"/>
        <v>Error?</v>
      </c>
    </row>
    <row r="787" spans="1:4" x14ac:dyDescent="0.2">
      <c r="A787" s="5">
        <v>726</v>
      </c>
      <c r="B787" s="138">
        <f>'Expenditures 15-22'!D45</f>
        <v>177276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239437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71381</v>
      </c>
      <c r="D791" s="2" t="str">
        <f t="shared" si="11"/>
        <v>Error?</v>
      </c>
    </row>
    <row r="792" spans="1:4" x14ac:dyDescent="0.2">
      <c r="A792" s="5">
        <v>731</v>
      </c>
      <c r="B792" s="138">
        <f>'Expenditures 15-22'!D53</f>
        <v>71381</v>
      </c>
      <c r="C792" s="2" t="s">
        <v>573</v>
      </c>
      <c r="D792" s="2" t="str">
        <f t="shared" si="11"/>
        <v>Error?</v>
      </c>
    </row>
    <row r="793" spans="1:4" x14ac:dyDescent="0.2">
      <c r="A793" s="5">
        <v>732</v>
      </c>
      <c r="B793" s="138">
        <f>'Expenditures 15-22'!D55</f>
        <v>230554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230554</v>
      </c>
      <c r="C795" s="2" t="s">
        <v>573</v>
      </c>
      <c r="D795" s="2" t="str">
        <f t="shared" si="11"/>
        <v>Error?</v>
      </c>
    </row>
    <row r="796" spans="1:4" x14ac:dyDescent="0.2">
      <c r="A796" s="5">
        <v>735</v>
      </c>
      <c r="B796" s="138">
        <f>'Expenditures 15-22'!D59</f>
        <v>18324</v>
      </c>
      <c r="D796" s="2" t="str">
        <f t="shared" si="11"/>
        <v>Error?</v>
      </c>
    </row>
    <row r="797" spans="1:4" x14ac:dyDescent="0.2">
      <c r="A797" s="5">
        <v>736</v>
      </c>
      <c r="B797" s="138">
        <f>'Expenditures 15-22'!D60</f>
        <v>41857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60183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26341</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26341</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903611</v>
      </c>
      <c r="C813" s="2" t="s">
        <v>573</v>
      </c>
      <c r="D813" s="2" t="str">
        <f t="shared" si="11"/>
        <v>Error?</v>
      </c>
    </row>
    <row r="814" spans="1:4" x14ac:dyDescent="0.2">
      <c r="A814" s="5">
        <v>753</v>
      </c>
      <c r="B814" s="138">
        <f>'Expenditures 15-22'!D75</f>
        <v>9142</v>
      </c>
      <c r="D814" s="2" t="str">
        <f t="shared" si="11"/>
        <v>Error?</v>
      </c>
    </row>
    <row r="815" spans="1:4" x14ac:dyDescent="0.2">
      <c r="A815" s="5">
        <v>754</v>
      </c>
      <c r="B815" s="138">
        <f>'Expenditures 15-22'!D114</f>
        <v>2618972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35350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1079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6505</v>
      </c>
      <c r="D835" s="2" t="str">
        <f t="shared" si="12"/>
        <v>Error?</v>
      </c>
    </row>
    <row r="836" spans="1:4" x14ac:dyDescent="0.2">
      <c r="A836" s="5">
        <v>775</v>
      </c>
      <c r="B836" s="138">
        <f>'Expenditures 15-22'!E33</f>
        <v>74924</v>
      </c>
      <c r="C836" s="2" t="s">
        <v>573</v>
      </c>
      <c r="D836" s="2" t="str">
        <f t="shared" si="12"/>
        <v>Error?</v>
      </c>
    </row>
    <row r="837" spans="1:4" x14ac:dyDescent="0.2">
      <c r="A837" s="5">
        <v>776</v>
      </c>
      <c r="B837" s="138">
        <f>'Expenditures 15-22'!E36</f>
        <v>26938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34887</v>
      </c>
      <c r="D839" s="2" t="str">
        <f t="shared" si="12"/>
        <v>Error?</v>
      </c>
    </row>
    <row r="840" spans="1:4" x14ac:dyDescent="0.2">
      <c r="A840" s="5">
        <v>779</v>
      </c>
      <c r="B840" s="138">
        <f>'Expenditures 15-22'!E39</f>
        <v>48419</v>
      </c>
      <c r="D840" s="2" t="str">
        <f t="shared" si="12"/>
        <v>Error?</v>
      </c>
    </row>
    <row r="841" spans="1:4" x14ac:dyDescent="0.2">
      <c r="A841" s="5">
        <v>780</v>
      </c>
      <c r="B841" s="138">
        <f>'Expenditures 15-22'!E40</f>
        <v>2059</v>
      </c>
      <c r="D841" s="2" t="str">
        <f t="shared" si="12"/>
        <v>Error?</v>
      </c>
    </row>
    <row r="842" spans="1:4" x14ac:dyDescent="0.2">
      <c r="A842" s="5">
        <v>781</v>
      </c>
      <c r="B842" s="138">
        <f>'Expenditures 15-22'!E41</f>
        <v>41251</v>
      </c>
      <c r="D842" s="2" t="str">
        <f t="shared" si="12"/>
        <v>Error?</v>
      </c>
    </row>
    <row r="843" spans="1:4" x14ac:dyDescent="0.2">
      <c r="A843" s="5">
        <v>782</v>
      </c>
      <c r="B843" s="138">
        <f>'Expenditures 15-22'!E42</f>
        <v>153554</v>
      </c>
      <c r="C843" s="2" t="s">
        <v>573</v>
      </c>
      <c r="D843" s="2" t="str">
        <f t="shared" si="12"/>
        <v>Error?</v>
      </c>
    </row>
    <row r="844" spans="1:4" x14ac:dyDescent="0.2">
      <c r="A844" s="5">
        <v>783</v>
      </c>
      <c r="B844" s="138">
        <f>'Expenditures 15-22'!E44</f>
        <v>25450</v>
      </c>
      <c r="D844" s="2" t="str">
        <f t="shared" si="12"/>
        <v>Error?</v>
      </c>
    </row>
    <row r="845" spans="1:4" x14ac:dyDescent="0.2">
      <c r="A845" s="5">
        <v>784</v>
      </c>
      <c r="B845" s="138">
        <f>'Expenditures 15-22'!E45</f>
        <v>62147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87597</v>
      </c>
      <c r="C847" s="2" t="s">
        <v>573</v>
      </c>
      <c r="D847" s="2" t="str">
        <f t="shared" si="12"/>
        <v>Error?</v>
      </c>
    </row>
    <row r="848" spans="1:4" x14ac:dyDescent="0.2">
      <c r="A848" s="5">
        <v>787</v>
      </c>
      <c r="B848" s="138">
        <f>'Expenditures 15-22'!E49</f>
        <v>27390</v>
      </c>
      <c r="D848" s="2" t="str">
        <f t="shared" si="12"/>
        <v>Error?</v>
      </c>
    </row>
    <row r="849" spans="1:4" x14ac:dyDescent="0.2">
      <c r="A849" s="5">
        <v>788</v>
      </c>
      <c r="B849" s="138">
        <f>'Expenditures 15-22'!E50</f>
        <v>5808</v>
      </c>
      <c r="D849" s="2" t="str">
        <f t="shared" si="12"/>
        <v>Error?</v>
      </c>
    </row>
    <row r="850" spans="1:4" x14ac:dyDescent="0.2">
      <c r="A850" s="5">
        <v>789</v>
      </c>
      <c r="B850" s="138">
        <f>'Expenditures 15-22'!E53</f>
        <v>95716</v>
      </c>
      <c r="C850" s="2" t="s">
        <v>573</v>
      </c>
      <c r="D850" s="2" t="str">
        <f t="shared" si="12"/>
        <v>Error?</v>
      </c>
    </row>
    <row r="851" spans="1:4" x14ac:dyDescent="0.2">
      <c r="A851" s="5">
        <v>790</v>
      </c>
      <c r="B851" s="138">
        <f>'Expenditures 15-22'!E55</f>
        <v>4466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4466</v>
      </c>
      <c r="C853" s="2" t="s">
        <v>573</v>
      </c>
      <c r="D853" s="2" t="str">
        <f t="shared" si="12"/>
        <v>Error?</v>
      </c>
    </row>
    <row r="854" spans="1:4" x14ac:dyDescent="0.2">
      <c r="A854" s="5">
        <v>793</v>
      </c>
      <c r="B854" s="138">
        <f>'Expenditures 15-22'!E59</f>
        <v>3929</v>
      </c>
      <c r="D854" s="2" t="str">
        <f t="shared" si="12"/>
        <v>Error?</v>
      </c>
    </row>
    <row r="855" spans="1:4" x14ac:dyDescent="0.2">
      <c r="A855" s="5">
        <v>794</v>
      </c>
      <c r="B855" s="138">
        <f>'Expenditures 15-22'!E60</f>
        <v>43983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376080</v>
      </c>
      <c r="D858" s="2" t="str">
        <f t="shared" si="12"/>
        <v>Error?</v>
      </c>
    </row>
    <row r="859" spans="1:4" x14ac:dyDescent="0.2">
      <c r="A859" s="5">
        <v>798</v>
      </c>
      <c r="B859" s="138">
        <f>'Expenditures 15-22'!E64</f>
        <v>45978</v>
      </c>
      <c r="D859" s="2" t="str">
        <f t="shared" si="12"/>
        <v>Error?</v>
      </c>
    </row>
    <row r="860" spans="1:4" x14ac:dyDescent="0.2">
      <c r="A860" s="10">
        <v>799</v>
      </c>
      <c r="D860" s="2" t="str">
        <f t="shared" si="12"/>
        <v>OK</v>
      </c>
    </row>
    <row r="861" spans="1:4" x14ac:dyDescent="0.2">
      <c r="A861" s="5">
        <v>800</v>
      </c>
      <c r="B861" s="138">
        <f>'Expenditures 15-22'!E65</f>
        <v>469970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25000</v>
      </c>
      <c r="D863" s="2" t="str">
        <f t="shared" si="12"/>
        <v>Error?</v>
      </c>
    </row>
    <row r="864" spans="1:4" x14ac:dyDescent="0.2">
      <c r="A864" s="5">
        <v>803</v>
      </c>
      <c r="B864" s="138">
        <f>'Expenditures 15-22'!E69</f>
        <v>123711</v>
      </c>
      <c r="D864" s="2" t="str">
        <f t="shared" si="12"/>
        <v>Error?</v>
      </c>
    </row>
    <row r="865" spans="1:4" x14ac:dyDescent="0.2">
      <c r="A865" s="5">
        <v>804</v>
      </c>
      <c r="B865" s="138">
        <f>'Expenditures 15-22'!E70</f>
        <v>16220</v>
      </c>
      <c r="D865" s="2" t="str">
        <f t="shared" si="12"/>
        <v>Error?</v>
      </c>
    </row>
    <row r="866" spans="1:4" x14ac:dyDescent="0.2">
      <c r="A866" s="10">
        <v>805</v>
      </c>
      <c r="D866" s="2" t="str">
        <f t="shared" si="12"/>
        <v>OK</v>
      </c>
    </row>
    <row r="867" spans="1:4" x14ac:dyDescent="0.2">
      <c r="A867" s="5">
        <v>806</v>
      </c>
      <c r="B867" s="138">
        <f>'Expenditures 15-22'!E71</f>
        <v>25479</v>
      </c>
      <c r="D867" s="2" t="str">
        <f t="shared" si="12"/>
        <v>Error?</v>
      </c>
    </row>
    <row r="868" spans="1:4" x14ac:dyDescent="0.2">
      <c r="A868" s="10">
        <v>807</v>
      </c>
      <c r="D868" s="2" t="str">
        <f t="shared" si="12"/>
        <v>OK</v>
      </c>
    </row>
    <row r="869" spans="1:4" x14ac:dyDescent="0.2">
      <c r="A869" s="5">
        <v>808</v>
      </c>
      <c r="B869" s="138">
        <f>'Expenditures 15-22'!E72</f>
        <v>190410</v>
      </c>
      <c r="C869" s="2" t="s">
        <v>573</v>
      </c>
      <c r="D869" s="2" t="str">
        <f t="shared" si="12"/>
        <v>Error?</v>
      </c>
    </row>
    <row r="870" spans="1:4" x14ac:dyDescent="0.2">
      <c r="A870" s="5">
        <v>809</v>
      </c>
      <c r="B870" s="138">
        <f>'Expenditures 15-22'!E73</f>
        <v>8797</v>
      </c>
      <c r="D870" s="2" t="str">
        <f t="shared" si="12"/>
        <v>Error?</v>
      </c>
    </row>
    <row r="871" spans="1:4" x14ac:dyDescent="0.2">
      <c r="A871" s="5">
        <v>810</v>
      </c>
      <c r="B871" s="138">
        <f>'Expenditures 15-22'!E74</f>
        <v>1010510</v>
      </c>
      <c r="C871" s="2" t="s">
        <v>573</v>
      </c>
      <c r="D871" s="2" t="str">
        <f t="shared" si="12"/>
        <v>Error?</v>
      </c>
    </row>
    <row r="872" spans="1:4" x14ac:dyDescent="0.2">
      <c r="A872" s="5">
        <v>811</v>
      </c>
      <c r="B872" s="138">
        <f>'Expenditures 15-22'!E75</f>
        <v>40518</v>
      </c>
      <c r="D872" s="2" t="str">
        <f t="shared" si="12"/>
        <v>Error?</v>
      </c>
    </row>
    <row r="873" spans="1:4" x14ac:dyDescent="0.2">
      <c r="A873" s="5">
        <v>812</v>
      </c>
      <c r="B873" s="138">
        <f>'Expenditures 15-22'!E114</f>
        <v>1262784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243671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4737</v>
      </c>
      <c r="D891" s="2" t="str">
        <f t="shared" si="12"/>
        <v>Error?</v>
      </c>
    </row>
    <row r="892" spans="1:4" x14ac:dyDescent="0.2">
      <c r="A892" s="5">
        <v>831</v>
      </c>
      <c r="B892" s="138">
        <f>'Expenditures 15-22'!F14</f>
        <v>830</v>
      </c>
      <c r="D892" s="2" t="str">
        <f t="shared" si="12"/>
        <v>Error?</v>
      </c>
    </row>
    <row r="893" spans="1:4" x14ac:dyDescent="0.2">
      <c r="A893" s="5">
        <v>832</v>
      </c>
      <c r="B893" s="138">
        <f>'Expenditures 15-22'!F15</f>
        <v>555</v>
      </c>
      <c r="D893" s="2" t="str">
        <f t="shared" si="12"/>
        <v>Error?</v>
      </c>
    </row>
    <row r="894" spans="1:4" x14ac:dyDescent="0.2">
      <c r="A894" s="5">
        <v>833</v>
      </c>
      <c r="B894" s="138">
        <f>'Expenditures 15-22'!F33</f>
        <v>284860</v>
      </c>
      <c r="C894" s="2" t="s">
        <v>573</v>
      </c>
      <c r="D894" s="2" t="str">
        <f t="shared" si="12"/>
        <v>Error?</v>
      </c>
    </row>
    <row r="895" spans="1:4" x14ac:dyDescent="0.2">
      <c r="A895" s="5">
        <v>834</v>
      </c>
      <c r="B895" s="138">
        <f>'Expenditures 15-22'!F36</f>
        <v>669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14383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2672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17724</v>
      </c>
      <c r="C901" s="2" t="s">
        <v>573</v>
      </c>
      <c r="D901" s="2" t="str">
        <f t="shared" si="13"/>
        <v>Error?</v>
      </c>
    </row>
    <row r="902" spans="1:4" x14ac:dyDescent="0.2">
      <c r="A902" s="5">
        <v>841</v>
      </c>
      <c r="B902" s="138">
        <f>'Expenditures 15-22'!F44</f>
        <v>2136</v>
      </c>
      <c r="D902" s="2" t="str">
        <f t="shared" si="13"/>
        <v>Error?</v>
      </c>
    </row>
    <row r="903" spans="1:4" x14ac:dyDescent="0.2">
      <c r="A903" s="5">
        <v>842</v>
      </c>
      <c r="B903" s="138">
        <f>'Expenditures 15-22'!F45</f>
        <v>188773</v>
      </c>
      <c r="D903" s="2" t="str">
        <f t="shared" si="13"/>
        <v>Error?</v>
      </c>
    </row>
    <row r="904" spans="1:4" x14ac:dyDescent="0.2">
      <c r="A904" s="5">
        <v>843</v>
      </c>
      <c r="B904" s="138">
        <f>'Expenditures 15-22'!F46</f>
        <v>29888</v>
      </c>
      <c r="D904" s="2" t="str">
        <f t="shared" si="13"/>
        <v>Error?</v>
      </c>
    </row>
    <row r="905" spans="1:4" x14ac:dyDescent="0.2">
      <c r="A905" s="5">
        <v>844</v>
      </c>
      <c r="B905" s="138">
        <f>'Expenditures 15-22'!F47</f>
        <v>220797</v>
      </c>
      <c r="C905" s="2" t="s">
        <v>573</v>
      </c>
      <c r="D905" s="2" t="str">
        <f t="shared" si="13"/>
        <v>Error?</v>
      </c>
    </row>
    <row r="906" spans="1:4" x14ac:dyDescent="0.2">
      <c r="A906" s="5">
        <v>845</v>
      </c>
      <c r="B906" s="138">
        <f>'Expenditures 15-22'!F49</f>
        <v>3202</v>
      </c>
      <c r="D906" s="2" t="str">
        <f t="shared" si="13"/>
        <v>Error?</v>
      </c>
    </row>
    <row r="907" spans="1:4" x14ac:dyDescent="0.2">
      <c r="A907" s="5">
        <v>846</v>
      </c>
      <c r="B907" s="138">
        <f>'Expenditures 15-22'!F50</f>
        <v>3620</v>
      </c>
      <c r="D907" s="2" t="str">
        <f t="shared" si="13"/>
        <v>Error?</v>
      </c>
    </row>
    <row r="908" spans="1:4" x14ac:dyDescent="0.2">
      <c r="A908" s="5">
        <v>847</v>
      </c>
      <c r="B908" s="138">
        <f>'Expenditures 15-22'!F53</f>
        <v>6822</v>
      </c>
      <c r="C908" s="2" t="s">
        <v>573</v>
      </c>
      <c r="D908" s="2" t="str">
        <f t="shared" si="13"/>
        <v>Error?</v>
      </c>
    </row>
    <row r="909" spans="1:4" x14ac:dyDescent="0.2">
      <c r="A909" s="5">
        <v>848</v>
      </c>
      <c r="B909" s="138">
        <f>'Expenditures 15-22'!F55</f>
        <v>26320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26320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1992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1670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3662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1217</v>
      </c>
      <c r="D922" s="2" t="str">
        <f t="shared" si="13"/>
        <v>Error?</v>
      </c>
    </row>
    <row r="923" spans="1:4" x14ac:dyDescent="0.2">
      <c r="A923" s="5">
        <v>862</v>
      </c>
      <c r="B923" s="138">
        <f>'Expenditures 15-22'!F70</f>
        <v>13232</v>
      </c>
      <c r="D923" s="2" t="str">
        <f t="shared" si="13"/>
        <v>Error?</v>
      </c>
    </row>
    <row r="924" spans="1:4" x14ac:dyDescent="0.2">
      <c r="A924" s="10">
        <v>863</v>
      </c>
      <c r="D924" s="2" t="str">
        <f t="shared" si="13"/>
        <v>OK</v>
      </c>
    </row>
    <row r="925" spans="1:4" x14ac:dyDescent="0.2">
      <c r="A925" s="5">
        <v>864</v>
      </c>
      <c r="B925" s="138">
        <f>'Expenditures 15-22'!F71</f>
        <v>299</v>
      </c>
      <c r="D925" s="2" t="str">
        <f t="shared" si="13"/>
        <v>Error?</v>
      </c>
    </row>
    <row r="926" spans="1:4" x14ac:dyDescent="0.2">
      <c r="A926" s="10">
        <v>865</v>
      </c>
      <c r="D926" s="2" t="str">
        <f t="shared" si="13"/>
        <v>OK</v>
      </c>
    </row>
    <row r="927" spans="1:4" x14ac:dyDescent="0.2">
      <c r="A927" s="5">
        <v>866</v>
      </c>
      <c r="B927" s="138">
        <f>'Expenditures 15-22'!F72</f>
        <v>14748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290073</v>
      </c>
      <c r="C929" s="2" t="s">
        <v>573</v>
      </c>
      <c r="D929" s="2" t="str">
        <f t="shared" si="13"/>
        <v>Error?</v>
      </c>
    </row>
    <row r="930" spans="1:4" x14ac:dyDescent="0.2">
      <c r="A930" s="5">
        <v>869</v>
      </c>
      <c r="B930" s="138">
        <f>'Expenditures 15-22'!F75</f>
        <v>3932</v>
      </c>
      <c r="D930" s="2" t="str">
        <f t="shared" si="13"/>
        <v>Error?</v>
      </c>
    </row>
    <row r="931" spans="1:4" x14ac:dyDescent="0.2">
      <c r="A931" s="5">
        <v>870</v>
      </c>
      <c r="B931" s="138">
        <f>'Expenditures 15-22'!F114</f>
        <v>578865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232368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237113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9302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4582</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13884</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131150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131150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11987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11987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157021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394134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2939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1660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280404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65</v>
      </c>
      <c r="D1013" s="2" t="str">
        <f t="shared" si="14"/>
        <v>Error?</v>
      </c>
    </row>
    <row r="1014" spans="1:4" x14ac:dyDescent="0.2">
      <c r="A1014" s="5">
        <v>953</v>
      </c>
      <c r="B1014" s="138">
        <f>'Expenditures 15-22'!H39</f>
        <v>585</v>
      </c>
      <c r="D1014" s="2" t="str">
        <f t="shared" si="14"/>
        <v>Error?</v>
      </c>
    </row>
    <row r="1015" spans="1:4" x14ac:dyDescent="0.2">
      <c r="A1015" s="5">
        <v>954</v>
      </c>
      <c r="B1015" s="138">
        <f>'Expenditures 15-22'!H40</f>
        <v>100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750</v>
      </c>
      <c r="C1017" s="2" t="s">
        <v>573</v>
      </c>
      <c r="D1017" s="2" t="str">
        <f t="shared" si="14"/>
        <v>Error?</v>
      </c>
    </row>
    <row r="1018" spans="1:4" x14ac:dyDescent="0.2">
      <c r="A1018" s="5">
        <v>957</v>
      </c>
      <c r="B1018" s="138">
        <f>'Expenditures 15-22'!H44</f>
        <v>1364</v>
      </c>
      <c r="D1018" s="2" t="str">
        <f t="shared" si="14"/>
        <v>Error?</v>
      </c>
    </row>
    <row r="1019" spans="1:4" x14ac:dyDescent="0.2">
      <c r="A1019" s="5">
        <v>958</v>
      </c>
      <c r="B1019" s="138">
        <f>'Expenditures 15-22'!H45</f>
        <v>455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1819</v>
      </c>
      <c r="C1021" s="2" t="s">
        <v>573</v>
      </c>
      <c r="D1021" s="2" t="str">
        <f t="shared" si="14"/>
        <v>Error?</v>
      </c>
    </row>
    <row r="1022" spans="1:4" x14ac:dyDescent="0.2">
      <c r="A1022" s="5">
        <v>961</v>
      </c>
      <c r="B1022" s="138">
        <f>'Expenditures 15-22'!H49</f>
        <v>5667</v>
      </c>
      <c r="D1022" s="2" t="str">
        <f t="shared" si="14"/>
        <v>Error?</v>
      </c>
    </row>
    <row r="1023" spans="1:4" x14ac:dyDescent="0.2">
      <c r="A1023" s="5">
        <v>962</v>
      </c>
      <c r="B1023" s="138">
        <f>'Expenditures 15-22'!H50</f>
        <v>2680</v>
      </c>
      <c r="D1023" s="2" t="str">
        <f t="shared" ref="D1023:D1086" si="15">IF(ISBLANK(B1023),"OK",IF(A1023-B1023=0,"OK","Error?"))</f>
        <v>Error?</v>
      </c>
    </row>
    <row r="1024" spans="1:4" x14ac:dyDescent="0.2">
      <c r="A1024" s="5">
        <v>963</v>
      </c>
      <c r="B1024" s="138">
        <f>'Expenditures 15-22'!H53</f>
        <v>8347</v>
      </c>
      <c r="C1024" s="2" t="s">
        <v>573</v>
      </c>
      <c r="D1024" s="2" t="str">
        <f t="shared" si="15"/>
        <v>Error?</v>
      </c>
    </row>
    <row r="1025" spans="1:4" x14ac:dyDescent="0.2">
      <c r="A1025" s="5">
        <v>964</v>
      </c>
      <c r="B1025" s="138">
        <f>'Expenditures 15-22'!H55</f>
        <v>816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816</v>
      </c>
      <c r="C1027" s="2" t="s">
        <v>573</v>
      </c>
      <c r="D1027" s="2" t="str">
        <f t="shared" si="15"/>
        <v>Error?</v>
      </c>
    </row>
    <row r="1028" spans="1:4" x14ac:dyDescent="0.2">
      <c r="A1028" s="5">
        <v>967</v>
      </c>
      <c r="B1028" s="138">
        <f>'Expenditures 15-22'!H59</f>
        <v>1060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1060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12792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261479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554675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7195857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673215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117480</v>
      </c>
      <c r="C1105" s="2" t="s">
        <v>573</v>
      </c>
      <c r="D1105" s="2" t="str">
        <f t="shared" si="16"/>
        <v>Error?</v>
      </c>
    </row>
    <row r="1106" spans="1:4" x14ac:dyDescent="0.2">
      <c r="A1106" s="5">
        <v>1045</v>
      </c>
      <c r="B1106" s="138">
        <f>'Expenditures 15-22'!K14</f>
        <v>148713</v>
      </c>
      <c r="C1106" s="2" t="s">
        <v>573</v>
      </c>
      <c r="D1106" s="2" t="str">
        <f t="shared" si="16"/>
        <v>Error?</v>
      </c>
    </row>
    <row r="1107" spans="1:4" x14ac:dyDescent="0.2">
      <c r="A1107" s="5">
        <v>1046</v>
      </c>
      <c r="B1107" s="138">
        <f>'Expenditures 15-22'!K15</f>
        <v>86650</v>
      </c>
      <c r="C1107" s="2" t="s">
        <v>573</v>
      </c>
      <c r="D1107" s="2" t="str">
        <f t="shared" si="16"/>
        <v>Error?</v>
      </c>
    </row>
    <row r="1108" spans="1:4" x14ac:dyDescent="0.2">
      <c r="A1108" s="5">
        <v>1047</v>
      </c>
      <c r="B1108" s="138">
        <f>'Expenditures 15-22'!K33</f>
        <v>11228480</v>
      </c>
      <c r="C1108" s="2" t="s">
        <v>573</v>
      </c>
      <c r="D1108" s="2" t="str">
        <f t="shared" si="16"/>
        <v>Error?</v>
      </c>
    </row>
    <row r="1109" spans="1:4" x14ac:dyDescent="0.2">
      <c r="A1109" s="5">
        <v>1048</v>
      </c>
      <c r="B1109" s="138">
        <f>'Expenditures 15-22'!K36</f>
        <v>377411</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694758</v>
      </c>
      <c r="C1111" s="2" t="s">
        <v>573</v>
      </c>
      <c r="D1111" s="2" t="str">
        <f t="shared" si="16"/>
        <v>Error?</v>
      </c>
    </row>
    <row r="1112" spans="1:4" x14ac:dyDescent="0.2">
      <c r="A1112" s="5">
        <v>1051</v>
      </c>
      <c r="B1112" s="138">
        <f>'Expenditures 15-22'!K39</f>
        <v>359311</v>
      </c>
      <c r="C1112" s="2" t="s">
        <v>573</v>
      </c>
      <c r="D1112" s="2" t="str">
        <f t="shared" si="16"/>
        <v>Error?</v>
      </c>
    </row>
    <row r="1113" spans="1:4" x14ac:dyDescent="0.2">
      <c r="A1113" s="5">
        <v>1052</v>
      </c>
      <c r="B1113" s="138">
        <f>'Expenditures 15-22'!K40</f>
        <v>501172</v>
      </c>
      <c r="C1113" s="2" t="s">
        <v>573</v>
      </c>
      <c r="D1113" s="2" t="str">
        <f t="shared" si="16"/>
        <v>Error?</v>
      </c>
    </row>
    <row r="1114" spans="1:4" x14ac:dyDescent="0.2">
      <c r="A1114" s="5">
        <v>1053</v>
      </c>
      <c r="B1114" s="138">
        <f>'Expenditures 15-22'!K41</f>
        <v>41251</v>
      </c>
      <c r="C1114" s="2" t="s">
        <v>573</v>
      </c>
      <c r="D1114" s="2" t="str">
        <f t="shared" si="16"/>
        <v>Error?</v>
      </c>
    </row>
    <row r="1115" spans="1:4" x14ac:dyDescent="0.2">
      <c r="A1115" s="5">
        <v>1054</v>
      </c>
      <c r="B1115" s="138">
        <f>'Expenditures 15-22'!K42</f>
        <v>1973903</v>
      </c>
      <c r="C1115" s="2" t="s">
        <v>573</v>
      </c>
      <c r="D1115" s="2" t="str">
        <f t="shared" si="16"/>
        <v>Error?</v>
      </c>
    </row>
    <row r="1116" spans="1:4" x14ac:dyDescent="0.2">
      <c r="A1116" s="5">
        <v>1055</v>
      </c>
      <c r="B1116" s="138">
        <f>'Expenditures 15-22'!K44</f>
        <v>498985</v>
      </c>
      <c r="C1116" s="2" t="s">
        <v>573</v>
      </c>
      <c r="D1116" s="2" t="str">
        <f t="shared" si="16"/>
        <v>Error?</v>
      </c>
    </row>
    <row r="1117" spans="1:4" x14ac:dyDescent="0.2">
      <c r="A1117" s="5">
        <v>1056</v>
      </c>
      <c r="B1117" s="138">
        <f>'Expenditures 15-22'!K45</f>
        <v>1353813</v>
      </c>
      <c r="C1117" s="2" t="s">
        <v>573</v>
      </c>
      <c r="D1117" s="2" t="str">
        <f t="shared" si="16"/>
        <v>Error?</v>
      </c>
    </row>
    <row r="1118" spans="1:4" x14ac:dyDescent="0.2">
      <c r="A1118" s="5">
        <v>1057</v>
      </c>
      <c r="B1118" s="138">
        <f>'Expenditures 15-22'!K46</f>
        <v>29888</v>
      </c>
      <c r="C1118" s="2" t="s">
        <v>573</v>
      </c>
      <c r="D1118" s="2" t="str">
        <f t="shared" si="16"/>
        <v>Error?</v>
      </c>
    </row>
    <row r="1119" spans="1:4" x14ac:dyDescent="0.2">
      <c r="A1119" s="5">
        <v>1058</v>
      </c>
      <c r="B1119" s="138">
        <f>'Expenditures 15-22'!K47</f>
        <v>1882686</v>
      </c>
      <c r="C1119" s="2" t="s">
        <v>573</v>
      </c>
      <c r="D1119" s="2" t="str">
        <f t="shared" si="16"/>
        <v>Error?</v>
      </c>
    </row>
    <row r="1120" spans="1:4" x14ac:dyDescent="0.2">
      <c r="A1120" s="5">
        <v>1059</v>
      </c>
      <c r="B1120" s="138">
        <f>'Expenditures 15-22'!K49</f>
        <v>36259</v>
      </c>
      <c r="C1120" s="2" t="s">
        <v>573</v>
      </c>
      <c r="D1120" s="2" t="str">
        <f t="shared" si="16"/>
        <v>Error?</v>
      </c>
    </row>
    <row r="1121" spans="1:4" x14ac:dyDescent="0.2">
      <c r="A1121" s="5">
        <v>1060</v>
      </c>
      <c r="B1121" s="138">
        <f>'Expenditures 15-22'!K50</f>
        <v>346056</v>
      </c>
      <c r="C1121" s="2" t="s">
        <v>573</v>
      </c>
      <c r="D1121" s="2" t="str">
        <f t="shared" si="16"/>
        <v>Error?</v>
      </c>
    </row>
    <row r="1122" spans="1:4" x14ac:dyDescent="0.2">
      <c r="A1122" s="5">
        <v>1061</v>
      </c>
      <c r="B1122" s="138">
        <f>'Expenditures 15-22'!K53</f>
        <v>444833</v>
      </c>
      <c r="C1122" s="2" t="s">
        <v>573</v>
      </c>
      <c r="D1122" s="2" t="str">
        <f t="shared" si="16"/>
        <v>Error?</v>
      </c>
    </row>
    <row r="1123" spans="1:4" x14ac:dyDescent="0.2">
      <c r="A1123" s="5">
        <v>1062</v>
      </c>
      <c r="B1123" s="138">
        <f>'Expenditures 15-22'!K55</f>
        <v>1116781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1116781</v>
      </c>
      <c r="C1125" s="2" t="s">
        <v>573</v>
      </c>
      <c r="D1125" s="2" t="str">
        <f t="shared" si="16"/>
        <v>Error?</v>
      </c>
    </row>
    <row r="1126" spans="1:4" x14ac:dyDescent="0.2">
      <c r="A1126" s="5">
        <v>1065</v>
      </c>
      <c r="B1126" s="138">
        <f>'Expenditures 15-22'!K59</f>
        <v>163738</v>
      </c>
      <c r="C1126" s="2" t="s">
        <v>573</v>
      </c>
      <c r="D1126" s="2" t="str">
        <f t="shared" si="16"/>
        <v>Error?</v>
      </c>
    </row>
    <row r="1127" spans="1:4" x14ac:dyDescent="0.2">
      <c r="A1127" s="5">
        <v>1066</v>
      </c>
      <c r="B1127" s="138">
        <f>'Expenditures 15-22'!K60</f>
        <v>195989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468493</v>
      </c>
      <c r="C1130" s="2" t="s">
        <v>573</v>
      </c>
      <c r="D1130" s="2" t="str">
        <f t="shared" si="16"/>
        <v>Error?</v>
      </c>
    </row>
    <row r="1131" spans="1:4" x14ac:dyDescent="0.2">
      <c r="A1131" s="5">
        <v>1070</v>
      </c>
      <c r="B1131" s="138">
        <f>'Expenditures 15-22'!K64</f>
        <v>45978</v>
      </c>
      <c r="C1131" s="2" t="s">
        <v>573</v>
      </c>
      <c r="D1131" s="2" t="str">
        <f t="shared" si="16"/>
        <v>Error?</v>
      </c>
    </row>
    <row r="1132" spans="1:4" x14ac:dyDescent="0.2">
      <c r="A1132" s="10">
        <v>1071</v>
      </c>
      <c r="D1132" s="2" t="str">
        <f t="shared" si="16"/>
        <v>OK</v>
      </c>
    </row>
    <row r="1133" spans="1:4" x14ac:dyDescent="0.2">
      <c r="A1133" s="5">
        <v>1072</v>
      </c>
      <c r="B1133" s="138">
        <f>'Expenditures 15-22'!K65</f>
        <v>874198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25000</v>
      </c>
      <c r="C1135" s="2" t="s">
        <v>573</v>
      </c>
      <c r="D1135" s="2" t="str">
        <f t="shared" si="16"/>
        <v>Error?</v>
      </c>
    </row>
    <row r="1136" spans="1:4" x14ac:dyDescent="0.2">
      <c r="A1136" s="5">
        <v>1075</v>
      </c>
      <c r="B1136" s="138">
        <f>'Expenditures 15-22'!K69</f>
        <v>124928</v>
      </c>
      <c r="C1136" s="2" t="s">
        <v>573</v>
      </c>
      <c r="D1136" s="2" t="str">
        <f t="shared" si="16"/>
        <v>Error?</v>
      </c>
    </row>
    <row r="1137" spans="1:4" x14ac:dyDescent="0.2">
      <c r="A1137" s="5">
        <v>1076</v>
      </c>
      <c r="B1137" s="138">
        <f>'Expenditures 15-22'!K70</f>
        <v>137579</v>
      </c>
      <c r="C1137" s="2" t="s">
        <v>573</v>
      </c>
      <c r="D1137" s="2" t="str">
        <f t="shared" si="16"/>
        <v>Error?</v>
      </c>
    </row>
    <row r="1138" spans="1:4" x14ac:dyDescent="0.2">
      <c r="A1138" s="10">
        <v>1077</v>
      </c>
      <c r="D1138" s="2" t="str">
        <f t="shared" si="16"/>
        <v>OK</v>
      </c>
    </row>
    <row r="1139" spans="1:4" x14ac:dyDescent="0.2">
      <c r="A1139" s="5">
        <v>1078</v>
      </c>
      <c r="B1139" s="138">
        <f>'Expenditures 15-22'!K71</f>
        <v>25778</v>
      </c>
      <c r="C1139" s="2" t="s">
        <v>573</v>
      </c>
      <c r="D1139" s="2" t="str">
        <f t="shared" si="16"/>
        <v>Error?</v>
      </c>
    </row>
    <row r="1140" spans="1:4" x14ac:dyDescent="0.2">
      <c r="A1140" s="10">
        <v>1079</v>
      </c>
      <c r="D1140" s="2" t="str">
        <f t="shared" si="16"/>
        <v>OK</v>
      </c>
    </row>
    <row r="1141" spans="1:4" x14ac:dyDescent="0.2">
      <c r="A1141" s="5">
        <v>1080</v>
      </c>
      <c r="B1141" s="138">
        <f>'Expenditures 15-22'!K72</f>
        <v>313285</v>
      </c>
      <c r="C1141" s="2" t="s">
        <v>573</v>
      </c>
      <c r="D1141" s="2" t="str">
        <f t="shared" si="16"/>
        <v>Error?</v>
      </c>
    </row>
    <row r="1142" spans="1:4" x14ac:dyDescent="0.2">
      <c r="A1142" s="5">
        <v>1081</v>
      </c>
      <c r="B1142" s="138">
        <f>'Expenditures 15-22'!K73</f>
        <v>9560</v>
      </c>
      <c r="C1142" s="2" t="s">
        <v>573</v>
      </c>
      <c r="D1142" s="2" t="str">
        <f t="shared" si="16"/>
        <v>Error?</v>
      </c>
    </row>
    <row r="1143" spans="1:4" x14ac:dyDescent="0.2">
      <c r="A1143" s="5">
        <v>1082</v>
      </c>
      <c r="B1143" s="138">
        <f>'Expenditures 15-22'!K74</f>
        <v>6615246</v>
      </c>
      <c r="C1143" s="2" t="s">
        <v>573</v>
      </c>
      <c r="D1143" s="2" t="str">
        <f t="shared" si="16"/>
        <v>Error?</v>
      </c>
    </row>
    <row r="1144" spans="1:4" x14ac:dyDescent="0.2">
      <c r="A1144" s="5">
        <v>1083</v>
      </c>
      <c r="B1144" s="138">
        <f>'Expenditures 15-22'!K75</f>
        <v>205010</v>
      </c>
      <c r="C1144" s="2" t="s">
        <v>573</v>
      </c>
      <c r="D1144" s="2" t="str">
        <f t="shared" si="16"/>
        <v>Error?</v>
      </c>
    </row>
    <row r="1145" spans="1:4" x14ac:dyDescent="0.2">
      <c r="A1145" s="5">
        <v>1084</v>
      </c>
      <c r="B1145" s="138">
        <f>'Expenditures 15-22'!K102</f>
        <v>398311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18447047</v>
      </c>
      <c r="C1152" s="2" t="s">
        <v>573</v>
      </c>
      <c r="D1152" s="2" t="str">
        <f t="shared" si="17"/>
        <v>Error?</v>
      </c>
    </row>
    <row r="1153" spans="1:4" x14ac:dyDescent="0.2">
      <c r="A1153" s="5">
        <v>1092</v>
      </c>
      <c r="B1153" s="138">
        <f>'Expenditures 15-22'!K115</f>
        <v>-550404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740232</v>
      </c>
      <c r="D1221" s="2" t="str">
        <f t="shared" si="18"/>
        <v>Error?</v>
      </c>
    </row>
    <row r="1222" spans="1:4" x14ac:dyDescent="0.2">
      <c r="A1222" s="10">
        <v>1161</v>
      </c>
      <c r="D1222" s="2" t="str">
        <f t="shared" si="18"/>
        <v>OK</v>
      </c>
    </row>
    <row r="1223" spans="1:4" x14ac:dyDescent="0.2">
      <c r="A1223" s="5">
        <v>1162</v>
      </c>
      <c r="B1223" s="138">
        <f>'Expenditures 15-22'!C127</f>
        <v>740232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740232</v>
      </c>
      <c r="C1225" s="2" t="s">
        <v>573</v>
      </c>
      <c r="D1225" s="2" t="str">
        <f t="shared" si="18"/>
        <v>Error?</v>
      </c>
    </row>
    <row r="1226" spans="1:4" x14ac:dyDescent="0.2">
      <c r="A1226" s="5">
        <v>1165</v>
      </c>
      <c r="B1226" s="138">
        <f>'Expenditures 15-22'!C151</f>
        <v>740232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142147</v>
      </c>
      <c r="D1229" s="2" t="str">
        <f t="shared" si="18"/>
        <v>Error?</v>
      </c>
    </row>
    <row r="1230" spans="1:4" x14ac:dyDescent="0.2">
      <c r="A1230" s="10">
        <v>1169</v>
      </c>
      <c r="D1230" s="2" t="str">
        <f t="shared" si="18"/>
        <v>OK</v>
      </c>
    </row>
    <row r="1231" spans="1:4" x14ac:dyDescent="0.2">
      <c r="A1231" s="5">
        <v>1170</v>
      </c>
      <c r="B1231" s="138">
        <f>'Expenditures 15-22'!D127</f>
        <v>142147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142147</v>
      </c>
      <c r="C1233" s="2" t="s">
        <v>573</v>
      </c>
      <c r="D1233" s="2" t="str">
        <f t="shared" si="18"/>
        <v>Error?</v>
      </c>
    </row>
    <row r="1234" spans="1:4" x14ac:dyDescent="0.2">
      <c r="A1234" s="5">
        <v>1173</v>
      </c>
      <c r="B1234" s="138">
        <f>'Expenditures 15-22'!D151</f>
        <v>142147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311412</v>
      </c>
      <c r="D1237" s="2" t="str">
        <f t="shared" si="18"/>
        <v>Error?</v>
      </c>
    </row>
    <row r="1238" spans="1:4" x14ac:dyDescent="0.2">
      <c r="A1238" s="10">
        <v>1177</v>
      </c>
      <c r="D1238" s="2" t="str">
        <f t="shared" si="18"/>
        <v>OK</v>
      </c>
    </row>
    <row r="1239" spans="1:4" x14ac:dyDescent="0.2">
      <c r="A1239" s="5">
        <v>1178</v>
      </c>
      <c r="B1239" s="138">
        <f>'Expenditures 15-22'!E127</f>
        <v>311412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311412</v>
      </c>
      <c r="C1241" s="2" t="s">
        <v>573</v>
      </c>
      <c r="D1241" s="2" t="str">
        <f t="shared" si="18"/>
        <v>Error?</v>
      </c>
    </row>
    <row r="1242" spans="1:4" x14ac:dyDescent="0.2">
      <c r="A1242" s="5">
        <v>1181</v>
      </c>
      <c r="B1242" s="138">
        <f>'Expenditures 15-22'!E151</f>
        <v>311412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234267</v>
      </c>
      <c r="D1245" s="2" t="str">
        <f t="shared" si="18"/>
        <v>Error?</v>
      </c>
    </row>
    <row r="1246" spans="1:4" x14ac:dyDescent="0.2">
      <c r="A1246" s="10">
        <v>1185</v>
      </c>
      <c r="D1246" s="2" t="str">
        <f t="shared" si="18"/>
        <v>OK</v>
      </c>
    </row>
    <row r="1247" spans="1:4" x14ac:dyDescent="0.2">
      <c r="A1247" s="5">
        <v>1186</v>
      </c>
      <c r="B1247" s="138">
        <f>'Expenditures 15-22'!F127</f>
        <v>234267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234267</v>
      </c>
      <c r="C1249" s="2" t="s">
        <v>573</v>
      </c>
      <c r="D1249" s="2" t="str">
        <f t="shared" si="18"/>
        <v>Error?</v>
      </c>
    </row>
    <row r="1250" spans="1:4" x14ac:dyDescent="0.2">
      <c r="A1250" s="5">
        <v>1189</v>
      </c>
      <c r="B1250" s="138">
        <f>'Expenditures 15-22'!F151</f>
        <v>234267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143586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143586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143586</v>
      </c>
      <c r="C1258" s="2" t="s">
        <v>573</v>
      </c>
      <c r="D1258" s="2" t="str">
        <f t="shared" si="18"/>
        <v>Error?</v>
      </c>
    </row>
    <row r="1259" spans="1:4" x14ac:dyDescent="0.2">
      <c r="A1259" s="5">
        <v>1198</v>
      </c>
      <c r="B1259" s="138">
        <f>'Expenditures 15-22'!G151</f>
        <v>143586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519</v>
      </c>
      <c r="D1262" s="2" t="str">
        <f t="shared" si="18"/>
        <v>Error?</v>
      </c>
    </row>
    <row r="1263" spans="1:4" x14ac:dyDescent="0.2">
      <c r="A1263" s="10">
        <v>1202</v>
      </c>
      <c r="D1263" s="2" t="str">
        <f t="shared" si="18"/>
        <v>OK</v>
      </c>
    </row>
    <row r="1264" spans="1:4" x14ac:dyDescent="0.2">
      <c r="A1264" s="5">
        <v>1203</v>
      </c>
      <c r="B1264" s="138">
        <f>'Expenditures 15-22'!H127</f>
        <v>519</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519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519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1576387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1576387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1576387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1576387</v>
      </c>
      <c r="C1288" s="2" t="s">
        <v>573</v>
      </c>
      <c r="D1288" s="2" t="str">
        <f t="shared" si="19"/>
        <v>Error?</v>
      </c>
    </row>
    <row r="1289" spans="1:4" x14ac:dyDescent="0.2">
      <c r="A1289" s="5">
        <v>1228</v>
      </c>
      <c r="B1289" s="138">
        <f>'Expenditures 15-22'!K152</f>
        <v>150187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320329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1013717</v>
      </c>
      <c r="D1315" s="2" t="str">
        <f t="shared" si="19"/>
        <v>Error?</v>
      </c>
    </row>
    <row r="1316" spans="1:4" x14ac:dyDescent="0.2">
      <c r="A1316" s="5">
        <v>1255</v>
      </c>
      <c r="B1316" s="138">
        <f>'Expenditures 15-22'!H171</f>
        <v>79724</v>
      </c>
      <c r="D1316" s="2" t="str">
        <f t="shared" si="19"/>
        <v>Error?</v>
      </c>
    </row>
    <row r="1317" spans="1:4" x14ac:dyDescent="0.2">
      <c r="A1317" s="5">
        <v>1256</v>
      </c>
      <c r="B1317" s="138">
        <f>'Expenditures 15-22'!H172</f>
        <v>1413770</v>
      </c>
      <c r="C1317" s="2" t="s">
        <v>573</v>
      </c>
      <c r="D1317" s="2" t="str">
        <f t="shared" si="19"/>
        <v>Error?</v>
      </c>
    </row>
    <row r="1318" spans="1:4" x14ac:dyDescent="0.2">
      <c r="A1318" s="5">
        <v>1257</v>
      </c>
      <c r="B1318" s="138">
        <f>'Expenditures 15-22'!H174</f>
        <v>1413770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320329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1013717</v>
      </c>
      <c r="C1329" s="2" t="s">
        <v>573</v>
      </c>
      <c r="D1329" s="2" t="str">
        <f t="shared" si="19"/>
        <v>Error?</v>
      </c>
    </row>
    <row r="1330" spans="1:4" x14ac:dyDescent="0.2">
      <c r="A1330" s="5">
        <v>1269</v>
      </c>
      <c r="B1330" s="138">
        <f>'Expenditures 15-22'!K171</f>
        <v>79724</v>
      </c>
      <c r="C1330" s="2" t="s">
        <v>573</v>
      </c>
      <c r="D1330" s="2" t="str">
        <f t="shared" si="19"/>
        <v>Error?</v>
      </c>
    </row>
    <row r="1331" spans="1:4" x14ac:dyDescent="0.2">
      <c r="A1331" s="5">
        <v>1270</v>
      </c>
      <c r="B1331" s="138">
        <f>'Expenditures 15-22'!K172</f>
        <v>1413770</v>
      </c>
      <c r="C1331" s="2" t="s">
        <v>573</v>
      </c>
      <c r="D1331" s="2" t="str">
        <f t="shared" si="19"/>
        <v>Error?</v>
      </c>
    </row>
    <row r="1332" spans="1:4" x14ac:dyDescent="0.2">
      <c r="A1332" s="5">
        <v>1271</v>
      </c>
      <c r="B1332" s="138">
        <f>'Expenditures 15-22'!K174</f>
        <v>1413770</v>
      </c>
      <c r="C1332" s="2" t="s">
        <v>573</v>
      </c>
      <c r="D1332" s="2" t="str">
        <f t="shared" si="19"/>
        <v>Error?</v>
      </c>
    </row>
    <row r="1333" spans="1:4" x14ac:dyDescent="0.2">
      <c r="A1333" s="5">
        <v>1272</v>
      </c>
      <c r="B1333" s="138">
        <f>'Expenditures 15-22'!K175</f>
        <v>-199286</v>
      </c>
      <c r="C1333" s="2" t="s">
        <v>573</v>
      </c>
      <c r="D1333" s="2" t="str">
        <f t="shared" si="19"/>
        <v>Error?</v>
      </c>
    </row>
    <row r="1334" spans="1:4" x14ac:dyDescent="0.2">
      <c r="A1334" s="10">
        <v>1273</v>
      </c>
      <c r="D1334" s="2" t="str">
        <f t="shared" si="19"/>
        <v>OK</v>
      </c>
    </row>
    <row r="1335" spans="1:4" x14ac:dyDescent="0.2">
      <c r="A1335" s="5">
        <v>1274</v>
      </c>
      <c r="B1335" s="138">
        <f>'Expenditures 15-22'!C182</f>
        <v>25011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25011</v>
      </c>
      <c r="C1339" s="2" t="s">
        <v>573</v>
      </c>
      <c r="D1339" s="2" t="str">
        <f t="shared" si="19"/>
        <v>Error?</v>
      </c>
    </row>
    <row r="1340" spans="1:4" x14ac:dyDescent="0.2">
      <c r="A1340" s="5">
        <v>1279</v>
      </c>
      <c r="B1340" s="138">
        <f>'Expenditures 15-22'!C210</f>
        <v>25011</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1346164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1346164</v>
      </c>
      <c r="C1351" s="2" t="s">
        <v>573</v>
      </c>
      <c r="D1351" s="2" t="str">
        <f t="shared" si="20"/>
        <v>Error?</v>
      </c>
    </row>
    <row r="1352" spans="1:4" x14ac:dyDescent="0.2">
      <c r="A1352" s="5">
        <v>1291</v>
      </c>
      <c r="B1352" s="138">
        <f>'Expenditures 15-22'!E196</f>
        <v>130002</v>
      </c>
      <c r="C1352" s="2" t="s">
        <v>573</v>
      </c>
      <c r="D1352" s="2" t="str">
        <f t="shared" si="20"/>
        <v>Error?</v>
      </c>
    </row>
    <row r="1353" spans="1:4" x14ac:dyDescent="0.2">
      <c r="A1353" s="5">
        <v>1292</v>
      </c>
      <c r="B1353" s="138">
        <f>'Expenditures 15-22'!E210</f>
        <v>1476166</v>
      </c>
      <c r="C1353" s="2" t="s">
        <v>573</v>
      </c>
      <c r="D1353" s="2" t="str">
        <f t="shared" si="20"/>
        <v>Error?</v>
      </c>
    </row>
    <row r="1354" spans="1:4" x14ac:dyDescent="0.2">
      <c r="A1354" s="5">
        <v>1293</v>
      </c>
      <c r="B1354" s="138">
        <f>'Expenditures 15-22'!F182</f>
        <v>76475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76475</v>
      </c>
      <c r="C1358" s="2" t="s">
        <v>573</v>
      </c>
      <c r="D1358" s="2" t="str">
        <f t="shared" si="20"/>
        <v>Error?</v>
      </c>
    </row>
    <row r="1359" spans="1:4" x14ac:dyDescent="0.2">
      <c r="A1359" s="5">
        <v>1298</v>
      </c>
      <c r="B1359" s="138">
        <f>'Expenditures 15-22'!F210</f>
        <v>76475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1447650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1447650</v>
      </c>
      <c r="C1381" s="2" t="s">
        <v>573</v>
      </c>
      <c r="D1381" s="2" t="str">
        <f t="shared" si="20"/>
        <v>Error?</v>
      </c>
    </row>
    <row r="1382" spans="1:4" x14ac:dyDescent="0.2">
      <c r="A1382" s="5">
        <v>1321</v>
      </c>
      <c r="B1382" s="138">
        <f>'Expenditures 15-22'!K196</f>
        <v>130002</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1577652</v>
      </c>
      <c r="C1388" s="2" t="s">
        <v>573</v>
      </c>
      <c r="D1388" s="2" t="str">
        <f t="shared" si="20"/>
        <v>Error?</v>
      </c>
    </row>
    <row r="1389" spans="1:4" x14ac:dyDescent="0.2">
      <c r="A1389" s="5">
        <v>1328</v>
      </c>
      <c r="B1389" s="138">
        <f>'Expenditures 15-22'!K211</f>
        <v>221551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17826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1386</v>
      </c>
      <c r="D1407" s="2" t="str">
        <f t="shared" ref="D1407:D1470" si="21">IF(ISBLANK(B1407),"OK",IF(A1407-B1407=0,"OK","Error?"))</f>
        <v>Error?</v>
      </c>
    </row>
    <row r="1408" spans="1:4" x14ac:dyDescent="0.2">
      <c r="A1408" s="5">
        <v>1347</v>
      </c>
      <c r="B1408" s="138">
        <f>'Expenditures 15-22'!D223</f>
        <v>2571</v>
      </c>
      <c r="D1408" s="2" t="str">
        <f t="shared" si="21"/>
        <v>Error?</v>
      </c>
    </row>
    <row r="1409" spans="1:4" x14ac:dyDescent="0.2">
      <c r="A1409" s="5">
        <v>1348</v>
      </c>
      <c r="B1409" s="138">
        <f>'Expenditures 15-22'!D224</f>
        <v>6202</v>
      </c>
      <c r="D1409" s="2" t="str">
        <f t="shared" si="21"/>
        <v>Error?</v>
      </c>
    </row>
    <row r="1410" spans="1:4" x14ac:dyDescent="0.2">
      <c r="A1410" s="5">
        <v>1349</v>
      </c>
      <c r="B1410" s="138">
        <f>'Expenditures 15-22'!D229</f>
        <v>264818</v>
      </c>
      <c r="C1410" s="2" t="s">
        <v>573</v>
      </c>
      <c r="D1410" s="2" t="str">
        <f t="shared" si="21"/>
        <v>Error?</v>
      </c>
    </row>
    <row r="1411" spans="1:4" x14ac:dyDescent="0.2">
      <c r="A1411" s="5">
        <v>1350</v>
      </c>
      <c r="B1411" s="138">
        <f>'Expenditures 15-22'!D232</f>
        <v>4601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88294</v>
      </c>
      <c r="D1413" s="2" t="str">
        <f t="shared" si="21"/>
        <v>Error?</v>
      </c>
    </row>
    <row r="1414" spans="1:4" x14ac:dyDescent="0.2">
      <c r="A1414" s="5">
        <v>1353</v>
      </c>
      <c r="B1414" s="138">
        <f>'Expenditures 15-22'!D235</f>
        <v>3794</v>
      </c>
      <c r="D1414" s="2" t="str">
        <f t="shared" si="21"/>
        <v>Error?</v>
      </c>
    </row>
    <row r="1415" spans="1:4" x14ac:dyDescent="0.2">
      <c r="A1415" s="5">
        <v>1354</v>
      </c>
      <c r="B1415" s="138">
        <f>'Expenditures 15-22'!D236</f>
        <v>6157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102846</v>
      </c>
      <c r="C1417" s="2" t="s">
        <v>573</v>
      </c>
      <c r="D1417" s="2" t="str">
        <f t="shared" si="21"/>
        <v>Error?</v>
      </c>
    </row>
    <row r="1418" spans="1:4" x14ac:dyDescent="0.2">
      <c r="A1418" s="5">
        <v>1357</v>
      </c>
      <c r="B1418" s="138">
        <f>'Expenditures 15-22'!D240</f>
        <v>13076</v>
      </c>
      <c r="D1418" s="2" t="str">
        <f t="shared" si="21"/>
        <v>Error?</v>
      </c>
    </row>
    <row r="1419" spans="1:4" x14ac:dyDescent="0.2">
      <c r="A1419" s="5">
        <v>1358</v>
      </c>
      <c r="B1419" s="138">
        <f>'Expenditures 15-22'!D241</f>
        <v>40055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53131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12583</v>
      </c>
      <c r="D1423" s="2" t="str">
        <f t="shared" si="21"/>
        <v>Error?</v>
      </c>
    </row>
    <row r="1424" spans="1:4" x14ac:dyDescent="0.2">
      <c r="A1424" s="5">
        <v>1363</v>
      </c>
      <c r="B1424" s="138">
        <f>'Expenditures 15-22'!D257</f>
        <v>12583</v>
      </c>
      <c r="C1424" s="2" t="s">
        <v>573</v>
      </c>
      <c r="D1424" s="2" t="str">
        <f t="shared" si="21"/>
        <v>Error?</v>
      </c>
    </row>
    <row r="1425" spans="1:4" x14ac:dyDescent="0.2">
      <c r="A1425" s="5">
        <v>1364</v>
      </c>
      <c r="B1425" s="138">
        <f>'Expenditures 15-22'!D259</f>
        <v>56496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56496</v>
      </c>
      <c r="C1427" s="2" t="s">
        <v>573</v>
      </c>
      <c r="D1427" s="2" t="str">
        <f t="shared" si="21"/>
        <v>Error?</v>
      </c>
    </row>
    <row r="1428" spans="1:4" x14ac:dyDescent="0.2">
      <c r="A1428" s="5">
        <v>1367</v>
      </c>
      <c r="B1428" s="138">
        <f>'Expenditures 15-22'!D263</f>
        <v>2039</v>
      </c>
      <c r="D1428" s="2" t="str">
        <f t="shared" si="21"/>
        <v>Error?</v>
      </c>
    </row>
    <row r="1429" spans="1:4" x14ac:dyDescent="0.2">
      <c r="A1429" s="5">
        <v>1368</v>
      </c>
      <c r="B1429" s="138">
        <f>'Expenditures 15-22'!D264</f>
        <v>19044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127482</v>
      </c>
      <c r="D1431" s="2" t="str">
        <f t="shared" si="21"/>
        <v>Error?</v>
      </c>
    </row>
    <row r="1432" spans="1:4" x14ac:dyDescent="0.2">
      <c r="A1432" s="5">
        <v>1371</v>
      </c>
      <c r="B1432" s="138">
        <f>'Expenditures 15-22'!D267</f>
        <v>1044</v>
      </c>
      <c r="D1432" s="2" t="str">
        <f t="shared" si="21"/>
        <v>Error?</v>
      </c>
    </row>
    <row r="1433" spans="1:4" x14ac:dyDescent="0.2">
      <c r="A1433" s="5">
        <v>1372</v>
      </c>
      <c r="B1433" s="138">
        <f>'Expenditures 15-22'!D268</f>
        <v>5978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155587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13933</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13933</v>
      </c>
      <c r="C1444" s="2" t="s">
        <v>573</v>
      </c>
      <c r="D1444" s="2" t="str">
        <f t="shared" si="21"/>
        <v>Error?</v>
      </c>
    </row>
    <row r="1445" spans="1:4" x14ac:dyDescent="0.2">
      <c r="A1445" s="5">
        <v>1384</v>
      </c>
      <c r="B1445" s="138">
        <f>'Expenditures 15-22'!D278</f>
        <v>119</v>
      </c>
      <c r="D1445" s="2" t="str">
        <f t="shared" si="21"/>
        <v>Error?</v>
      </c>
    </row>
    <row r="1446" spans="1:4" x14ac:dyDescent="0.2">
      <c r="A1446" s="5">
        <v>1385</v>
      </c>
      <c r="B1446" s="138">
        <f>'Expenditures 15-22'!D279</f>
        <v>394695</v>
      </c>
      <c r="C1446" s="2" t="s">
        <v>573</v>
      </c>
      <c r="D1446" s="2" t="str">
        <f t="shared" si="21"/>
        <v>Error?</v>
      </c>
    </row>
    <row r="1447" spans="1:4" x14ac:dyDescent="0.2">
      <c r="A1447" s="5">
        <v>1386</v>
      </c>
      <c r="B1447" s="138">
        <f>'Expenditures 15-22'!D280</f>
        <v>17573</v>
      </c>
      <c r="D1447" s="2" t="str">
        <f t="shared" si="21"/>
        <v>Error?</v>
      </c>
    </row>
    <row r="1448" spans="1:4" x14ac:dyDescent="0.2">
      <c r="A1448" s="5">
        <v>1387</v>
      </c>
      <c r="B1448" s="138">
        <f>'Expenditures 15-22'!D295</f>
        <v>677086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17826</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1386</v>
      </c>
      <c r="C1471" s="2" t="s">
        <v>573</v>
      </c>
      <c r="D1471" s="2" t="str">
        <f t="shared" ref="D1471:D1534" si="22">IF(ISBLANK(B1471),"OK",IF(A1471-B1471=0,"OK","Error?"))</f>
        <v>Error?</v>
      </c>
    </row>
    <row r="1472" spans="1:4" x14ac:dyDescent="0.2">
      <c r="A1472" s="5">
        <v>1411</v>
      </c>
      <c r="B1472" s="138">
        <f>'Expenditures 15-22'!K223</f>
        <v>2571</v>
      </c>
      <c r="C1472" s="2" t="s">
        <v>573</v>
      </c>
      <c r="D1472" s="2" t="str">
        <f t="shared" si="22"/>
        <v>Error?</v>
      </c>
    </row>
    <row r="1473" spans="1:4" x14ac:dyDescent="0.2">
      <c r="A1473" s="5">
        <v>1412</v>
      </c>
      <c r="B1473" s="138">
        <f>'Expenditures 15-22'!K224</f>
        <v>6202</v>
      </c>
      <c r="C1473" s="2" t="s">
        <v>573</v>
      </c>
      <c r="D1473" s="2" t="str">
        <f t="shared" si="22"/>
        <v>Error?</v>
      </c>
    </row>
    <row r="1474" spans="1:4" x14ac:dyDescent="0.2">
      <c r="A1474" s="5">
        <v>1413</v>
      </c>
      <c r="B1474" s="138">
        <f>'Expenditures 15-22'!K229</f>
        <v>264818</v>
      </c>
      <c r="C1474" s="2" t="s">
        <v>573</v>
      </c>
      <c r="D1474" s="2" t="str">
        <f t="shared" si="22"/>
        <v>Error?</v>
      </c>
    </row>
    <row r="1475" spans="1:4" x14ac:dyDescent="0.2">
      <c r="A1475" s="5">
        <v>1414</v>
      </c>
      <c r="B1475" s="138">
        <f>'Expenditures 15-22'!K232</f>
        <v>4601</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88294</v>
      </c>
      <c r="C1477" s="2" t="s">
        <v>573</v>
      </c>
      <c r="D1477" s="2" t="str">
        <f t="shared" si="22"/>
        <v>Error?</v>
      </c>
    </row>
    <row r="1478" spans="1:4" x14ac:dyDescent="0.2">
      <c r="A1478" s="5">
        <v>1417</v>
      </c>
      <c r="B1478" s="138">
        <f>'Expenditures 15-22'!K235</f>
        <v>3794</v>
      </c>
      <c r="C1478" s="2" t="s">
        <v>573</v>
      </c>
      <c r="D1478" s="2" t="str">
        <f t="shared" si="22"/>
        <v>Error?</v>
      </c>
    </row>
    <row r="1479" spans="1:4" x14ac:dyDescent="0.2">
      <c r="A1479" s="5">
        <v>1418</v>
      </c>
      <c r="B1479" s="138">
        <f>'Expenditures 15-22'!K236</f>
        <v>6157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102846</v>
      </c>
      <c r="C1481" s="2" t="s">
        <v>573</v>
      </c>
      <c r="D1481" s="2" t="str">
        <f t="shared" si="22"/>
        <v>Error?</v>
      </c>
    </row>
    <row r="1482" spans="1:4" x14ac:dyDescent="0.2">
      <c r="A1482" s="5">
        <v>1421</v>
      </c>
      <c r="B1482" s="138">
        <f>'Expenditures 15-22'!K240</f>
        <v>13076</v>
      </c>
      <c r="C1482" s="2" t="s">
        <v>573</v>
      </c>
      <c r="D1482" s="2" t="str">
        <f t="shared" si="22"/>
        <v>Error?</v>
      </c>
    </row>
    <row r="1483" spans="1:4" x14ac:dyDescent="0.2">
      <c r="A1483" s="5">
        <v>1422</v>
      </c>
      <c r="B1483" s="138">
        <f>'Expenditures 15-22'!K241</f>
        <v>40055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53131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12583</v>
      </c>
      <c r="C1487" s="2" t="s">
        <v>573</v>
      </c>
      <c r="D1487" s="2" t="str">
        <f t="shared" si="22"/>
        <v>Error?</v>
      </c>
    </row>
    <row r="1488" spans="1:4" x14ac:dyDescent="0.2">
      <c r="A1488" s="5">
        <v>1427</v>
      </c>
      <c r="B1488" s="138">
        <f>'Expenditures 15-22'!K257</f>
        <v>12583</v>
      </c>
      <c r="C1488" s="2" t="s">
        <v>573</v>
      </c>
      <c r="D1488" s="2" t="str">
        <f t="shared" si="22"/>
        <v>Error?</v>
      </c>
    </row>
    <row r="1489" spans="1:4" x14ac:dyDescent="0.2">
      <c r="A1489" s="5">
        <v>1428</v>
      </c>
      <c r="B1489" s="138">
        <f>'Expenditures 15-22'!K259</f>
        <v>56496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56496</v>
      </c>
      <c r="C1491" s="2" t="s">
        <v>573</v>
      </c>
      <c r="D1491" s="2" t="str">
        <f t="shared" si="22"/>
        <v>Error?</v>
      </c>
    </row>
    <row r="1492" spans="1:4" x14ac:dyDescent="0.2">
      <c r="A1492" s="5">
        <v>1431</v>
      </c>
      <c r="B1492" s="138">
        <f>'Expenditures 15-22'!K263</f>
        <v>2039</v>
      </c>
      <c r="C1492" s="2" t="s">
        <v>573</v>
      </c>
      <c r="D1492" s="2" t="str">
        <f t="shared" si="22"/>
        <v>Error?</v>
      </c>
    </row>
    <row r="1493" spans="1:4" x14ac:dyDescent="0.2">
      <c r="A1493" s="5">
        <v>1432</v>
      </c>
      <c r="B1493" s="138">
        <f>'Expenditures 15-22'!K264</f>
        <v>19044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127482</v>
      </c>
      <c r="C1495" s="2" t="s">
        <v>573</v>
      </c>
      <c r="D1495" s="2" t="str">
        <f t="shared" si="22"/>
        <v>Error?</v>
      </c>
    </row>
    <row r="1496" spans="1:4" x14ac:dyDescent="0.2">
      <c r="A1496" s="5">
        <v>1435</v>
      </c>
      <c r="B1496" s="138">
        <f>'Expenditures 15-22'!K267</f>
        <v>1044</v>
      </c>
      <c r="C1496" s="2" t="s">
        <v>573</v>
      </c>
      <c r="D1496" s="2" t="str">
        <f t="shared" si="22"/>
        <v>Error?</v>
      </c>
    </row>
    <row r="1497" spans="1:4" x14ac:dyDescent="0.2">
      <c r="A1497" s="5">
        <v>1436</v>
      </c>
      <c r="B1497" s="138">
        <f>'Expenditures 15-22'!K268</f>
        <v>5978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155587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13933</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13933</v>
      </c>
      <c r="C1508" s="2" t="s">
        <v>573</v>
      </c>
      <c r="D1508" s="2" t="str">
        <f t="shared" si="22"/>
        <v>Error?</v>
      </c>
    </row>
    <row r="1509" spans="1:4" x14ac:dyDescent="0.2">
      <c r="A1509" s="5">
        <v>1448</v>
      </c>
      <c r="B1509" s="138">
        <f>'Expenditures 15-22'!K278</f>
        <v>119</v>
      </c>
      <c r="C1509" s="2" t="s">
        <v>573</v>
      </c>
      <c r="D1509" s="2" t="str">
        <f t="shared" si="22"/>
        <v>Error?</v>
      </c>
    </row>
    <row r="1510" spans="1:4" x14ac:dyDescent="0.2">
      <c r="A1510" s="5">
        <v>1449</v>
      </c>
      <c r="B1510" s="138">
        <f>'Expenditures 15-22'!K279</f>
        <v>394695</v>
      </c>
      <c r="C1510" s="2" t="s">
        <v>573</v>
      </c>
      <c r="D1510" s="2" t="str">
        <f t="shared" si="22"/>
        <v>Error?</v>
      </c>
    </row>
    <row r="1511" spans="1:4" x14ac:dyDescent="0.2">
      <c r="A1511" s="5">
        <v>1450</v>
      </c>
      <c r="B1511" s="138">
        <f>'Expenditures 15-22'!K280</f>
        <v>17573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677086</v>
      </c>
      <c r="C1517" s="2" t="s">
        <v>573</v>
      </c>
      <c r="D1517" s="2" t="str">
        <f t="shared" si="22"/>
        <v>Error?</v>
      </c>
    </row>
    <row r="1518" spans="1:4" x14ac:dyDescent="0.2">
      <c r="A1518" s="5">
        <v>1457</v>
      </c>
      <c r="B1518" s="138">
        <f>'Expenditures 15-22'!K296</f>
        <v>56500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6100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6100</v>
      </c>
      <c r="C1535" s="2" t="s">
        <v>573</v>
      </c>
      <c r="D1535" s="2" t="str">
        <f t="shared" ref="D1535:D1598" si="23">IF(ISBLANK(B1535),"OK",IF(A1535-B1535=0,"OK","Error?"))</f>
        <v>Error?</v>
      </c>
    </row>
    <row r="1536" spans="1:4" x14ac:dyDescent="0.2">
      <c r="A1536" s="5">
        <v>1475</v>
      </c>
      <c r="B1536" s="138">
        <f>'Expenditures 15-22'!E312</f>
        <v>6100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125464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125464</v>
      </c>
      <c r="C1547" s="2" t="s">
        <v>573</v>
      </c>
      <c r="D1547" s="2" t="str">
        <f t="shared" si="23"/>
        <v>Error?</v>
      </c>
    </row>
    <row r="1548" spans="1:4" x14ac:dyDescent="0.2">
      <c r="A1548" s="5">
        <v>1487</v>
      </c>
      <c r="B1548" s="138">
        <f>'Expenditures 15-22'!G312</f>
        <v>125464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131564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131564</v>
      </c>
      <c r="C1559" s="2" t="s">
        <v>573</v>
      </c>
      <c r="D1559" s="2" t="str">
        <f t="shared" si="23"/>
        <v>Error?</v>
      </c>
    </row>
    <row r="1560" spans="1:4" x14ac:dyDescent="0.2">
      <c r="A1560" s="5">
        <v>1499</v>
      </c>
      <c r="B1560" s="138">
        <f>'Expenditures 15-22'!K312</f>
        <v>131564</v>
      </c>
      <c r="C1560" s="2" t="s">
        <v>573</v>
      </c>
      <c r="D1560" s="2" t="str">
        <f t="shared" si="23"/>
        <v>Error?</v>
      </c>
    </row>
    <row r="1561" spans="1:4" x14ac:dyDescent="0.2">
      <c r="A1561" s="5">
        <v>1500</v>
      </c>
      <c r="B1561" s="138">
        <f>'Expenditures 15-22'!K313</f>
        <v>-112431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6056537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5464236</v>
      </c>
      <c r="C1630" s="2" t="s">
        <v>573</v>
      </c>
      <c r="D1630" s="2" t="str">
        <f t="shared" si="24"/>
        <v>Error?</v>
      </c>
    </row>
    <row r="1631" spans="1:4" x14ac:dyDescent="0.2">
      <c r="A1631" s="5">
        <v>1570</v>
      </c>
      <c r="B1631" s="138">
        <f>'Acct Summary 7-8'!D79</f>
        <v>881072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901259</v>
      </c>
      <c r="C1644" s="2" t="s">
        <v>573</v>
      </c>
      <c r="D1644" s="2" t="str">
        <f t="shared" si="24"/>
        <v>Error?</v>
      </c>
    </row>
    <row r="1645" spans="1:4" x14ac:dyDescent="0.2">
      <c r="A1645" s="5">
        <v>1584</v>
      </c>
      <c r="B1645" s="138">
        <f>'Acct Summary 7-8'!E79</f>
        <v>489030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505273</v>
      </c>
      <c r="C1658" s="2" t="s">
        <v>573</v>
      </c>
      <c r="D1658" s="2" t="str">
        <f t="shared" si="24"/>
        <v>Error?</v>
      </c>
    </row>
    <row r="1659" spans="1:4" x14ac:dyDescent="0.2">
      <c r="A1659" s="5">
        <v>1598</v>
      </c>
      <c r="B1659" s="138">
        <f>'Acct Summary 7-8'!F79</f>
        <v>851353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1072904</v>
      </c>
      <c r="C1672" s="2" t="s">
        <v>573</v>
      </c>
      <c r="D1672" s="2" t="str">
        <f t="shared" si="25"/>
        <v>Error?</v>
      </c>
    </row>
    <row r="1673" spans="1:4" x14ac:dyDescent="0.2">
      <c r="A1673" s="5">
        <v>1612</v>
      </c>
      <c r="B1673" s="138">
        <f>'Acct Summary 7-8'!G79</f>
        <v>32131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88631</v>
      </c>
      <c r="C1686" s="2" t="s">
        <v>573</v>
      </c>
      <c r="D1686" s="2" t="str">
        <f t="shared" si="25"/>
        <v>Error?</v>
      </c>
    </row>
    <row r="1687" spans="1:4" x14ac:dyDescent="0.2">
      <c r="A1687" s="5">
        <v>1626</v>
      </c>
      <c r="B1687" s="138">
        <f>'Acct Summary 7-8'!H79</f>
        <v>220945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3388514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13910999</v>
      </c>
      <c r="C1744" s="2" t="s">
        <v>573</v>
      </c>
      <c r="D1744" s="2" t="str">
        <f t="shared" si="26"/>
        <v>Error?</v>
      </c>
    </row>
    <row r="1745" spans="1:5" x14ac:dyDescent="0.2">
      <c r="A1745" s="5">
        <v>1684</v>
      </c>
      <c r="B1745" s="138">
        <f>'Tax Sched 23'!B5</f>
        <v>1584286</v>
      </c>
      <c r="C1745" s="2" t="s">
        <v>573</v>
      </c>
      <c r="D1745" s="2" t="str">
        <f t="shared" si="26"/>
        <v>Error?</v>
      </c>
    </row>
    <row r="1746" spans="1:5" x14ac:dyDescent="0.2">
      <c r="A1746" s="5">
        <v>1685</v>
      </c>
      <c r="B1746" s="138">
        <f>'Tax Sched 23'!B6</f>
        <v>1205687</v>
      </c>
      <c r="C1746" s="2" t="s">
        <v>573</v>
      </c>
      <c r="D1746" s="2" t="str">
        <f t="shared" si="26"/>
        <v>Error?</v>
      </c>
    </row>
    <row r="1747" spans="1:5" x14ac:dyDescent="0.2">
      <c r="A1747" s="5">
        <v>1686</v>
      </c>
      <c r="B1747" s="138">
        <f>'Tax Sched 23'!B7</f>
        <v>1244360</v>
      </c>
      <c r="C1747" s="2" t="s">
        <v>573</v>
      </c>
      <c r="D1747" s="2" t="str">
        <f t="shared" si="26"/>
        <v>Error?</v>
      </c>
    </row>
    <row r="1748" spans="1:5" x14ac:dyDescent="0.2">
      <c r="A1748" s="5">
        <v>1687</v>
      </c>
      <c r="B1748" s="138">
        <f>'Tax Sched 23'!B8</f>
        <v>364534</v>
      </c>
      <c r="C1748" s="2" t="s">
        <v>573</v>
      </c>
      <c r="D1748" s="2" t="str">
        <f t="shared" si="26"/>
        <v>Error?</v>
      </c>
    </row>
    <row r="1749" spans="1:5" x14ac:dyDescent="0.2">
      <c r="A1749" s="5">
        <v>1688</v>
      </c>
      <c r="B1749" s="138">
        <f>'Tax Sched 23'!B10</f>
        <v>142496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212352</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19029249</v>
      </c>
      <c r="C1759" s="2" t="s">
        <v>573</v>
      </c>
      <c r="D1759" s="2" t="str">
        <f t="shared" si="26"/>
        <v>Error?</v>
      </c>
    </row>
    <row r="1760" spans="1:5" x14ac:dyDescent="0.2">
      <c r="A1760" s="5">
        <v>1699</v>
      </c>
      <c r="B1760" s="138">
        <f>'Tax Sched 23'!D4</f>
        <v>6465571</v>
      </c>
      <c r="C1760" s="2" t="s">
        <v>573</v>
      </c>
      <c r="D1760" s="2" t="str">
        <f t="shared" si="26"/>
        <v>Error?</v>
      </c>
    </row>
    <row r="1761" spans="1:5" x14ac:dyDescent="0.2">
      <c r="A1761" s="5">
        <v>1700</v>
      </c>
      <c r="B1761" s="138">
        <f>'Tax Sched 23'!D5</f>
        <v>742703</v>
      </c>
      <c r="C1761" s="2" t="s">
        <v>573</v>
      </c>
      <c r="D1761" s="2" t="str">
        <f t="shared" si="26"/>
        <v>Error?</v>
      </c>
    </row>
    <row r="1762" spans="1:5" s="8" customFormat="1" x14ac:dyDescent="0.2">
      <c r="A1762" s="5">
        <v>1701</v>
      </c>
      <c r="B1762" s="138">
        <f>'Tax Sched 23'!D6</f>
        <v>559609</v>
      </c>
      <c r="C1762" s="2" t="s">
        <v>573</v>
      </c>
      <c r="D1762" s="2" t="str">
        <f t="shared" si="26"/>
        <v>Error?</v>
      </c>
      <c r="E1762" s="9"/>
    </row>
    <row r="1763" spans="1:5" x14ac:dyDescent="0.2">
      <c r="A1763" s="5">
        <v>1702</v>
      </c>
      <c r="B1763" s="138">
        <f>'Tax Sched 23'!D7</f>
        <v>589162</v>
      </c>
      <c r="C1763" s="2" t="s">
        <v>573</v>
      </c>
      <c r="D1763" s="2" t="str">
        <f t="shared" si="26"/>
        <v>Error?</v>
      </c>
    </row>
    <row r="1764" spans="1:5" x14ac:dyDescent="0.2">
      <c r="A1764" s="5">
        <v>1703</v>
      </c>
      <c r="B1764" s="138">
        <f>'Tax Sched 23'!D8</f>
        <v>166179</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96646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8786050</v>
      </c>
      <c r="C1775" s="2" t="s">
        <v>573</v>
      </c>
      <c r="D1775" s="2" t="str">
        <f t="shared" si="26"/>
        <v>Error?</v>
      </c>
    </row>
    <row r="1776" spans="1:5" x14ac:dyDescent="0.2">
      <c r="A1776" s="5">
        <v>1715</v>
      </c>
      <c r="B1776" s="138">
        <f>'Tax Sched 23'!C4</f>
        <v>7445428</v>
      </c>
      <c r="D1776" s="2" t="str">
        <f t="shared" si="26"/>
        <v>Error?</v>
      </c>
    </row>
    <row r="1777" spans="1:4" x14ac:dyDescent="0.2">
      <c r="A1777" s="5">
        <v>1716</v>
      </c>
      <c r="B1777" s="138">
        <f>'Tax Sched 23'!C5</f>
        <v>841583</v>
      </c>
      <c r="D1777" s="2" t="str">
        <f t="shared" si="26"/>
        <v>Error?</v>
      </c>
    </row>
    <row r="1778" spans="1:4" x14ac:dyDescent="0.2">
      <c r="A1778" s="5">
        <v>1717</v>
      </c>
      <c r="B1778" s="138">
        <f>'Tax Sched 23'!C6</f>
        <v>646078</v>
      </c>
      <c r="D1778" s="2" t="str">
        <f t="shared" si="26"/>
        <v>Error?</v>
      </c>
    </row>
    <row r="1779" spans="1:4" x14ac:dyDescent="0.2">
      <c r="A1779" s="5">
        <v>1718</v>
      </c>
      <c r="B1779" s="138">
        <f>'Tax Sched 23'!C7</f>
        <v>655198</v>
      </c>
      <c r="D1779" s="2" t="str">
        <f t="shared" si="26"/>
        <v>Error?</v>
      </c>
    </row>
    <row r="1780" spans="1:4" x14ac:dyDescent="0.2">
      <c r="A1780" s="5">
        <v>1719</v>
      </c>
      <c r="B1780" s="138">
        <f>'Tax Sched 23'!C8</f>
        <v>198355</v>
      </c>
      <c r="D1780" s="2" t="str">
        <f t="shared" si="26"/>
        <v>Error?</v>
      </c>
    </row>
    <row r="1781" spans="1:4" x14ac:dyDescent="0.2">
      <c r="A1781" s="5">
        <v>1720</v>
      </c>
      <c r="B1781" s="138">
        <f>'Tax Sched 23'!C10</f>
        <v>142496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115706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10243199</v>
      </c>
      <c r="C1791" s="2" t="s">
        <v>573</v>
      </c>
      <c r="D1791" s="2" t="str">
        <f t="shared" ref="D1791:D1854" si="27">IF(ISBLANK(B1791),"OK",IF(A1791-B1791=0,"OK","Error?"))</f>
        <v>Error?</v>
      </c>
    </row>
    <row r="1792" spans="1:4" x14ac:dyDescent="0.2">
      <c r="A1792" s="5">
        <v>1731</v>
      </c>
      <c r="B1792" s="138">
        <f>'Tax Sched 23'!F4</f>
        <v>6884276</v>
      </c>
      <c r="C1792" s="2" t="s">
        <v>573</v>
      </c>
      <c r="D1792" s="2" t="str">
        <f t="shared" si="27"/>
        <v>Error?</v>
      </c>
    </row>
    <row r="1793" spans="1:4" x14ac:dyDescent="0.2">
      <c r="A1793" s="5">
        <v>1732</v>
      </c>
      <c r="B1793" s="138">
        <f>'Tax Sched 23'!F5</f>
        <v>778153</v>
      </c>
      <c r="C1793" s="2" t="s">
        <v>573</v>
      </c>
      <c r="D1793" s="2" t="str">
        <f t="shared" si="27"/>
        <v>Error?</v>
      </c>
    </row>
    <row r="1794" spans="1:4" x14ac:dyDescent="0.2">
      <c r="A1794" s="5">
        <v>1733</v>
      </c>
      <c r="B1794" s="138">
        <f>'Tax Sched 23'!F6</f>
        <v>597384</v>
      </c>
      <c r="C1794" s="2" t="s">
        <v>573</v>
      </c>
      <c r="D1794" s="2" t="str">
        <f t="shared" si="27"/>
        <v>Error?</v>
      </c>
    </row>
    <row r="1795" spans="1:4" x14ac:dyDescent="0.2">
      <c r="A1795" s="5">
        <v>1734</v>
      </c>
      <c r="B1795" s="138">
        <f>'Tax Sched 23'!F7</f>
        <v>605816</v>
      </c>
      <c r="C1795" s="2" t="s">
        <v>573</v>
      </c>
      <c r="D1795" s="2" t="str">
        <f t="shared" si="27"/>
        <v>Error?</v>
      </c>
    </row>
    <row r="1796" spans="1:4" x14ac:dyDescent="0.2">
      <c r="A1796" s="5">
        <v>1735</v>
      </c>
      <c r="B1796" s="138">
        <f>'Tax Sched 23'!F8</f>
        <v>183405</v>
      </c>
      <c r="C1796" s="2" t="s">
        <v>573</v>
      </c>
      <c r="D1796" s="2" t="str">
        <f t="shared" si="27"/>
        <v>Error?</v>
      </c>
    </row>
    <row r="1797" spans="1:4" x14ac:dyDescent="0.2">
      <c r="A1797" s="5">
        <v>1736</v>
      </c>
      <c r="B1797" s="138">
        <f>'Tax Sched 23'!F10</f>
        <v>131757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106987</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9471183</v>
      </c>
      <c r="C1807" s="2" t="s">
        <v>573</v>
      </c>
      <c r="D1807" s="2" t="str">
        <f t="shared" si="27"/>
        <v>Error?</v>
      </c>
    </row>
    <row r="1808" spans="1:4" x14ac:dyDescent="0.2">
      <c r="A1808" s="5">
        <v>1747</v>
      </c>
      <c r="B1808" s="138">
        <f>'Tax Sched 23'!E4</f>
        <v>14329704</v>
      </c>
      <c r="D1808" s="2" t="str">
        <f t="shared" si="27"/>
        <v>Error?</v>
      </c>
    </row>
    <row r="1809" spans="1:4" x14ac:dyDescent="0.2">
      <c r="A1809" s="5">
        <v>1748</v>
      </c>
      <c r="B1809" s="138">
        <f>'Tax Sched 23'!E5</f>
        <v>1619736</v>
      </c>
      <c r="D1809" s="2" t="str">
        <f t="shared" si="27"/>
        <v>Error?</v>
      </c>
    </row>
    <row r="1810" spans="1:4" x14ac:dyDescent="0.2">
      <c r="A1810" s="5">
        <v>1749</v>
      </c>
      <c r="B1810" s="138">
        <f>'Tax Sched 23'!E6</f>
        <v>1243462</v>
      </c>
      <c r="D1810" s="2" t="str">
        <f t="shared" si="27"/>
        <v>Error?</v>
      </c>
    </row>
    <row r="1811" spans="1:4" x14ac:dyDescent="0.2">
      <c r="A1811" s="5">
        <v>1750</v>
      </c>
      <c r="B1811" s="138">
        <f>'Tax Sched 23'!E7</f>
        <v>1261014</v>
      </c>
      <c r="D1811" s="2" t="str">
        <f t="shared" si="27"/>
        <v>Error?</v>
      </c>
    </row>
    <row r="1812" spans="1:4" x14ac:dyDescent="0.2">
      <c r="A1812" s="5">
        <v>1751</v>
      </c>
      <c r="B1812" s="138">
        <f>'Tax Sched 23'!E8</f>
        <v>381760</v>
      </c>
      <c r="D1812" s="2" t="str">
        <f t="shared" si="27"/>
        <v>Error?</v>
      </c>
    </row>
    <row r="1813" spans="1:4" x14ac:dyDescent="0.2">
      <c r="A1813" s="5">
        <v>1752</v>
      </c>
      <c r="B1813" s="138">
        <f>'Tax Sched 23'!E10</f>
        <v>274253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222693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19714382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7706508</v>
      </c>
      <c r="C1939" s="2" t="s">
        <v>573</v>
      </c>
      <c r="D1939" s="2" t="str">
        <f t="shared" si="29"/>
        <v>Error?</v>
      </c>
    </row>
    <row r="1940" spans="1:5" x14ac:dyDescent="0.2">
      <c r="A1940" s="5">
        <v>1879</v>
      </c>
      <c r="B1940" s="138">
        <f>'Short-Term Long-Term Debt 24'!F49</f>
        <v>4314360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405938</v>
      </c>
      <c r="D2008" s="2" t="str">
        <f t="shared" si="30"/>
        <v>Error?</v>
      </c>
    </row>
    <row r="2009" spans="1:4" x14ac:dyDescent="0.2">
      <c r="A2009" s="5">
        <v>1948</v>
      </c>
      <c r="B2009" s="138">
        <f>'Cap Outlay Deprec 26'!C8</f>
        <v>19568680</v>
      </c>
      <c r="D2009" s="2" t="str">
        <f t="shared" si="30"/>
        <v>Error?</v>
      </c>
    </row>
    <row r="2010" spans="1:4" x14ac:dyDescent="0.2">
      <c r="A2010" s="5">
        <v>1949</v>
      </c>
      <c r="B2010" s="138">
        <f>'Cap Outlay Deprec 26'!C10</f>
        <v>788721</v>
      </c>
      <c r="D2010" s="2" t="str">
        <f t="shared" si="30"/>
        <v>Error?</v>
      </c>
    </row>
    <row r="2011" spans="1:4" x14ac:dyDescent="0.2">
      <c r="A2011" s="5">
        <v>1950</v>
      </c>
      <c r="B2011" s="138">
        <f>'Cap Outlay Deprec 26'!C12</f>
        <v>2111311</v>
      </c>
      <c r="D2011" s="2" t="str">
        <f t="shared" si="30"/>
        <v>Error?</v>
      </c>
    </row>
    <row r="2012" spans="1:4" x14ac:dyDescent="0.2">
      <c r="A2012" s="5">
        <v>1951</v>
      </c>
      <c r="B2012" s="138">
        <f>'Cap Outlay Deprec 26'!C13</f>
        <v>88962</v>
      </c>
      <c r="D2012" s="2" t="str">
        <f t="shared" si="30"/>
        <v>Error?</v>
      </c>
    </row>
    <row r="2013" spans="1:4" x14ac:dyDescent="0.2">
      <c r="A2013" s="5">
        <v>1952</v>
      </c>
      <c r="B2013" s="138">
        <f>'Cap Outlay Deprec 26'!C16</f>
        <v>22963612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132820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404900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663184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405938</v>
      </c>
      <c r="C2026" s="2" t="s">
        <v>573</v>
      </c>
      <c r="D2026" s="2" t="str">
        <f t="shared" si="30"/>
        <v>Error?</v>
      </c>
    </row>
    <row r="2027" spans="1:4" x14ac:dyDescent="0.2">
      <c r="A2027" s="5">
        <v>1966</v>
      </c>
      <c r="B2027" s="138">
        <f>'Cap Outlay Deprec 26'!F8</f>
        <v>19701500</v>
      </c>
      <c r="C2027" s="2" t="s">
        <v>573</v>
      </c>
      <c r="D2027" s="2" t="str">
        <f t="shared" si="30"/>
        <v>Error?</v>
      </c>
    </row>
    <row r="2028" spans="1:4" x14ac:dyDescent="0.2">
      <c r="A2028" s="5">
        <v>1967</v>
      </c>
      <c r="B2028" s="138">
        <f>'Cap Outlay Deprec 26'!F10</f>
        <v>788721</v>
      </c>
      <c r="C2028" s="2" t="s">
        <v>573</v>
      </c>
      <c r="D2028" s="2" t="str">
        <f t="shared" si="30"/>
        <v>Error?</v>
      </c>
    </row>
    <row r="2029" spans="1:4" x14ac:dyDescent="0.2">
      <c r="A2029" s="5">
        <v>1968</v>
      </c>
      <c r="B2029" s="138">
        <f>'Cap Outlay Deprec 26'!F12</f>
        <v>2516211</v>
      </c>
      <c r="C2029" s="2" t="s">
        <v>573</v>
      </c>
      <c r="D2029" s="2" t="str">
        <f t="shared" si="30"/>
        <v>Error?</v>
      </c>
    </row>
    <row r="2030" spans="1:4" x14ac:dyDescent="0.2">
      <c r="A2030" s="5">
        <v>1969</v>
      </c>
      <c r="B2030" s="138">
        <f>'Cap Outlay Deprec 26'!F13</f>
        <v>88962</v>
      </c>
      <c r="C2030" s="2" t="s">
        <v>573</v>
      </c>
      <c r="D2030" s="2" t="str">
        <f t="shared" si="30"/>
        <v>Error?</v>
      </c>
    </row>
    <row r="2031" spans="1:4" x14ac:dyDescent="0.2">
      <c r="A2031" s="5">
        <v>1970</v>
      </c>
      <c r="B2031" s="138">
        <f>'Cap Outlay Deprec 26'!F16</f>
        <v>23626796</v>
      </c>
      <c r="C2031" s="2" t="s">
        <v>573</v>
      </c>
      <c r="D2031" s="2" t="str">
        <f t="shared" si="30"/>
        <v>Error?</v>
      </c>
    </row>
    <row r="2032" spans="1:4" x14ac:dyDescent="0.2">
      <c r="A2032" s="10">
        <v>1971</v>
      </c>
      <c r="D2032" s="2" t="str">
        <f t="shared" si="30"/>
        <v>OK</v>
      </c>
    </row>
    <row r="2033" spans="1:4" x14ac:dyDescent="0.2">
      <c r="A2033" s="5">
        <v>1972</v>
      </c>
      <c r="B2033" s="138">
        <f>'Cap Outlay Deprec 26'!H8</f>
        <v>4422051</v>
      </c>
      <c r="D2033" s="2" t="str">
        <f t="shared" si="30"/>
        <v>Error?</v>
      </c>
    </row>
    <row r="2034" spans="1:4" x14ac:dyDescent="0.2">
      <c r="A2034" s="5">
        <v>1973</v>
      </c>
      <c r="B2034" s="138">
        <f>'Cap Outlay Deprec 26'!H10</f>
        <v>372259</v>
      </c>
      <c r="D2034" s="2" t="str">
        <f t="shared" si="30"/>
        <v>Error?</v>
      </c>
    </row>
    <row r="2035" spans="1:4" x14ac:dyDescent="0.2">
      <c r="A2035" s="5">
        <v>1974</v>
      </c>
      <c r="B2035" s="138">
        <f>'Cap Outlay Deprec 26'!H12</f>
        <v>1475731</v>
      </c>
      <c r="D2035" s="2" t="str">
        <f t="shared" si="30"/>
        <v>Error?</v>
      </c>
    </row>
    <row r="2036" spans="1:4" x14ac:dyDescent="0.2">
      <c r="A2036" s="5">
        <v>1975</v>
      </c>
      <c r="B2036" s="138">
        <f>'Cap Outlay Deprec 26'!H13</f>
        <v>60695</v>
      </c>
      <c r="D2036" s="2" t="str">
        <f t="shared" si="30"/>
        <v>Error?</v>
      </c>
    </row>
    <row r="2037" spans="1:4" x14ac:dyDescent="0.2">
      <c r="A2037" s="5">
        <v>1976</v>
      </c>
      <c r="B2037" s="138">
        <f>'Cap Outlay Deprec 26'!H16</f>
        <v>6330736</v>
      </c>
      <c r="C2037" s="2" t="s">
        <v>573</v>
      </c>
      <c r="D2037" s="2" t="str">
        <f t="shared" si="30"/>
        <v>Error?</v>
      </c>
    </row>
    <row r="2038" spans="1:4" x14ac:dyDescent="0.2">
      <c r="A2038" s="10">
        <v>1977</v>
      </c>
      <c r="D2038" s="2" t="str">
        <f t="shared" si="30"/>
        <v>OK</v>
      </c>
    </row>
    <row r="2039" spans="1:4" x14ac:dyDescent="0.2">
      <c r="A2039" s="5">
        <v>1978</v>
      </c>
      <c r="B2039" s="138">
        <f>'Cap Outlay Deprec 26'!I8</f>
        <v>646410</v>
      </c>
      <c r="D2039" s="2" t="str">
        <f t="shared" si="30"/>
        <v>Error?</v>
      </c>
    </row>
    <row r="2040" spans="1:4" x14ac:dyDescent="0.2">
      <c r="A2040" s="5">
        <v>1979</v>
      </c>
      <c r="B2040" s="138">
        <f>'Cap Outlay Deprec 26'!I10</f>
        <v>23038</v>
      </c>
      <c r="D2040" s="2" t="str">
        <f t="shared" si="30"/>
        <v>Error?</v>
      </c>
    </row>
    <row r="2041" spans="1:4" x14ac:dyDescent="0.2">
      <c r="A2041" s="5">
        <v>1980</v>
      </c>
      <c r="B2041" s="138">
        <f>'Cap Outlay Deprec 26'!I12</f>
        <v>161321</v>
      </c>
      <c r="D2041" s="2" t="str">
        <f t="shared" si="30"/>
        <v>Error?</v>
      </c>
    </row>
    <row r="2042" spans="1:4" x14ac:dyDescent="0.2">
      <c r="A2042" s="5">
        <v>1981</v>
      </c>
      <c r="B2042" s="138">
        <f>'Cap Outlay Deprec 26'!I13</f>
        <v>7995</v>
      </c>
      <c r="D2042" s="2" t="str">
        <f t="shared" si="30"/>
        <v>Error?</v>
      </c>
    </row>
    <row r="2043" spans="1:4" x14ac:dyDescent="0.2">
      <c r="A2043" s="5">
        <v>1982</v>
      </c>
      <c r="B2043" s="138">
        <f>'Cap Outlay Deprec 26'!I16</f>
        <v>838764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5068461</v>
      </c>
      <c r="C2051" s="2" t="s">
        <v>573</v>
      </c>
      <c r="D2051" s="2" t="str">
        <f t="shared" si="31"/>
        <v>Error?</v>
      </c>
    </row>
    <row r="2052" spans="1:4" x14ac:dyDescent="0.2">
      <c r="A2052" s="5">
        <v>1991</v>
      </c>
      <c r="B2052" s="138">
        <f>'Cap Outlay Deprec 26'!K10</f>
        <v>395297</v>
      </c>
      <c r="C2052" s="2" t="s">
        <v>573</v>
      </c>
      <c r="D2052" s="2" t="str">
        <f t="shared" si="31"/>
        <v>Error?</v>
      </c>
    </row>
    <row r="2053" spans="1:4" x14ac:dyDescent="0.2">
      <c r="A2053" s="5">
        <v>1992</v>
      </c>
      <c r="B2053" s="138">
        <f>'Cap Outlay Deprec 26'!K12</f>
        <v>1637052</v>
      </c>
      <c r="C2053" s="2" t="s">
        <v>573</v>
      </c>
      <c r="D2053" s="2" t="str">
        <f t="shared" si="31"/>
        <v>Error?</v>
      </c>
    </row>
    <row r="2054" spans="1:4" x14ac:dyDescent="0.2">
      <c r="A2054" s="5">
        <v>1993</v>
      </c>
      <c r="B2054" s="138">
        <f>'Cap Outlay Deprec 26'!K13</f>
        <v>68690</v>
      </c>
      <c r="C2054" s="2" t="s">
        <v>573</v>
      </c>
      <c r="D2054" s="2" t="str">
        <f t="shared" si="31"/>
        <v>Error?</v>
      </c>
    </row>
    <row r="2055" spans="1:4" x14ac:dyDescent="0.2">
      <c r="A2055" s="5">
        <v>1994</v>
      </c>
      <c r="B2055" s="138">
        <f>'Cap Outlay Deprec 26'!K16</f>
        <v>7169500</v>
      </c>
      <c r="C2055" s="2" t="s">
        <v>573</v>
      </c>
      <c r="D2055" s="2" t="str">
        <f t="shared" si="31"/>
        <v>Error?</v>
      </c>
    </row>
    <row r="2056" spans="1:4" x14ac:dyDescent="0.2">
      <c r="A2056" s="5">
        <v>1995</v>
      </c>
      <c r="B2056" s="138">
        <f>'Cap Outlay Deprec 26'!L5</f>
        <v>405938</v>
      </c>
      <c r="C2056" s="2" t="s">
        <v>573</v>
      </c>
      <c r="D2056" s="2" t="str">
        <f t="shared" si="31"/>
        <v>Error?</v>
      </c>
    </row>
    <row r="2057" spans="1:4" x14ac:dyDescent="0.2">
      <c r="A2057" s="5">
        <v>1996</v>
      </c>
      <c r="B2057" s="138">
        <f>'Cap Outlay Deprec 26'!L8</f>
        <v>14633039</v>
      </c>
      <c r="C2057" s="2" t="s">
        <v>573</v>
      </c>
      <c r="D2057" s="2" t="str">
        <f t="shared" si="31"/>
        <v>Error?</v>
      </c>
    </row>
    <row r="2058" spans="1:4" x14ac:dyDescent="0.2">
      <c r="A2058" s="5">
        <v>1997</v>
      </c>
      <c r="B2058" s="138">
        <f>'Cap Outlay Deprec 26'!L10</f>
        <v>393424</v>
      </c>
      <c r="C2058" s="2" t="s">
        <v>573</v>
      </c>
      <c r="D2058" s="2" t="str">
        <f t="shared" si="31"/>
        <v>Error?</v>
      </c>
    </row>
    <row r="2059" spans="1:4" x14ac:dyDescent="0.2">
      <c r="A2059" s="5">
        <v>1998</v>
      </c>
      <c r="B2059" s="138">
        <f>'Cap Outlay Deprec 26'!L12</f>
        <v>879159</v>
      </c>
      <c r="C2059" s="2" t="s">
        <v>573</v>
      </c>
      <c r="D2059" s="2" t="str">
        <f t="shared" si="31"/>
        <v>Error?</v>
      </c>
    </row>
    <row r="2060" spans="1:4" x14ac:dyDescent="0.2">
      <c r="A2060" s="5">
        <v>1999</v>
      </c>
      <c r="B2060" s="138">
        <f>'Cap Outlay Deprec 26'!L13</f>
        <v>20272</v>
      </c>
      <c r="C2060" s="2" t="s">
        <v>573</v>
      </c>
      <c r="D2060" s="2" t="str">
        <f t="shared" si="31"/>
        <v>Error?</v>
      </c>
    </row>
    <row r="2061" spans="1:4" x14ac:dyDescent="0.2">
      <c r="A2061" s="5">
        <v>2000</v>
      </c>
      <c r="B2061" s="138">
        <f>'Cap Outlay Deprec 26'!L16</f>
        <v>16457296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261479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398311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15222442</v>
      </c>
      <c r="C2551" s="2" t="s">
        <v>573</v>
      </c>
      <c r="D2551" s="2" t="str">
        <f t="shared" si="38"/>
        <v>Error?</v>
      </c>
    </row>
    <row r="2552" spans="1:4" x14ac:dyDescent="0.2">
      <c r="A2552" s="10">
        <v>2491</v>
      </c>
      <c r="D2552" s="2" t="str">
        <f t="shared" si="38"/>
        <v>OK</v>
      </c>
    </row>
    <row r="2553" spans="1:4" x14ac:dyDescent="0.2">
      <c r="A2553" s="5">
        <v>2492</v>
      </c>
      <c r="B2553" s="138">
        <f>'Acct Summary 7-8'!C6</f>
        <v>1757602</v>
      </c>
      <c r="C2553" s="2" t="s">
        <v>573</v>
      </c>
      <c r="D2553" s="2" t="str">
        <f t="shared" si="38"/>
        <v>Error?</v>
      </c>
    </row>
    <row r="2554" spans="1:4" x14ac:dyDescent="0.2">
      <c r="A2554" s="5">
        <v>2493</v>
      </c>
      <c r="B2554" s="138">
        <f>'Acct Summary 7-8'!C7</f>
        <v>916599</v>
      </c>
      <c r="C2554" s="2" t="s">
        <v>573</v>
      </c>
      <c r="D2554" s="2" t="str">
        <f t="shared" si="38"/>
        <v>Error?</v>
      </c>
    </row>
    <row r="2555" spans="1:4" x14ac:dyDescent="0.2">
      <c r="A2555" s="5">
        <v>2494</v>
      </c>
      <c r="B2555" s="138">
        <f>'Acct Summary 7-8'!C8</f>
        <v>17896643</v>
      </c>
      <c r="C2555" s="2" t="s">
        <v>573</v>
      </c>
      <c r="D2555" s="2" t="str">
        <f t="shared" si="38"/>
        <v>Error?</v>
      </c>
    </row>
    <row r="2556" spans="1:4" x14ac:dyDescent="0.2">
      <c r="A2556" s="5">
        <v>2495</v>
      </c>
      <c r="B2556" s="138">
        <f>'Acct Summary 7-8'!C12</f>
        <v>11228480</v>
      </c>
      <c r="C2556" s="2" t="s">
        <v>573</v>
      </c>
      <c r="D2556" s="2" t="str">
        <f t="shared" si="38"/>
        <v>Error?</v>
      </c>
    </row>
    <row r="2557" spans="1:4" x14ac:dyDescent="0.2">
      <c r="A2557" s="5">
        <v>2496</v>
      </c>
      <c r="B2557" s="138">
        <f>'Acct Summary 7-8'!C13</f>
        <v>6615246</v>
      </c>
      <c r="C2557" s="2" t="s">
        <v>573</v>
      </c>
      <c r="D2557" s="2" t="str">
        <f t="shared" si="38"/>
        <v>Error?</v>
      </c>
    </row>
    <row r="2558" spans="1:4" x14ac:dyDescent="0.2">
      <c r="A2558" s="5">
        <v>2497</v>
      </c>
      <c r="B2558" s="138">
        <f>'Acct Summary 7-8'!C14</f>
        <v>205010</v>
      </c>
      <c r="C2558" s="2" t="s">
        <v>573</v>
      </c>
      <c r="D2558" s="2" t="str">
        <f t="shared" si="38"/>
        <v>Error?</v>
      </c>
    </row>
    <row r="2559" spans="1:4" x14ac:dyDescent="0.2">
      <c r="A2559" s="5">
        <v>2498</v>
      </c>
      <c r="B2559" s="138">
        <f>'Acct Summary 7-8'!C15</f>
        <v>398311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18447047</v>
      </c>
      <c r="C2561" s="2" t="s">
        <v>573</v>
      </c>
      <c r="D2561" s="2" t="str">
        <f t="shared" si="39"/>
        <v>Error?</v>
      </c>
    </row>
    <row r="2562" spans="1:4" x14ac:dyDescent="0.2">
      <c r="A2562" s="5">
        <v>2501</v>
      </c>
      <c r="B2562" s="138">
        <f>'Acct Summary 7-8'!C20</f>
        <v>-550404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1726574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1726574</v>
      </c>
      <c r="C2568" s="2" t="s">
        <v>573</v>
      </c>
      <c r="D2568" s="2" t="str">
        <f t="shared" si="39"/>
        <v>Error?</v>
      </c>
    </row>
    <row r="2569" spans="1:4" x14ac:dyDescent="0.2">
      <c r="A2569" s="5">
        <v>2508</v>
      </c>
      <c r="B2569" s="138">
        <f>'Acct Summary 7-8'!D13</f>
        <v>1576387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1576387</v>
      </c>
      <c r="C2573" s="2" t="s">
        <v>573</v>
      </c>
      <c r="D2573" s="2" t="str">
        <f t="shared" si="39"/>
        <v>Error?</v>
      </c>
    </row>
    <row r="2574" spans="1:4" x14ac:dyDescent="0.2">
      <c r="A2574" s="5">
        <v>2513</v>
      </c>
      <c r="B2574" s="138">
        <f>'Acct Summary 7-8'!D20</f>
        <v>150187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1283337</v>
      </c>
      <c r="C2591" s="2" t="s">
        <v>573</v>
      </c>
      <c r="D2591" s="2" t="str">
        <f t="shared" si="39"/>
        <v>Error?</v>
      </c>
    </row>
    <row r="2592" spans="1:4" x14ac:dyDescent="0.2">
      <c r="A2592" s="10">
        <v>2531</v>
      </c>
      <c r="D2592" s="2" t="str">
        <f t="shared" si="39"/>
        <v>OK</v>
      </c>
    </row>
    <row r="2593" spans="1:4" x14ac:dyDescent="0.2">
      <c r="A2593" s="5">
        <v>2532</v>
      </c>
      <c r="B2593" s="138">
        <f>'Acct Summary 7-8'!F6</f>
        <v>515866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1799203</v>
      </c>
      <c r="C2595" s="2" t="s">
        <v>573</v>
      </c>
      <c r="D2595" s="2" t="str">
        <f t="shared" si="39"/>
        <v>Error?</v>
      </c>
    </row>
    <row r="2596" spans="1:4" x14ac:dyDescent="0.2">
      <c r="A2596" s="5">
        <v>2535</v>
      </c>
      <c r="B2596" s="138">
        <f>'Acct Summary 7-8'!F13</f>
        <v>1447650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130002</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1577652</v>
      </c>
      <c r="C2600" s="2" t="s">
        <v>573</v>
      </c>
      <c r="D2600" s="2" t="str">
        <f t="shared" si="39"/>
        <v>Error?</v>
      </c>
    </row>
    <row r="2601" spans="1:4" x14ac:dyDescent="0.2">
      <c r="A2601" s="5">
        <v>2540</v>
      </c>
      <c r="B2601" s="138">
        <f>'Acct Summary 7-8'!F20</f>
        <v>221551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733586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733586</v>
      </c>
      <c r="C2606" s="2" t="s">
        <v>573</v>
      </c>
      <c r="D2606" s="2" t="str">
        <f t="shared" si="39"/>
        <v>Error?</v>
      </c>
    </row>
    <row r="2607" spans="1:4" x14ac:dyDescent="0.2">
      <c r="A2607" s="5">
        <v>2546</v>
      </c>
      <c r="B2607" s="138">
        <f>'Acct Summary 7-8'!G12</f>
        <v>264818</v>
      </c>
      <c r="C2607" s="2" t="s">
        <v>573</v>
      </c>
      <c r="D2607" s="2" t="str">
        <f t="shared" si="39"/>
        <v>Error?</v>
      </c>
    </row>
    <row r="2608" spans="1:4" x14ac:dyDescent="0.2">
      <c r="A2608" s="5">
        <v>2547</v>
      </c>
      <c r="B2608" s="138">
        <f>'Acct Summary 7-8'!G13</f>
        <v>394695</v>
      </c>
      <c r="C2608" s="2" t="s">
        <v>573</v>
      </c>
      <c r="D2608" s="2" t="str">
        <f t="shared" si="39"/>
        <v>Error?</v>
      </c>
    </row>
    <row r="2609" spans="1:4" x14ac:dyDescent="0.2">
      <c r="A2609" s="5">
        <v>2548</v>
      </c>
      <c r="B2609" s="138">
        <f>'Acct Summary 7-8'!G14</f>
        <v>17573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677086</v>
      </c>
      <c r="C2612" s="2" t="s">
        <v>573</v>
      </c>
      <c r="D2612" s="2" t="str">
        <f t="shared" si="39"/>
        <v>Error?</v>
      </c>
    </row>
    <row r="2613" spans="1:4" x14ac:dyDescent="0.2">
      <c r="A2613" s="5">
        <v>2552</v>
      </c>
      <c r="B2613" s="138">
        <f>'Acct Summary 7-8'!G20</f>
        <v>56500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1214484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1214484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1413770</v>
      </c>
      <c r="C2634" s="2" t="s">
        <v>573</v>
      </c>
      <c r="D2634" s="2" t="str">
        <f t="shared" si="40"/>
        <v>Error?</v>
      </c>
    </row>
    <row r="2635" spans="1:4" x14ac:dyDescent="0.2">
      <c r="A2635" s="5">
        <v>2574</v>
      </c>
      <c r="B2635" s="138">
        <f>'Acct Summary 7-8'!E17</f>
        <v>1413770</v>
      </c>
      <c r="C2635" s="2" t="s">
        <v>573</v>
      </c>
      <c r="D2635" s="2" t="str">
        <f t="shared" si="40"/>
        <v>Error?</v>
      </c>
    </row>
    <row r="2636" spans="1:4" x14ac:dyDescent="0.2">
      <c r="A2636" s="5">
        <v>2575</v>
      </c>
      <c r="B2636" s="138">
        <f>'Acct Summary 7-8'!E20</f>
        <v>-199286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19133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19133</v>
      </c>
      <c r="C2658" s="2" t="s">
        <v>573</v>
      </c>
      <c r="D2658" s="2" t="str">
        <f t="shared" si="40"/>
        <v>Error?</v>
      </c>
    </row>
    <row r="2659" spans="1:4" x14ac:dyDescent="0.2">
      <c r="A2659" s="5">
        <v>2598</v>
      </c>
      <c r="B2659" s="138">
        <f>'Acct Summary 7-8'!H13</f>
        <v>131564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131564</v>
      </c>
      <c r="C2661" s="2" t="s">
        <v>573</v>
      </c>
      <c r="D2661" s="2" t="str">
        <f t="shared" si="40"/>
        <v>Error?</v>
      </c>
    </row>
    <row r="2662" spans="1:4" x14ac:dyDescent="0.2">
      <c r="A2662" s="5">
        <v>2601</v>
      </c>
      <c r="B2662" s="138">
        <f>'Acct Summary 7-8'!H20</f>
        <v>-112431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136832</v>
      </c>
      <c r="C2789" s="2" t="s">
        <v>573</v>
      </c>
      <c r="D2789" s="2" t="str">
        <f t="shared" si="42"/>
        <v>Error?</v>
      </c>
    </row>
    <row r="2790" spans="1:4" x14ac:dyDescent="0.2">
      <c r="A2790" s="5">
        <v>2729</v>
      </c>
      <c r="B2790" s="138">
        <f>'Expenditures 15-22'!E102</f>
        <v>136832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130002</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130002</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125464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160511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43157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160511</v>
      </c>
      <c r="D2912" s="2" t="str">
        <f t="shared" si="44"/>
        <v>Error?</v>
      </c>
    </row>
    <row r="2913" spans="1:4" x14ac:dyDescent="0.2">
      <c r="A2913" s="5">
        <v>2852</v>
      </c>
      <c r="B2913" s="138">
        <f>'Assets-Liab 5-6'!I41</f>
        <v>160511</v>
      </c>
      <c r="C2913" s="2" t="s">
        <v>573</v>
      </c>
      <c r="D2913" s="2" t="str">
        <f t="shared" si="44"/>
        <v>Error?</v>
      </c>
    </row>
    <row r="2914" spans="1:4" x14ac:dyDescent="0.2">
      <c r="A2914" s="5">
        <v>2853</v>
      </c>
      <c r="B2914" s="138">
        <f>'Assets-Liab 5-6'!L33</f>
        <v>43157</v>
      </c>
      <c r="D2914" s="2" t="str">
        <f t="shared" si="44"/>
        <v>Error?</v>
      </c>
    </row>
    <row r="2915" spans="1:4" x14ac:dyDescent="0.2">
      <c r="A2915" s="10">
        <v>2854</v>
      </c>
      <c r="D2915" s="2" t="str">
        <f t="shared" si="44"/>
        <v>OK</v>
      </c>
    </row>
    <row r="2916" spans="1:4" x14ac:dyDescent="0.2">
      <c r="A2916" s="5">
        <v>2855</v>
      </c>
      <c r="B2916" s="138">
        <f>'Assets-Liab 5-6'!L34</f>
        <v>43157</v>
      </c>
      <c r="C2916" s="2" t="s">
        <v>573</v>
      </c>
      <c r="D2916" s="2" t="str">
        <f t="shared" si="44"/>
        <v>Error?</v>
      </c>
    </row>
    <row r="2917" spans="1:4" x14ac:dyDescent="0.2">
      <c r="A2917" s="5">
        <v>2856</v>
      </c>
      <c r="B2917" s="138">
        <f>'Assets-Liab 5-6'!L41</f>
        <v>43157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136832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261479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398311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130002</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130002</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85398</v>
      </c>
      <c r="D3055" s="2" t="str">
        <f t="shared" si="46"/>
        <v>Error?</v>
      </c>
    </row>
    <row r="3056" spans="1:4" x14ac:dyDescent="0.2">
      <c r="A3056" s="5">
        <v>2995</v>
      </c>
      <c r="B3056" s="138">
        <f>'Expenditures 15-22'!D10</f>
        <v>274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85672</v>
      </c>
      <c r="C3062" s="2" t="s">
        <v>573</v>
      </c>
      <c r="D3062" s="2" t="str">
        <f t="shared" si="46"/>
        <v>Error?</v>
      </c>
    </row>
    <row r="3063" spans="1:4" x14ac:dyDescent="0.2">
      <c r="A3063" s="10">
        <v>3002</v>
      </c>
      <c r="D3063" s="2" t="str">
        <f t="shared" si="46"/>
        <v>OK</v>
      </c>
    </row>
    <row r="3064" spans="1:4" x14ac:dyDescent="0.2">
      <c r="A3064" s="5">
        <v>3003</v>
      </c>
      <c r="B3064" s="138">
        <f>'Expenditures 15-22'!D219</f>
        <v>6043</v>
      </c>
      <c r="D3064" s="2" t="str">
        <f t="shared" si="46"/>
        <v>Error?</v>
      </c>
    </row>
    <row r="3065" spans="1:4" x14ac:dyDescent="0.2">
      <c r="A3065" s="5">
        <v>3004</v>
      </c>
      <c r="B3065" s="138">
        <f>'Expenditures 15-22'!K219</f>
        <v>6043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1315000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156533</v>
      </c>
      <c r="C3225" s="2" t="s">
        <v>573</v>
      </c>
      <c r="D3225" s="2" t="str">
        <f t="shared" si="49"/>
        <v>Error?</v>
      </c>
    </row>
    <row r="3226" spans="1:4" x14ac:dyDescent="0.2">
      <c r="A3226" s="5">
        <v>3165</v>
      </c>
      <c r="B3226" s="138">
        <f>'Acct Summary 7-8'!I8</f>
        <v>156533</v>
      </c>
      <c r="C3226" s="2" t="s">
        <v>573</v>
      </c>
      <c r="D3226" s="2" t="str">
        <f t="shared" si="49"/>
        <v>Error?</v>
      </c>
    </row>
    <row r="3227" spans="1:4" x14ac:dyDescent="0.2">
      <c r="A3227" s="5">
        <v>3166</v>
      </c>
      <c r="B3227" s="138">
        <f>'Acct Summary 7-8'!I20</f>
        <v>156533</v>
      </c>
      <c r="C3227" s="2" t="s">
        <v>573</v>
      </c>
      <c r="D3227" s="2" t="str">
        <f t="shared" si="49"/>
        <v>Error?</v>
      </c>
    </row>
    <row r="3228" spans="1:4" x14ac:dyDescent="0.2">
      <c r="A3228" s="5">
        <v>3167</v>
      </c>
      <c r="B3228" s="138">
        <f>'Acct Summary 7-8'!C43</f>
        <v>224360</v>
      </c>
      <c r="D3228" s="2" t="str">
        <f t="shared" si="49"/>
        <v>Error?</v>
      </c>
    </row>
    <row r="3229" spans="1:4" x14ac:dyDescent="0.2">
      <c r="A3229" s="5">
        <v>3168</v>
      </c>
      <c r="B3229" s="138">
        <f>'Acct Summary 7-8'!C44</f>
        <v>241334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283231</v>
      </c>
      <c r="C3231" s="2" t="s">
        <v>573</v>
      </c>
      <c r="D3231" s="2" t="str">
        <f t="shared" si="49"/>
        <v>Error?</v>
      </c>
    </row>
    <row r="3232" spans="1:4" x14ac:dyDescent="0.2">
      <c r="A3232" s="5">
        <v>3171</v>
      </c>
      <c r="B3232" s="138">
        <f>'Acct Summary 7-8'!C77</f>
        <v>-41897</v>
      </c>
      <c r="C3232" s="2" t="s">
        <v>573</v>
      </c>
      <c r="D3232" s="2" t="str">
        <f t="shared" si="49"/>
        <v>Error?</v>
      </c>
    </row>
    <row r="3233" spans="1:4" x14ac:dyDescent="0.2">
      <c r="A3233" s="5">
        <v>3172</v>
      </c>
      <c r="B3233" s="138">
        <f>'Acct Summary 7-8'!C78</f>
        <v>-592301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3130000</v>
      </c>
      <c r="C3237" s="2" t="s">
        <v>573</v>
      </c>
      <c r="D3237" s="2" t="str">
        <f t="shared" si="49"/>
        <v>Error?</v>
      </c>
    </row>
    <row r="3238" spans="1:4" x14ac:dyDescent="0.2">
      <c r="A3238" s="5">
        <v>3177</v>
      </c>
      <c r="B3238" s="138">
        <f>'Acct Summary 7-8'!D77</f>
        <v>-130000</v>
      </c>
      <c r="C3238" s="2" t="s">
        <v>573</v>
      </c>
      <c r="D3238" s="2" t="str">
        <f t="shared" si="49"/>
        <v>Error?</v>
      </c>
    </row>
    <row r="3239" spans="1:4" x14ac:dyDescent="0.2">
      <c r="A3239" s="5">
        <v>3178</v>
      </c>
      <c r="B3239" s="138">
        <f>'Acct Summary 7-8'!D78</f>
        <v>20187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221551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56500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1492846</v>
      </c>
      <c r="C3274" s="2" t="s">
        <v>573</v>
      </c>
      <c r="D3274" s="2" t="str">
        <f t="shared" si="50"/>
        <v>Error?</v>
      </c>
    </row>
    <row r="3275" spans="1:4" x14ac:dyDescent="0.2">
      <c r="A3275" s="5">
        <v>3214</v>
      </c>
      <c r="B3275" s="138">
        <f>'Acct Summary 7-8'!E75</f>
        <v>1277317</v>
      </c>
      <c r="D3275" s="2" t="str">
        <f t="shared" si="50"/>
        <v>Error?</v>
      </c>
    </row>
    <row r="3276" spans="1:4" x14ac:dyDescent="0.2">
      <c r="A3276" s="5">
        <v>3215</v>
      </c>
      <c r="B3276" s="138">
        <f>'Acct Summary 7-8'!E76</f>
        <v>1277317</v>
      </c>
      <c r="C3276" s="2" t="s">
        <v>573</v>
      </c>
      <c r="D3276" s="2" t="str">
        <f t="shared" si="50"/>
        <v>Error?</v>
      </c>
    </row>
    <row r="3277" spans="1:4" x14ac:dyDescent="0.2">
      <c r="A3277" s="5">
        <v>3216</v>
      </c>
      <c r="B3277" s="138">
        <f>'Acct Summary 7-8'!E77</f>
        <v>215529</v>
      </c>
      <c r="C3277" s="2" t="s">
        <v>573</v>
      </c>
      <c r="D3277" s="2" t="str">
        <f t="shared" si="50"/>
        <v>Error?</v>
      </c>
    </row>
    <row r="3278" spans="1:4" x14ac:dyDescent="0.2">
      <c r="A3278" s="5">
        <v>3217</v>
      </c>
      <c r="B3278" s="138">
        <f>'Acct Summary 7-8'!E78</f>
        <v>16243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3280000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3280000</v>
      </c>
      <c r="C3299" s="2" t="s">
        <v>573</v>
      </c>
      <c r="D3299" s="2" t="str">
        <f t="shared" si="50"/>
        <v>Error?</v>
      </c>
    </row>
    <row r="3300" spans="1:4" x14ac:dyDescent="0.2">
      <c r="A3300" s="5">
        <v>3239</v>
      </c>
      <c r="B3300" s="138">
        <f>'Acct Summary 7-8'!H78</f>
        <v>3167569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3000000</v>
      </c>
      <c r="C3317" s="2" t="s">
        <v>573</v>
      </c>
      <c r="D3317" s="2" t="str">
        <f t="shared" si="50"/>
        <v>Error?</v>
      </c>
    </row>
    <row r="3318" spans="1:4" x14ac:dyDescent="0.2">
      <c r="A3318" s="5">
        <v>3257</v>
      </c>
      <c r="B3318" s="138">
        <f>'Acct Summary 7-8'!I76</f>
        <v>3000000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156533</v>
      </c>
      <c r="C3320" s="2" t="s">
        <v>573</v>
      </c>
      <c r="D3320" s="2" t="str">
        <f t="shared" si="50"/>
        <v>Error?</v>
      </c>
    </row>
    <row r="3321" spans="1:4" x14ac:dyDescent="0.2">
      <c r="A3321" s="5">
        <v>3260</v>
      </c>
      <c r="B3321" s="138">
        <f>'Acct Summary 7-8'!I79</f>
        <v>3978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160511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1845954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526516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31990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33731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4745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425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2443361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77574</v>
      </c>
      <c r="D3387" s="2" t="str">
        <f t="shared" si="51"/>
        <v>Error?</v>
      </c>
    </row>
    <row r="3388" spans="1:4" x14ac:dyDescent="0.2">
      <c r="A3388" s="5">
        <v>3327</v>
      </c>
      <c r="B3388" s="138">
        <f>'Expenditures 15-22'!D217</f>
        <v>153216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77574</v>
      </c>
      <c r="C3390" s="2" t="s">
        <v>573</v>
      </c>
      <c r="D3390" s="2" t="str">
        <f t="shared" si="51"/>
        <v>Error?</v>
      </c>
    </row>
    <row r="3391" spans="1:4" x14ac:dyDescent="0.2">
      <c r="A3391" s="5">
        <v>3330</v>
      </c>
      <c r="B3391" s="138">
        <f>'Expenditures 15-22'!K217</f>
        <v>153216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5595136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900086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505273</v>
      </c>
      <c r="D3417" s="2" t="str">
        <f t="shared" si="52"/>
        <v>Error?</v>
      </c>
    </row>
    <row r="3418" spans="1:4" x14ac:dyDescent="0.2">
      <c r="A3418" s="10">
        <v>3357</v>
      </c>
      <c r="D3418" s="2" t="str">
        <f t="shared" si="52"/>
        <v>OK</v>
      </c>
    </row>
    <row r="3419" spans="1:4" x14ac:dyDescent="0.2">
      <c r="A3419" s="5">
        <v>3358</v>
      </c>
      <c r="B3419" s="138">
        <f>'Assets-Liab 5-6'!F4</f>
        <v>1072940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88631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3388514</v>
      </c>
      <c r="D3425" s="2" t="str">
        <f t="shared" si="52"/>
        <v>Error?</v>
      </c>
    </row>
    <row r="3426" spans="1:4" x14ac:dyDescent="0.2">
      <c r="A3426" s="10">
        <v>3365</v>
      </c>
      <c r="D3426" s="2" t="str">
        <f t="shared" si="52"/>
        <v>OK</v>
      </c>
    </row>
    <row r="3427" spans="1:4" x14ac:dyDescent="0.2">
      <c r="A3427" s="5">
        <v>3366</v>
      </c>
      <c r="B3427" s="138">
        <f>'Assets-Liab 5-6'!I4</f>
        <v>160511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43157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364535</v>
      </c>
      <c r="C3446" s="2" t="s">
        <v>573</v>
      </c>
      <c r="D3446" s="2" t="str">
        <f t="shared" si="52"/>
        <v>Error?</v>
      </c>
    </row>
    <row r="3447" spans="1:4" x14ac:dyDescent="0.2">
      <c r="A3447" s="5">
        <v>3386</v>
      </c>
      <c r="B3447" s="138">
        <f>'Tax Sched 23'!D16</f>
        <v>166180</v>
      </c>
      <c r="C3447" s="2" t="s">
        <v>573</v>
      </c>
      <c r="D3447" s="2" t="str">
        <f t="shared" si="52"/>
        <v>Error?</v>
      </c>
    </row>
    <row r="3448" spans="1:4" x14ac:dyDescent="0.2">
      <c r="A3448" s="5">
        <v>3387</v>
      </c>
      <c r="B3448" s="138">
        <f>'Tax Sched 23'!C16</f>
        <v>198355</v>
      </c>
      <c r="D3448" s="2" t="str">
        <f t="shared" si="52"/>
        <v>Error?</v>
      </c>
    </row>
    <row r="3449" spans="1:4" x14ac:dyDescent="0.2">
      <c r="A3449" s="5">
        <v>3388</v>
      </c>
      <c r="B3449" s="138">
        <f>'Tax Sched 23'!F16</f>
        <v>183405</v>
      </c>
      <c r="C3449" s="2" t="s">
        <v>573</v>
      </c>
      <c r="D3449" s="2" t="str">
        <f t="shared" si="52"/>
        <v>Error?</v>
      </c>
    </row>
    <row r="3450" spans="1:4" x14ac:dyDescent="0.2">
      <c r="A3450" s="5">
        <v>3389</v>
      </c>
      <c r="B3450" s="138">
        <f>'Tax Sched 23'!E16</f>
        <v>381760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16974</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6236101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24132744</v>
      </c>
      <c r="C4122" s="2" t="s">
        <v>573</v>
      </c>
      <c r="D4122" s="2" t="str">
        <f t="shared" si="63"/>
        <v>Error?</v>
      </c>
    </row>
    <row r="4123" spans="1:4" x14ac:dyDescent="0.2">
      <c r="A4123" s="5">
        <v>4062</v>
      </c>
      <c r="B4123" s="138">
        <f>'Acct Summary 7-8'!D10</f>
        <v>1726574</v>
      </c>
      <c r="C4123" s="2" t="s">
        <v>573</v>
      </c>
      <c r="D4123" s="2" t="str">
        <f t="shared" si="63"/>
        <v>Error?</v>
      </c>
    </row>
    <row r="4124" spans="1:4" x14ac:dyDescent="0.2">
      <c r="A4124" s="5">
        <v>4063</v>
      </c>
      <c r="B4124" s="138">
        <f>'Acct Summary 7-8'!E10</f>
        <v>1214484</v>
      </c>
      <c r="C4124" s="2" t="s">
        <v>573</v>
      </c>
      <c r="D4124" s="2" t="str">
        <f t="shared" si="63"/>
        <v>Error?</v>
      </c>
    </row>
    <row r="4125" spans="1:4" x14ac:dyDescent="0.2">
      <c r="A4125" s="5">
        <v>4064</v>
      </c>
      <c r="B4125" s="138">
        <f>'Acct Summary 7-8'!F10</f>
        <v>1799203</v>
      </c>
      <c r="C4125" s="2" t="s">
        <v>573</v>
      </c>
      <c r="D4125" s="2" t="str">
        <f t="shared" si="63"/>
        <v>Error?</v>
      </c>
    </row>
    <row r="4126" spans="1:4" x14ac:dyDescent="0.2">
      <c r="A4126" s="5">
        <v>4065</v>
      </c>
      <c r="B4126" s="138">
        <f>'Acct Summary 7-8'!G10</f>
        <v>733586</v>
      </c>
      <c r="C4126" s="2" t="s">
        <v>573</v>
      </c>
      <c r="D4126" s="2" t="str">
        <f t="shared" si="63"/>
        <v>Error?</v>
      </c>
    </row>
    <row r="4127" spans="1:4" x14ac:dyDescent="0.2">
      <c r="A4127" s="5">
        <v>4066</v>
      </c>
      <c r="B4127" s="138">
        <f>'Acct Summary 7-8'!H10</f>
        <v>19133</v>
      </c>
      <c r="C4127" s="2" t="s">
        <v>573</v>
      </c>
      <c r="D4127" s="2" t="str">
        <f t="shared" si="63"/>
        <v>Error?</v>
      </c>
    </row>
    <row r="4128" spans="1:4" x14ac:dyDescent="0.2">
      <c r="A4128" s="5">
        <v>4067</v>
      </c>
      <c r="B4128" s="138">
        <f>'Acct Summary 7-8'!I10</f>
        <v>156533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6236101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24683148</v>
      </c>
      <c r="C4136" s="2" t="s">
        <v>573</v>
      </c>
      <c r="D4136" s="2" t="str">
        <f t="shared" si="63"/>
        <v>Error?</v>
      </c>
    </row>
    <row r="4137" spans="1:4" x14ac:dyDescent="0.2">
      <c r="A4137" s="5">
        <v>4076</v>
      </c>
      <c r="B4137" s="138">
        <f>'Acct Summary 7-8'!D19</f>
        <v>1576387</v>
      </c>
      <c r="C4137" s="2" t="s">
        <v>573</v>
      </c>
      <c r="D4137" s="2" t="str">
        <f t="shared" si="63"/>
        <v>Error?</v>
      </c>
    </row>
    <row r="4138" spans="1:4" x14ac:dyDescent="0.2">
      <c r="A4138" s="5">
        <v>4077</v>
      </c>
      <c r="B4138" s="138">
        <f>'Acct Summary 7-8'!E19</f>
        <v>1413770</v>
      </c>
      <c r="C4138" s="2" t="s">
        <v>573</v>
      </c>
      <c r="D4138" s="2" t="str">
        <f t="shared" si="63"/>
        <v>Error?</v>
      </c>
    </row>
    <row r="4139" spans="1:4" x14ac:dyDescent="0.2">
      <c r="A4139" s="5">
        <v>4078</v>
      </c>
      <c r="B4139" s="138">
        <f>'Acct Summary 7-8'!F19</f>
        <v>1577652</v>
      </c>
      <c r="C4139" s="2" t="s">
        <v>573</v>
      </c>
      <c r="D4139" s="2" t="str">
        <f t="shared" si="63"/>
        <v>Error?</v>
      </c>
    </row>
    <row r="4140" spans="1:4" x14ac:dyDescent="0.2">
      <c r="A4140" s="5">
        <v>4079</v>
      </c>
      <c r="B4140" s="138">
        <f>'Acct Summary 7-8'!G19</f>
        <v>677086</v>
      </c>
      <c r="C4140" s="2" t="s">
        <v>573</v>
      </c>
      <c r="D4140" s="2" t="str">
        <f t="shared" si="63"/>
        <v>Error?</v>
      </c>
    </row>
    <row r="4141" spans="1:4" x14ac:dyDescent="0.2">
      <c r="A4141" s="5">
        <v>4080</v>
      </c>
      <c r="B4141" s="138">
        <f>'Acct Summary 7-8'!H19</f>
        <v>131564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9744805</v>
      </c>
      <c r="C4171" s="2" t="s">
        <v>573</v>
      </c>
      <c r="D4171" s="2" t="str">
        <f t="shared" si="64"/>
        <v>Error?</v>
      </c>
    </row>
    <row r="4172" spans="1:4" x14ac:dyDescent="0.2">
      <c r="A4172" s="5">
        <v>4111</v>
      </c>
      <c r="B4172" s="138">
        <f>'Short-Term Long-Term Debt 24'!J49</f>
        <v>9239532</v>
      </c>
      <c r="C4172" s="2" t="s">
        <v>573</v>
      </c>
      <c r="D4172" s="2" t="str">
        <f t="shared" si="64"/>
        <v>Error?</v>
      </c>
    </row>
    <row r="4173" spans="1:4" x14ac:dyDescent="0.2">
      <c r="A4173" s="5">
        <v>4112</v>
      </c>
      <c r="B4173" s="138">
        <f>'Short-Term Long-Term Debt 24'!H49</f>
        <v>1013717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-1262346</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2612.5</v>
      </c>
      <c r="C4265" s="2" t="s">
        <v>573</v>
      </c>
      <c r="D4265" s="2" t="str">
        <f t="shared" si="65"/>
        <v>Error?</v>
      </c>
      <c r="E4265" s="128"/>
    </row>
    <row r="4266" spans="1:5" x14ac:dyDescent="0.2">
      <c r="A4266" s="12">
        <v>4205</v>
      </c>
      <c r="B4266" s="138">
        <f>('FP Info 3'!F10)*100000</f>
        <v>295.3</v>
      </c>
      <c r="C4266" s="2" t="s">
        <v>573</v>
      </c>
      <c r="D4266" s="2" t="str">
        <f t="shared" si="65"/>
        <v>Error?</v>
      </c>
      <c r="E4266" s="128"/>
    </row>
    <row r="4267" spans="1:5" x14ac:dyDescent="0.2">
      <c r="A4267" s="12">
        <v>4206</v>
      </c>
      <c r="B4267" s="138">
        <f>('FP Info 3'!H10)*100000</f>
        <v>229.89999999999998</v>
      </c>
      <c r="C4267" s="2" t="s">
        <v>573</v>
      </c>
      <c r="D4267" s="2" t="str">
        <f t="shared" si="65"/>
        <v>Error?</v>
      </c>
      <c r="E4267" s="128"/>
    </row>
    <row r="4268" spans="1:5" x14ac:dyDescent="0.2">
      <c r="A4268" s="12">
        <v>4207</v>
      </c>
      <c r="B4268" s="138">
        <f>('FP Info 3'!J10)*100000</f>
        <v>3138</v>
      </c>
      <c r="C4268" s="2" t="s">
        <v>573</v>
      </c>
      <c r="D4268" s="2" t="str">
        <f t="shared" si="65"/>
        <v>Error?</v>
      </c>
    </row>
    <row r="4269" spans="1:5" x14ac:dyDescent="0.2">
      <c r="A4269" s="12">
        <v>4208</v>
      </c>
      <c r="B4269" s="138">
        <f>'FP Info 3'!J16</f>
        <v>7598910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14729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84317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1425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30432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30487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190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548505405</v>
      </c>
      <c r="D4995" s="2" t="str">
        <f t="shared" si="77"/>
        <v>Error?</v>
      </c>
    </row>
    <row r="4996" spans="1:4" x14ac:dyDescent="0.2">
      <c r="A4996" s="12">
        <v>4935</v>
      </c>
      <c r="B4996" s="138">
        <f>'FP Info 3'!H31</f>
        <v>37846872.945</v>
      </c>
      <c r="D4996" s="2" t="str">
        <f t="shared" si="77"/>
        <v>Error?</v>
      </c>
    </row>
    <row r="4997" spans="1:4" x14ac:dyDescent="0.2">
      <c r="A4997" s="12">
        <v>4936</v>
      </c>
      <c r="B4997" s="138">
        <f>'FP Info 3'!H37</f>
        <v>9744805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13910999</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13910999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74352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74352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2550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2550</v>
      </c>
      <c r="C5087" s="2" t="s">
        <v>573</v>
      </c>
      <c r="D5087" s="2" t="str">
        <f t="shared" si="78"/>
        <v>Error?</v>
      </c>
    </row>
    <row r="5088" spans="1:4" x14ac:dyDescent="0.2">
      <c r="A5088" s="5">
        <v>5027</v>
      </c>
      <c r="B5088" s="138">
        <f>'Revenues 9-14'!C65</f>
        <v>207939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207939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189549</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62680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62680</v>
      </c>
      <c r="C5102" s="2" t="s">
        <v>573</v>
      </c>
      <c r="D5102" s="2" t="str">
        <f t="shared" si="78"/>
        <v>Error?</v>
      </c>
    </row>
    <row r="5103" spans="1:4" x14ac:dyDescent="0.2">
      <c r="A5103" s="5">
        <v>5042</v>
      </c>
      <c r="B5103" s="138">
        <f>'Revenues 9-14'!C84</f>
        <v>250458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250458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21195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371435</v>
      </c>
      <c r="D5118" s="2" t="str">
        <f t="shared" si="78"/>
        <v>Error?</v>
      </c>
    </row>
    <row r="5119" spans="1:4" x14ac:dyDescent="0.2">
      <c r="A5119" s="5">
        <v>5058</v>
      </c>
      <c r="B5119" s="138">
        <f>'Revenues 9-14'!C107</f>
        <v>131285</v>
      </c>
      <c r="D5119" s="2" t="str">
        <f t="shared" ref="D5119:D5182" si="79">IF(ISBLANK(B5119),"OK",IF(A5119-B5119=0,"OK","Error?"))</f>
        <v>Error?</v>
      </c>
    </row>
    <row r="5120" spans="1:4" x14ac:dyDescent="0.2">
      <c r="A5120" s="5">
        <v>5059</v>
      </c>
      <c r="B5120" s="138">
        <f>'Revenues 9-14'!C108</f>
        <v>523915</v>
      </c>
      <c r="C5120" s="2" t="s">
        <v>573</v>
      </c>
      <c r="D5120" s="2" t="str">
        <f t="shared" si="79"/>
        <v>Error?</v>
      </c>
    </row>
    <row r="5121" spans="1:4" x14ac:dyDescent="0.2">
      <c r="A5121" s="5">
        <v>5060</v>
      </c>
      <c r="B5121" s="138">
        <f>'Revenues 9-14'!C109</f>
        <v>15222442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1753620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1753620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3792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3982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1757602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187365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30951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218316</v>
      </c>
      <c r="C5246" s="2" t="s">
        <v>573</v>
      </c>
      <c r="D5246" s="2" t="str">
        <f t="shared" si="80"/>
        <v>Error?</v>
      </c>
    </row>
    <row r="5247" spans="1:4" x14ac:dyDescent="0.2">
      <c r="A5247" s="5">
        <v>5186</v>
      </c>
      <c r="B5247" s="138">
        <f>'Revenues 9-14'!C200</f>
        <v>187211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1425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187211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15410</v>
      </c>
      <c r="D5274" s="2" t="str">
        <f t="shared" si="81"/>
        <v>Error?</v>
      </c>
    </row>
    <row r="5275" spans="1:4" x14ac:dyDescent="0.2">
      <c r="A5275" s="5">
        <v>5214</v>
      </c>
      <c r="B5275" s="138">
        <f>'Revenues 9-14'!C212</f>
        <v>236545</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97727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349682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916599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916599</v>
      </c>
      <c r="C5326" s="2" t="s">
        <v>573</v>
      </c>
      <c r="D5326" s="2" t="str">
        <f t="shared" si="82"/>
        <v>Error?</v>
      </c>
    </row>
    <row r="5327" spans="1:5" x14ac:dyDescent="0.2">
      <c r="A5327" s="5">
        <v>5266</v>
      </c>
      <c r="B5327" s="138">
        <f>'Revenues 9-14'!C268</f>
        <v>17896643</v>
      </c>
      <c r="C5327" s="2" t="s">
        <v>573</v>
      </c>
      <c r="D5327" s="2" t="str">
        <f t="shared" si="82"/>
        <v>Error?</v>
      </c>
    </row>
    <row r="5328" spans="1:5" x14ac:dyDescent="0.2">
      <c r="A5328" s="5">
        <v>5267</v>
      </c>
      <c r="B5328" s="138">
        <f>'Revenues 9-14'!D5</f>
        <v>1584286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1584286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19245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19245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120606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56</v>
      </c>
      <c r="D5354" s="2" t="str">
        <f t="shared" si="82"/>
        <v>Error?</v>
      </c>
    </row>
    <row r="5355" spans="1:4" x14ac:dyDescent="0.2">
      <c r="A5355" s="5">
        <v>5294</v>
      </c>
      <c r="B5355" s="138">
        <f>'Revenues 9-14'!D108</f>
        <v>123043</v>
      </c>
      <c r="C5355" s="2" t="s">
        <v>573</v>
      </c>
      <c r="D5355" s="2" t="str">
        <f t="shared" si="82"/>
        <v>Error?</v>
      </c>
    </row>
    <row r="5356" spans="1:4" x14ac:dyDescent="0.2">
      <c r="A5356" s="5">
        <v>5295</v>
      </c>
      <c r="B5356" s="138">
        <f>'Revenues 9-14'!D109</f>
        <v>1726574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1726574</v>
      </c>
      <c r="C5508" s="2" t="s">
        <v>573</v>
      </c>
      <c r="D5508" s="2" t="str">
        <f t="shared" si="85"/>
        <v>Error?</v>
      </c>
    </row>
    <row r="5509" spans="1:4" x14ac:dyDescent="0.2">
      <c r="A5509" s="5">
        <v>5448</v>
      </c>
      <c r="B5509" s="138">
        <f>'Revenues 9-14'!E5</f>
        <v>1205687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1205687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8797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8797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1214484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1214484</v>
      </c>
      <c r="C5552" s="2" t="s">
        <v>573</v>
      </c>
      <c r="D5552" s="2" t="str">
        <f t="shared" si="85"/>
        <v>Error?</v>
      </c>
    </row>
    <row r="5553" spans="1:4" x14ac:dyDescent="0.2">
      <c r="A5553" s="5">
        <v>5492</v>
      </c>
      <c r="B5553" s="138">
        <f>'Revenues 9-14'!F5</f>
        <v>1244360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1244360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24839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24839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14138</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14138</v>
      </c>
      <c r="C5587" s="2" t="s">
        <v>573</v>
      </c>
      <c r="D5587" s="2" t="str">
        <f t="shared" si="86"/>
        <v>Error?</v>
      </c>
    </row>
    <row r="5588" spans="1:4" x14ac:dyDescent="0.2">
      <c r="A5588" s="5">
        <v>5527</v>
      </c>
      <c r="B5588" s="138">
        <f>'Revenues 9-14'!F109</f>
        <v>1283337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368653</v>
      </c>
      <c r="D5615" s="2" t="str">
        <f t="shared" si="86"/>
        <v>Error?</v>
      </c>
    </row>
    <row r="5616" spans="1:4" x14ac:dyDescent="0.2">
      <c r="A5616" s="10">
        <v>5555</v>
      </c>
      <c r="D5616" s="2" t="str">
        <f t="shared" si="86"/>
        <v>OK</v>
      </c>
    </row>
    <row r="5617" spans="1:5" x14ac:dyDescent="0.2">
      <c r="A5617" s="5">
        <v>5556</v>
      </c>
      <c r="B5617" s="138">
        <f>'Revenues 9-14'!F153</f>
        <v>147213</v>
      </c>
      <c r="D5617" s="2" t="str">
        <f t="shared" si="86"/>
        <v>Error?</v>
      </c>
    </row>
    <row r="5618" spans="1:5" x14ac:dyDescent="0.2">
      <c r="A5618" s="5">
        <v>5557</v>
      </c>
      <c r="B5618" s="138">
        <f>'Revenues 9-14'!F155</f>
        <v>515866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515866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515866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1799203</v>
      </c>
      <c r="C5720" s="2" t="s">
        <v>573</v>
      </c>
      <c r="D5720" s="2" t="str">
        <f t="shared" si="88"/>
        <v>Error?</v>
      </c>
    </row>
    <row r="5721" spans="1:4" x14ac:dyDescent="0.2">
      <c r="A5721" s="5">
        <v>5660</v>
      </c>
      <c r="B5721" s="138">
        <f>'Revenues 9-14'!G5</f>
        <v>364534</v>
      </c>
      <c r="D5721" s="2" t="str">
        <f t="shared" si="88"/>
        <v>Error?</v>
      </c>
    </row>
    <row r="5722" spans="1:4" x14ac:dyDescent="0.2">
      <c r="A5722" s="5">
        <v>5661</v>
      </c>
      <c r="B5722" s="138">
        <f>'Revenues 9-14'!G7</f>
        <v>0</v>
      </c>
      <c r="D5722" s="2" t="str">
        <f t="shared" si="88"/>
        <v>Error?</v>
      </c>
    </row>
    <row r="5723" spans="1:4" x14ac:dyDescent="0.2">
      <c r="A5723" s="5">
        <v>5662</v>
      </c>
      <c r="B5723" s="138">
        <f>'Revenues 9-14'!G8</f>
        <v>364535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729069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v>
      </c>
      <c r="C5730" s="2" t="s">
        <v>573</v>
      </c>
      <c r="D5730" s="2" t="str">
        <f t="shared" si="88"/>
        <v>Error?</v>
      </c>
    </row>
    <row r="5731" spans="1:4" x14ac:dyDescent="0.2">
      <c r="A5731" s="5">
        <v>5670</v>
      </c>
      <c r="B5731" s="138">
        <f>'Revenues 9-14'!G65</f>
        <v>3517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3517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733586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19133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19133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19133</v>
      </c>
      <c r="C5915" s="2" t="s">
        <v>573</v>
      </c>
      <c r="D5915" s="2" t="str">
        <f t="shared" si="91"/>
        <v>Error?</v>
      </c>
    </row>
    <row r="5916" spans="1:4" x14ac:dyDescent="0.2">
      <c r="A5916" s="5">
        <v>5855</v>
      </c>
      <c r="B5916" s="138">
        <f>'Revenues 9-14'!I5</f>
        <v>142496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142496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14037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14037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156533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733586</v>
      </c>
      <c r="C6024" s="2" t="s">
        <v>573</v>
      </c>
      <c r="D6024" s="2" t="str">
        <f t="shared" si="93"/>
        <v>Error?</v>
      </c>
    </row>
    <row r="6025" spans="1:5" x14ac:dyDescent="0.2">
      <c r="A6025" s="5">
        <v>5964</v>
      </c>
      <c r="B6025" s="138">
        <f>'Revenues 9-14'!H109</f>
        <v>19133</v>
      </c>
      <c r="C6025" s="2" t="s">
        <v>573</v>
      </c>
      <c r="D6025" s="2" t="str">
        <f t="shared" si="93"/>
        <v>Error?</v>
      </c>
    </row>
    <row r="6026" spans="1:5" x14ac:dyDescent="0.2">
      <c r="A6026" s="5">
        <v>5965</v>
      </c>
      <c r="B6026" s="138">
        <f>'Revenues 9-14'!I109</f>
        <v>156533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189549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38949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1406.7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136133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130900</v>
      </c>
      <c r="D6169" s="2" t="str">
        <f t="shared" si="95"/>
        <v>Error?</v>
      </c>
      <c r="E6169" s="2" t="s">
        <v>190</v>
      </c>
    </row>
    <row r="6170" spans="1:5" x14ac:dyDescent="0.2">
      <c r="A6170">
        <v>6109</v>
      </c>
      <c r="B6170" s="138">
        <f>'Assets-Liab 5-6'!D30</f>
        <v>-1173</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36</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136133</v>
      </c>
      <c r="D6215" s="2" t="str">
        <f t="shared" si="96"/>
        <v>Error?</v>
      </c>
      <c r="E6215" s="2" t="s">
        <v>190</v>
      </c>
    </row>
    <row r="6216" spans="1:5" x14ac:dyDescent="0.2">
      <c r="A6216">
        <v>6155</v>
      </c>
      <c r="B6216" s="138">
        <f>'Assets-Liab 5-6'!J41</f>
        <v>136133</v>
      </c>
      <c r="D6216" s="2" t="str">
        <f t="shared" si="96"/>
        <v>Error?</v>
      </c>
      <c r="E6216" s="2" t="s">
        <v>190</v>
      </c>
    </row>
    <row r="6217" spans="1:5" x14ac:dyDescent="0.2">
      <c r="A6217">
        <v>6156</v>
      </c>
      <c r="B6217" s="138">
        <f>'Assets-Liab 5-6'!J4</f>
        <v>136133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213714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213714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213714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157646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157646</v>
      </c>
      <c r="D6229" s="2" t="str">
        <f t="shared" si="96"/>
        <v>Error?</v>
      </c>
      <c r="E6229" s="2" t="s">
        <v>190</v>
      </c>
    </row>
    <row r="6230" spans="1:5" x14ac:dyDescent="0.2">
      <c r="A6230">
        <v>6169</v>
      </c>
      <c r="B6230" s="138">
        <f>'Acct Summary 7-8'!J20</f>
        <v>56068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280000</v>
      </c>
      <c r="D6250" s="2" t="str">
        <f t="shared" si="96"/>
        <v>Error?</v>
      </c>
      <c r="E6250" s="2" t="s">
        <v>190</v>
      </c>
    </row>
    <row r="6251" spans="1:5" x14ac:dyDescent="0.2">
      <c r="A6251">
        <v>6190</v>
      </c>
      <c r="B6251" s="138">
        <f>'Acct Summary 7-8'!D70</f>
        <v>3000000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56068</v>
      </c>
      <c r="D6263" s="2" t="str">
        <f t="shared" si="96"/>
        <v>Error?</v>
      </c>
      <c r="E6263" s="2" t="s">
        <v>190</v>
      </c>
    </row>
    <row r="6264" spans="1:5" x14ac:dyDescent="0.2">
      <c r="A6264">
        <v>6203</v>
      </c>
      <c r="B6264" s="138">
        <f>'Acct Summary 7-8'!J79</f>
        <v>80065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136133</v>
      </c>
      <c r="D6266" s="2" t="str">
        <f t="shared" si="96"/>
        <v>Error?</v>
      </c>
      <c r="E6266" s="2" t="s">
        <v>190</v>
      </c>
    </row>
    <row r="6267" spans="1:5" x14ac:dyDescent="0.2">
      <c r="A6267">
        <v>6206</v>
      </c>
      <c r="B6267" s="138">
        <f>'Acct Summary 7-8'!C82</f>
        <v>-592301</v>
      </c>
      <c r="D6267" s="2" t="str">
        <f t="shared" si="96"/>
        <v>Error?</v>
      </c>
      <c r="E6267" s="2" t="s">
        <v>190</v>
      </c>
    </row>
    <row r="6268" spans="1:5" x14ac:dyDescent="0.2">
      <c r="A6268">
        <v>6207</v>
      </c>
      <c r="B6268" s="138">
        <f>'Acct Summary 7-8'!D82</f>
        <v>20187</v>
      </c>
      <c r="D6268" s="2" t="str">
        <f t="shared" si="96"/>
        <v>Error?</v>
      </c>
      <c r="E6268" s="2" t="s">
        <v>190</v>
      </c>
    </row>
    <row r="6269" spans="1:5" x14ac:dyDescent="0.2">
      <c r="A6269">
        <v>6208</v>
      </c>
      <c r="B6269" s="138">
        <f>'Acct Summary 7-8'!E82</f>
        <v>16243</v>
      </c>
      <c r="D6269" s="2" t="str">
        <f t="shared" si="96"/>
        <v>Error?</v>
      </c>
      <c r="E6269" s="2" t="s">
        <v>190</v>
      </c>
    </row>
    <row r="6270" spans="1:5" x14ac:dyDescent="0.2">
      <c r="A6270">
        <v>6209</v>
      </c>
      <c r="B6270" s="138">
        <f>'Acct Summary 7-8'!F82</f>
        <v>221551</v>
      </c>
      <c r="D6270" s="2" t="str">
        <f t="shared" si="96"/>
        <v>Error?</v>
      </c>
      <c r="E6270" s="2" t="s">
        <v>190</v>
      </c>
    </row>
    <row r="6271" spans="1:5" x14ac:dyDescent="0.2">
      <c r="A6271">
        <v>6210</v>
      </c>
      <c r="B6271" s="138">
        <f>'Acct Summary 7-8'!G82</f>
        <v>56500</v>
      </c>
      <c r="D6271" s="2" t="str">
        <f t="shared" ref="D6271:D6334" si="97">IF(ISBLANK(B6271),"OK",IF(A6271-B6271=0,"OK","Error?"))</f>
        <v>Error?</v>
      </c>
      <c r="E6271" s="2" t="s">
        <v>190</v>
      </c>
    </row>
    <row r="6272" spans="1:5" x14ac:dyDescent="0.2">
      <c r="A6272">
        <v>6211</v>
      </c>
      <c r="B6272" s="138">
        <f>'Acct Summary 7-8'!H82</f>
        <v>3167569</v>
      </c>
      <c r="D6272" s="2" t="str">
        <f t="shared" si="97"/>
        <v>Error?</v>
      </c>
      <c r="E6272" s="2" t="s">
        <v>190</v>
      </c>
    </row>
    <row r="6273" spans="1:5" x14ac:dyDescent="0.2">
      <c r="A6273">
        <v>6212</v>
      </c>
      <c r="B6273" s="138">
        <f>'Acct Summary 7-8'!I82</f>
        <v>156533</v>
      </c>
      <c r="D6273" s="2" t="str">
        <f t="shared" si="97"/>
        <v>Error?</v>
      </c>
      <c r="E6273" s="2" t="s">
        <v>190</v>
      </c>
    </row>
    <row r="6274" spans="1:5" x14ac:dyDescent="0.2">
      <c r="A6274">
        <v>6213</v>
      </c>
      <c r="B6274" s="138">
        <f>'Acct Summary 7-8'!J82</f>
        <v>56068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-0.10839594043888295</v>
      </c>
      <c r="D6276" s="2" t="str">
        <f t="shared" si="97"/>
        <v>Error?</v>
      </c>
      <c r="E6276" s="2" t="s">
        <v>190</v>
      </c>
    </row>
    <row r="6277" spans="1:5" x14ac:dyDescent="0.2">
      <c r="A6277">
        <v>6216</v>
      </c>
      <c r="B6277" s="138">
        <f>'Acct Summary 7-8'!D83</f>
        <v>2.2398666753951971E-2</v>
      </c>
      <c r="D6277" s="2" t="str">
        <f t="shared" si="97"/>
        <v>Error?</v>
      </c>
      <c r="E6277" s="2" t="s">
        <v>190</v>
      </c>
    </row>
    <row r="6278" spans="1:5" x14ac:dyDescent="0.2">
      <c r="A6278">
        <v>6217</v>
      </c>
      <c r="B6278" s="138">
        <f>'Acct Summary 7-8'!E83</f>
        <v>3.2146977970324953E-2</v>
      </c>
      <c r="D6278" s="2" t="str">
        <f t="shared" si="97"/>
        <v>Error?</v>
      </c>
      <c r="E6278" s="2" t="s">
        <v>190</v>
      </c>
    </row>
    <row r="6279" spans="1:5" x14ac:dyDescent="0.2">
      <c r="A6279">
        <v>6218</v>
      </c>
      <c r="B6279" s="138">
        <f>'Acct Summary 7-8'!F83</f>
        <v>0.20649657378479341</v>
      </c>
      <c r="D6279" s="2" t="str">
        <f t="shared" si="97"/>
        <v>Error?</v>
      </c>
      <c r="E6279" s="2" t="s">
        <v>190</v>
      </c>
    </row>
    <row r="6280" spans="1:5" x14ac:dyDescent="0.2">
      <c r="A6280">
        <v>6219</v>
      </c>
      <c r="B6280" s="138">
        <f>'Acct Summary 7-8'!G83</f>
        <v>0.6374744728142524</v>
      </c>
      <c r="D6280" s="2" t="str">
        <f t="shared" si="97"/>
        <v>Error?</v>
      </c>
      <c r="E6280" s="2" t="s">
        <v>190</v>
      </c>
    </row>
    <row r="6281" spans="1:5" x14ac:dyDescent="0.2">
      <c r="A6281">
        <v>6220</v>
      </c>
      <c r="B6281" s="138">
        <f>'Acct Summary 7-8'!H83</f>
        <v>0.93479590168433713</v>
      </c>
      <c r="D6281" s="2" t="str">
        <f t="shared" si="97"/>
        <v>Error?</v>
      </c>
      <c r="E6281" s="2" t="s">
        <v>190</v>
      </c>
    </row>
    <row r="6282" spans="1:5" x14ac:dyDescent="0.2">
      <c r="A6282">
        <v>6221</v>
      </c>
      <c r="B6282" s="138">
        <f>'Acct Summary 7-8'!I83</f>
        <v>0.97521665181825545</v>
      </c>
      <c r="D6282" s="2" t="str">
        <f t="shared" si="97"/>
        <v>Error?</v>
      </c>
      <c r="E6282" s="2" t="s">
        <v>190</v>
      </c>
    </row>
    <row r="6283" spans="1:5" x14ac:dyDescent="0.2">
      <c r="A6283">
        <v>6222</v>
      </c>
      <c r="B6283" s="138">
        <f>'Acct Summary 7-8'!J83</f>
        <v>0.41186192914282355</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128718</v>
      </c>
      <c r="D6285" s="2" t="str">
        <f t="shared" si="97"/>
        <v>Error?</v>
      </c>
      <c r="E6285" s="2" t="s">
        <v>190</v>
      </c>
    </row>
    <row r="6286" spans="1:5" x14ac:dyDescent="0.2">
      <c r="A6286">
        <v>6225</v>
      </c>
      <c r="B6286" s="138">
        <f>'Acct Summary 7-8'!E38</f>
        <v>4513</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3280000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212352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212352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1362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1362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2381</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213714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202152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275380</v>
      </c>
      <c r="D6880" s="2" t="str">
        <f t="shared" si="106"/>
        <v>Error?</v>
      </c>
    </row>
    <row r="6881" spans="1:4" x14ac:dyDescent="0.2">
      <c r="A6881">
        <v>6820</v>
      </c>
      <c r="B6881" s="138">
        <f>'Expenditures 15-22'!K22</f>
        <v>275380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62518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62518</v>
      </c>
      <c r="D6940" s="2" t="str">
        <f t="shared" si="107"/>
        <v>Error?</v>
      </c>
    </row>
    <row r="6941" spans="1:4" x14ac:dyDescent="0.2">
      <c r="A6941">
        <v>6880</v>
      </c>
      <c r="B6941" s="138">
        <f>'Expenditures 15-22'!L52</f>
        <v>65000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4224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4224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4224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157646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4224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213714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99018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99018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340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340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58288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58288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157646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157646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157646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157646</v>
      </c>
      <c r="D7224" s="2" t="str">
        <f t="shared" si="111"/>
        <v>Error?</v>
      </c>
    </row>
    <row r="7225" spans="1:4" x14ac:dyDescent="0.2">
      <c r="A7225">
        <v>7164</v>
      </c>
      <c r="B7225" s="138">
        <f>'Expenditures 15-22'!K343</f>
        <v>56068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157181</v>
      </c>
      <c r="D7251" s="2" t="str">
        <f t="shared" si="112"/>
        <v>Error?</v>
      </c>
    </row>
    <row r="7252" spans="1:4" x14ac:dyDescent="0.2">
      <c r="A7252">
        <f t="shared" si="113"/>
        <v>7191</v>
      </c>
      <c r="B7252" s="138">
        <f>'Expenditures 15-22'!D9</f>
        <v>43635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1336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125464</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125464</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125464</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4224</v>
      </c>
      <c r="D7624" s="2" t="str">
        <f t="shared" si="124"/>
        <v>Error?</v>
      </c>
      <c r="E7624" s="2" t="s">
        <v>19</v>
      </c>
    </row>
    <row r="7625" spans="1:5" x14ac:dyDescent="0.2">
      <c r="A7625">
        <f t="shared" si="123"/>
        <v>7564</v>
      </c>
      <c r="B7625" s="138">
        <f>'Cap Outlay Deprec 26'!I17</f>
        <v>422.4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839186.4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128718</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3231</v>
      </c>
      <c r="D7663" s="2" t="str">
        <f t="shared" si="124"/>
        <v>Error?</v>
      </c>
      <c r="E7663" s="2" t="s">
        <v>827</v>
      </c>
    </row>
    <row r="7664" spans="1:5" x14ac:dyDescent="0.2">
      <c r="A7664">
        <v>7603</v>
      </c>
      <c r="B7664" s="138">
        <f>'Acct Summary 7-8'!D60</f>
        <v>1282</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3000000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3440674</v>
      </c>
      <c r="D7797" s="2" t="str">
        <f t="shared" si="127"/>
        <v>Error?</v>
      </c>
      <c r="E7797" s="4" t="s">
        <v>1901</v>
      </c>
    </row>
    <row r="7798" spans="1:5" x14ac:dyDescent="0.2">
      <c r="A7798">
        <v>7737</v>
      </c>
      <c r="B7798" s="138">
        <f>'Contracts Paid in CY 29'!F141</f>
        <v>621607</v>
      </c>
      <c r="D7798" s="2" t="str">
        <f t="shared" si="127"/>
        <v>Error?</v>
      </c>
      <c r="E7798" s="4" t="s">
        <v>1901</v>
      </c>
    </row>
    <row r="7799" spans="1:5" x14ac:dyDescent="0.2">
      <c r="A7799">
        <v>7738</v>
      </c>
      <c r="B7799" s="138">
        <f>'Contracts Paid in CY 29'!G141</f>
        <v>2789711</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1986</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Prospect Heights SD 23</v>
      </c>
      <c r="B7" s="2407"/>
      <c r="C7" s="2407"/>
      <c r="D7" s="2408"/>
      <c r="E7" s="2409">
        <f>COVER!A13</f>
        <v>5016023002</v>
      </c>
      <c r="F7" s="2410"/>
      <c r="G7" s="2416" t="str">
        <f>COVER!T23</f>
        <v>066-005340</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Evans, Marshall and Pease, PC</v>
      </c>
      <c r="H9" s="2422"/>
      <c r="I9" s="2422"/>
      <c r="J9" s="2422"/>
      <c r="K9" s="2422"/>
      <c r="L9" s="2423"/>
    </row>
    <row r="10" spans="1:29" ht="13.5" customHeight="1" x14ac:dyDescent="0.2">
      <c r="A10" s="2396">
        <f>COVER!A38</f>
        <v>0</v>
      </c>
      <c r="B10" s="2397"/>
      <c r="C10" s="2397"/>
      <c r="D10" s="2397"/>
      <c r="E10" s="2397"/>
      <c r="F10" s="2398"/>
      <c r="G10" s="2390" t="str">
        <f>COVER!T17</f>
        <v>1875 Hicks Road</v>
      </c>
      <c r="H10" s="2391"/>
      <c r="I10" s="2391"/>
      <c r="J10" s="2391"/>
      <c r="K10" s="2391"/>
      <c r="L10" s="2392"/>
    </row>
    <row r="11" spans="1:29" ht="13.5" customHeight="1" x14ac:dyDescent="0.2">
      <c r="A11" s="1184" t="s">
        <v>1519</v>
      </c>
      <c r="B11" s="1185"/>
      <c r="C11" s="1186"/>
      <c r="D11" s="1191"/>
      <c r="E11" s="1186"/>
      <c r="F11" s="1190"/>
      <c r="G11" s="2390" t="str">
        <f>COVER!T19</f>
        <v>Rolling Meadows</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jeff@empcpa.com</v>
      </c>
      <c r="J13" s="2403"/>
      <c r="K13" s="2403"/>
      <c r="L13" s="2404"/>
    </row>
    <row r="14" spans="1:29" ht="13.5" customHeight="1" x14ac:dyDescent="0.2">
      <c r="A14" s="2390" t="str">
        <f>COVER!A19</f>
        <v>700 Schoenbeck Road</v>
      </c>
      <c r="B14" s="2391"/>
      <c r="C14" s="2391"/>
      <c r="D14" s="2391"/>
      <c r="E14" s="2391"/>
      <c r="F14" s="2392"/>
      <c r="G14" s="1195" t="s">
        <v>1185</v>
      </c>
      <c r="H14" s="1193"/>
      <c r="I14" s="1193"/>
      <c r="J14" s="1193"/>
      <c r="K14" s="1193"/>
      <c r="L14" s="1194"/>
    </row>
    <row r="15" spans="1:29" ht="13.5" customHeight="1" x14ac:dyDescent="0.2">
      <c r="A15" s="2390" t="str">
        <f>COVER!A21</f>
        <v xml:space="preserve">Prospect Heights  </v>
      </c>
      <c r="B15" s="2391"/>
      <c r="C15" s="2391"/>
      <c r="D15" s="2391"/>
      <c r="E15" s="2391"/>
      <c r="F15" s="2392"/>
      <c r="G15" s="2387" t="str">
        <f>COVER!T15</f>
        <v>Jeffery M. Rollefson, CPA</v>
      </c>
      <c r="H15" s="2388"/>
      <c r="I15" s="2388"/>
      <c r="J15" s="2388"/>
      <c r="K15" s="2388"/>
      <c r="L15" s="2389"/>
    </row>
    <row r="16" spans="1:29" ht="12.2" customHeight="1" x14ac:dyDescent="0.2">
      <c r="A16" s="2412">
        <f>COVER!A25</f>
        <v>60070</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847-221-5700</v>
      </c>
      <c r="H18" s="2407"/>
      <c r="I18" s="2407"/>
      <c r="J18" s="2407"/>
      <c r="K18" s="2406" t="str">
        <f>COVER!X21</f>
        <v>847-221-5701</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Prospect Heights SD 23</v>
      </c>
      <c r="B1" s="2405"/>
      <c r="C1" s="2405"/>
      <c r="D1" s="2405"/>
    </row>
    <row r="2" spans="1:11" s="1212" customFormat="1" ht="12.75" x14ac:dyDescent="0.2">
      <c r="A2" s="2429">
        <f>'Single Audit Cover'!E7</f>
        <v>5016023002</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51" sqref="D5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Prospect Heights SD 23</v>
      </c>
      <c r="B1" s="2432"/>
      <c r="C1" s="2432"/>
      <c r="D1" s="2432"/>
      <c r="E1" s="2432"/>
    </row>
    <row r="2" spans="1:5" x14ac:dyDescent="0.2">
      <c r="A2" s="2433">
        <f>'Single Audit Cover'!E7</f>
        <v>5016023002</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916599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38949</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-84317</v>
      </c>
    </row>
    <row r="19" spans="1:4" ht="13.5" thickBot="1" x14ac:dyDescent="0.25">
      <c r="A19" s="1262" t="s">
        <v>1235</v>
      </c>
      <c r="D19" s="1263">
        <f>SUM(D10:D17)</f>
        <v>871231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871231</v>
      </c>
    </row>
    <row r="33" spans="1:4" x14ac:dyDescent="0.2">
      <c r="D33" s="1266"/>
    </row>
    <row r="34" spans="1:4" x14ac:dyDescent="0.2">
      <c r="A34" s="317" t="s">
        <v>1232</v>
      </c>
    </row>
    <row r="35" spans="1:4" x14ac:dyDescent="0.2">
      <c r="A35" s="317" t="s">
        <v>1231</v>
      </c>
      <c r="B35" s="1255" t="s">
        <v>1230</v>
      </c>
      <c r="D35" s="1267">
        <v>871231</v>
      </c>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871231</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0" zoomScaleNormal="100" workbookViewId="0">
      <selection activeCell="I21" sqref="I21:I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Prospect Heights SD 23</v>
      </c>
      <c r="C1" s="2436"/>
      <c r="D1" s="2436"/>
      <c r="E1" s="2436"/>
      <c r="F1" s="2436"/>
      <c r="G1" s="2436"/>
      <c r="H1" s="2436"/>
      <c r="I1" s="2436"/>
      <c r="J1" s="2436"/>
      <c r="K1" s="2436"/>
      <c r="L1" s="2436"/>
      <c r="M1" s="2436"/>
    </row>
    <row r="2" spans="2:14" ht="15" x14ac:dyDescent="0.2">
      <c r="B2" s="2437">
        <f>'Single Audit Cover'!E7</f>
        <v>5016023002</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5" t="s">
        <v>2074</v>
      </c>
      <c r="C11" s="1335"/>
      <c r="D11" s="1336"/>
      <c r="E11" s="1337"/>
      <c r="F11" s="1337"/>
      <c r="G11" s="1337"/>
      <c r="H11" s="1337"/>
      <c r="I11" s="1337"/>
      <c r="J11" s="1337"/>
      <c r="K11" s="1337"/>
      <c r="L11" s="1337"/>
      <c r="M11" s="1337"/>
    </row>
    <row r="12" spans="2:14" ht="20.100000000000001" customHeight="1" x14ac:dyDescent="0.2">
      <c r="B12" s="1936" t="s">
        <v>2075</v>
      </c>
      <c r="C12" s="1338"/>
      <c r="D12" s="1339"/>
      <c r="E12" s="1340"/>
      <c r="F12" s="1340"/>
      <c r="G12" s="1340"/>
      <c r="H12" s="1340"/>
      <c r="I12" s="1340"/>
      <c r="J12" s="1340"/>
      <c r="K12" s="1340"/>
      <c r="L12" s="1337"/>
      <c r="M12" s="1340"/>
    </row>
    <row r="13" spans="2:14" ht="20.100000000000001" customHeight="1" x14ac:dyDescent="0.2">
      <c r="B13" s="1334" t="s">
        <v>2076</v>
      </c>
      <c r="C13" s="1338">
        <v>84.01</v>
      </c>
      <c r="D13" s="1339" t="s">
        <v>2077</v>
      </c>
      <c r="E13" s="1340">
        <v>76540</v>
      </c>
      <c r="F13" s="1340">
        <v>83765</v>
      </c>
      <c r="G13" s="1340">
        <v>152360</v>
      </c>
      <c r="H13" s="1340"/>
      <c r="I13" s="1340">
        <v>7945</v>
      </c>
      <c r="J13" s="1340"/>
      <c r="K13" s="1340"/>
      <c r="L13" s="1337">
        <f t="shared" ref="L13:L27" si="0">+G13+I13+K13</f>
        <v>160305</v>
      </c>
      <c r="M13" s="1340">
        <v>173603</v>
      </c>
    </row>
    <row r="14" spans="2:14" ht="20.100000000000001" customHeight="1" x14ac:dyDescent="0.2">
      <c r="B14" s="1334" t="s">
        <v>2076</v>
      </c>
      <c r="C14" s="1338">
        <v>84.01</v>
      </c>
      <c r="D14" s="1339" t="s">
        <v>2078</v>
      </c>
      <c r="E14" s="1340"/>
      <c r="F14" s="1340">
        <v>98446</v>
      </c>
      <c r="G14" s="1340"/>
      <c r="H14" s="1340"/>
      <c r="I14" s="1340">
        <v>131494</v>
      </c>
      <c r="J14" s="1340"/>
      <c r="K14" s="1340"/>
      <c r="L14" s="1337" t="s">
        <v>2079</v>
      </c>
      <c r="M14" s="1340">
        <v>164807</v>
      </c>
    </row>
    <row r="15" spans="2:14" ht="20.100000000000001" customHeight="1" x14ac:dyDescent="0.2">
      <c r="B15" s="1334" t="s">
        <v>2080</v>
      </c>
      <c r="C15" s="1338">
        <v>84.01</v>
      </c>
      <c r="D15" s="1339" t="s">
        <v>2081</v>
      </c>
      <c r="E15" s="1340"/>
      <c r="F15" s="1340">
        <v>5000</v>
      </c>
      <c r="G15" s="1340"/>
      <c r="H15" s="1340"/>
      <c r="I15" s="1340">
        <v>5000</v>
      </c>
      <c r="J15" s="1340"/>
      <c r="K15" s="1340"/>
      <c r="L15" s="1337" t="s">
        <v>2085</v>
      </c>
      <c r="M15" s="1340">
        <v>15000</v>
      </c>
    </row>
    <row r="16" spans="2:14" ht="20.100000000000001" customHeight="1" x14ac:dyDescent="0.2">
      <c r="B16" s="1334" t="s">
        <v>2082</v>
      </c>
      <c r="C16" s="1338">
        <v>84.367000000000004</v>
      </c>
      <c r="D16" s="1339" t="s">
        <v>2083</v>
      </c>
      <c r="E16" s="1340">
        <v>15877</v>
      </c>
      <c r="F16" s="1340">
        <v>15735</v>
      </c>
      <c r="G16" s="1340">
        <v>31612</v>
      </c>
      <c r="H16" s="1340"/>
      <c r="I16" s="1340"/>
      <c r="J16" s="1340"/>
      <c r="K16" s="1340"/>
      <c r="L16" s="1337">
        <f t="shared" si="0"/>
        <v>31612</v>
      </c>
      <c r="M16" s="1340">
        <v>34483</v>
      </c>
    </row>
    <row r="17" spans="2:14" ht="20.100000000000001" customHeight="1" x14ac:dyDescent="0.2">
      <c r="B17" s="1334" t="s">
        <v>2082</v>
      </c>
      <c r="C17" s="1338">
        <v>84.367000000000004</v>
      </c>
      <c r="D17" s="1339" t="s">
        <v>2084</v>
      </c>
      <c r="E17" s="1340"/>
      <c r="F17" s="1340">
        <v>14752</v>
      </c>
      <c r="G17" s="1340"/>
      <c r="H17" s="1340"/>
      <c r="I17" s="1340">
        <v>27435</v>
      </c>
      <c r="J17" s="1340"/>
      <c r="K17" s="1340"/>
      <c r="L17" s="1337" t="s">
        <v>2079</v>
      </c>
      <c r="M17" s="1340">
        <v>35608</v>
      </c>
    </row>
    <row r="18" spans="2:14" ht="20.100000000000001" customHeight="1" x14ac:dyDescent="0.2">
      <c r="B18" s="1334" t="s">
        <v>2086</v>
      </c>
      <c r="C18" s="1338">
        <v>84.364999999999995</v>
      </c>
      <c r="D18" s="1339" t="s">
        <v>2087</v>
      </c>
      <c r="E18" s="1340">
        <v>28863</v>
      </c>
      <c r="F18" s="1340">
        <v>11671</v>
      </c>
      <c r="G18" s="1340">
        <v>40534</v>
      </c>
      <c r="H18" s="1340"/>
      <c r="I18" s="1340"/>
      <c r="J18" s="1340"/>
      <c r="K18" s="1340"/>
      <c r="L18" s="1337">
        <f t="shared" si="0"/>
        <v>40534</v>
      </c>
      <c r="M18" s="1340">
        <v>40534</v>
      </c>
    </row>
    <row r="19" spans="2:14" ht="20.100000000000001" customHeight="1" x14ac:dyDescent="0.2">
      <c r="B19" s="1334" t="s">
        <v>2086</v>
      </c>
      <c r="C19" s="1338">
        <v>84.364999999999995</v>
      </c>
      <c r="D19" s="1339" t="s">
        <v>2088</v>
      </c>
      <c r="E19" s="1340"/>
      <c r="F19" s="1340">
        <v>18761</v>
      </c>
      <c r="G19" s="1340"/>
      <c r="H19" s="1340"/>
      <c r="I19" s="1340">
        <v>32938</v>
      </c>
      <c r="J19" s="1340"/>
      <c r="K19" s="1340"/>
      <c r="L19" s="1337" t="s">
        <v>2079</v>
      </c>
      <c r="M19" s="1340">
        <v>45165</v>
      </c>
    </row>
    <row r="20" spans="2:14" ht="20.100000000000001" customHeight="1" x14ac:dyDescent="0.2">
      <c r="B20" s="1334" t="s">
        <v>2089</v>
      </c>
      <c r="C20" s="1338">
        <v>84.424000000000007</v>
      </c>
      <c r="D20" s="1339" t="s">
        <v>2090</v>
      </c>
      <c r="E20" s="1340"/>
      <c r="F20" s="1340">
        <v>1425</v>
      </c>
      <c r="G20" s="1340"/>
      <c r="H20" s="1340"/>
      <c r="I20" s="1340">
        <v>3258</v>
      </c>
      <c r="J20" s="1340"/>
      <c r="K20" s="1340"/>
      <c r="L20" s="1337" t="s">
        <v>2079</v>
      </c>
      <c r="M20" s="1340">
        <v>19211</v>
      </c>
    </row>
    <row r="21" spans="2:14" ht="20.100000000000001" customHeight="1" x14ac:dyDescent="0.2">
      <c r="B21" s="1334" t="s">
        <v>2091</v>
      </c>
      <c r="C21" s="1338">
        <v>84.027000000000001</v>
      </c>
      <c r="D21" s="1339" t="s">
        <v>2092</v>
      </c>
      <c r="E21" s="1340"/>
      <c r="F21" s="1340">
        <v>16277</v>
      </c>
      <c r="G21" s="1340"/>
      <c r="H21" s="1340"/>
      <c r="I21" s="1340">
        <v>16277</v>
      </c>
      <c r="J21" s="1340"/>
      <c r="K21" s="1340"/>
      <c r="L21" s="1337">
        <f t="shared" si="0"/>
        <v>16277</v>
      </c>
      <c r="M21" s="1340" t="s">
        <v>2094</v>
      </c>
    </row>
    <row r="22" spans="2:14" ht="20.100000000000001" customHeight="1" x14ac:dyDescent="0.2">
      <c r="B22" s="1334" t="s">
        <v>2091</v>
      </c>
      <c r="C22" s="1338">
        <v>84.027000000000001</v>
      </c>
      <c r="D22" s="1339" t="s">
        <v>2093</v>
      </c>
      <c r="E22" s="1340"/>
      <c r="F22" s="1340">
        <v>81450</v>
      </c>
      <c r="G22" s="1340"/>
      <c r="H22" s="1340"/>
      <c r="I22" s="1340">
        <v>81450</v>
      </c>
      <c r="J22" s="1340"/>
      <c r="K22" s="1340"/>
      <c r="L22" s="1337">
        <f t="shared" si="0"/>
        <v>81450</v>
      </c>
      <c r="M22" s="1340" t="s">
        <v>2094</v>
      </c>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936" t="s">
        <v>2095</v>
      </c>
      <c r="C24" s="1338"/>
      <c r="D24" s="1339"/>
      <c r="E24" s="1340"/>
      <c r="F24" s="1340"/>
      <c r="G24" s="1340"/>
      <c r="H24" s="1340"/>
      <c r="I24" s="1340"/>
      <c r="J24" s="1340"/>
      <c r="K24" s="1340"/>
      <c r="L24" s="1337"/>
      <c r="M24" s="1340"/>
    </row>
    <row r="25" spans="2:14" ht="20.100000000000001" customHeight="1" x14ac:dyDescent="0.2">
      <c r="B25" s="1334" t="s">
        <v>2104</v>
      </c>
      <c r="C25" s="1338">
        <v>84.173000000000002</v>
      </c>
      <c r="D25" s="1339" t="s">
        <v>2096</v>
      </c>
      <c r="E25" s="1340">
        <v>12418</v>
      </c>
      <c r="F25" s="1340">
        <v>5113</v>
      </c>
      <c r="G25" s="1340">
        <v>17531</v>
      </c>
      <c r="H25" s="1340"/>
      <c r="I25" s="1340"/>
      <c r="J25" s="1340"/>
      <c r="K25" s="1340"/>
      <c r="L25" s="1337">
        <f t="shared" si="0"/>
        <v>17531</v>
      </c>
      <c r="M25" s="1340" t="s">
        <v>2094</v>
      </c>
    </row>
    <row r="26" spans="2:14" ht="20.100000000000001" customHeight="1" x14ac:dyDescent="0.2">
      <c r="B26" s="1334" t="s">
        <v>2104</v>
      </c>
      <c r="C26" s="1338">
        <v>84.173000000000002</v>
      </c>
      <c r="D26" s="1339" t="s">
        <v>2097</v>
      </c>
      <c r="E26" s="1340"/>
      <c r="F26" s="1340">
        <v>10297</v>
      </c>
      <c r="G26" s="1340"/>
      <c r="H26" s="1340"/>
      <c r="I26" s="1340">
        <v>17890</v>
      </c>
      <c r="J26" s="1340"/>
      <c r="K26" s="1340"/>
      <c r="L26" s="1337">
        <f t="shared" si="0"/>
        <v>17890</v>
      </c>
      <c r="M26" s="1340" t="s">
        <v>2094</v>
      </c>
    </row>
    <row r="27" spans="2:14" ht="20.100000000000001" customHeight="1" x14ac:dyDescent="0.2">
      <c r="B27" s="1334" t="s">
        <v>2105</v>
      </c>
      <c r="C27" s="1338">
        <v>84.027000000000001</v>
      </c>
      <c r="D27" s="1339" t="s">
        <v>2098</v>
      </c>
      <c r="E27" s="1340">
        <v>214039</v>
      </c>
      <c r="F27" s="1340">
        <v>70092</v>
      </c>
      <c r="G27" s="1340">
        <v>284131</v>
      </c>
      <c r="H27" s="1340"/>
      <c r="I27" s="1340"/>
      <c r="J27" s="1340"/>
      <c r="K27" s="1340"/>
      <c r="L27" s="1337">
        <f t="shared" si="0"/>
        <v>284131</v>
      </c>
      <c r="M27" s="1340" t="s">
        <v>2094</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3 L16 L18 L21:L22 L25: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3638-E10A-4EF6-B821-BF7FEF9EB159}">
  <dimension ref="B1:N152"/>
  <sheetViews>
    <sheetView showGridLines="0" zoomScaleNormal="100" workbookViewId="0">
      <selection activeCell="F21" sqref="F21:F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Prospect Heights SD 23</v>
      </c>
      <c r="C1" s="2436"/>
      <c r="D1" s="2436"/>
      <c r="E1" s="2436"/>
      <c r="F1" s="2436"/>
      <c r="G1" s="2436"/>
      <c r="H1" s="2436"/>
      <c r="I1" s="2436"/>
      <c r="J1" s="2436"/>
      <c r="K1" s="2436"/>
      <c r="L1" s="2436"/>
      <c r="M1" s="2436"/>
    </row>
    <row r="2" spans="2:14" ht="15" x14ac:dyDescent="0.2">
      <c r="B2" s="2437">
        <f>'Single Audit Cover'!E7</f>
        <v>5016023002</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2103</v>
      </c>
      <c r="C11" s="1335">
        <v>84.027000000000001</v>
      </c>
      <c r="D11" s="1336" t="s">
        <v>2099</v>
      </c>
      <c r="E11" s="1337"/>
      <c r="F11" s="1337">
        <v>166453</v>
      </c>
      <c r="G11" s="1337"/>
      <c r="H11" s="1337"/>
      <c r="I11" s="1337">
        <v>277088</v>
      </c>
      <c r="J11" s="1337"/>
      <c r="K11" s="1337"/>
      <c r="L11" s="1337">
        <f>+G11+I11+K11</f>
        <v>277088</v>
      </c>
      <c r="M11" s="1337" t="s">
        <v>2094</v>
      </c>
    </row>
    <row r="12" spans="2:14" ht="20.100000000000001" customHeight="1" x14ac:dyDescent="0.2">
      <c r="B12" s="1334"/>
      <c r="C12" s="1338"/>
      <c r="D12" s="1339"/>
      <c r="E12" s="1340"/>
      <c r="F12" s="1340"/>
      <c r="G12" s="1340"/>
      <c r="H12" s="1340"/>
      <c r="I12" s="1340"/>
      <c r="J12" s="1340"/>
      <c r="K12" s="1340"/>
      <c r="L12" s="1337"/>
      <c r="M12" s="1340"/>
    </row>
    <row r="13" spans="2:14" ht="20.100000000000001" customHeight="1" x14ac:dyDescent="0.2">
      <c r="B13" s="1935" t="s">
        <v>2100</v>
      </c>
      <c r="C13" s="1338"/>
      <c r="D13" s="1339"/>
      <c r="E13" s="1340"/>
      <c r="F13" s="1937">
        <f>432784+166453</f>
        <v>599237</v>
      </c>
      <c r="G13" s="1340"/>
      <c r="H13" s="1340"/>
      <c r="I13" s="1937">
        <f>323687+277088</f>
        <v>600775</v>
      </c>
      <c r="J13" s="1340"/>
      <c r="K13" s="1340"/>
      <c r="L13" s="1337"/>
      <c r="M13" s="1340"/>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935" t="s">
        <v>2101</v>
      </c>
      <c r="C15" s="1338"/>
      <c r="D15" s="1339"/>
      <c r="E15" s="1340"/>
      <c r="F15" s="1340"/>
      <c r="G15" s="1340"/>
      <c r="H15" s="1340"/>
      <c r="I15" s="1340"/>
      <c r="J15" s="1340"/>
      <c r="K15" s="1340"/>
      <c r="L15" s="1337"/>
      <c r="M15" s="1340"/>
    </row>
    <row r="16" spans="2:14" ht="20.100000000000001" customHeight="1" x14ac:dyDescent="0.2">
      <c r="B16" s="1936" t="s">
        <v>2075</v>
      </c>
      <c r="C16" s="1338"/>
      <c r="D16" s="1339"/>
      <c r="E16" s="1340"/>
      <c r="F16" s="1340"/>
      <c r="G16" s="1340"/>
      <c r="H16" s="1340"/>
      <c r="I16" s="1340"/>
      <c r="J16" s="1340"/>
      <c r="K16" s="1340"/>
      <c r="L16" s="1337"/>
      <c r="M16" s="1340"/>
    </row>
    <row r="17" spans="2:14" ht="20.100000000000001" customHeight="1" x14ac:dyDescent="0.2">
      <c r="B17" s="1334" t="s">
        <v>2102</v>
      </c>
      <c r="C17" s="1338">
        <v>10.555</v>
      </c>
      <c r="D17" s="1339" t="s">
        <v>2106</v>
      </c>
      <c r="E17" s="1340">
        <v>163509</v>
      </c>
      <c r="F17" s="1340">
        <v>34324</v>
      </c>
      <c r="G17" s="1340">
        <v>168730</v>
      </c>
      <c r="H17" s="1340"/>
      <c r="I17" s="1340">
        <v>29103</v>
      </c>
      <c r="J17" s="1340"/>
      <c r="K17" s="1340"/>
      <c r="L17" s="1337">
        <f t="shared" ref="L17:L22" si="0">+G17+I17+K17</f>
        <v>197833</v>
      </c>
      <c r="M17" s="1340" t="s">
        <v>2094</v>
      </c>
    </row>
    <row r="18" spans="2:14" ht="20.100000000000001" customHeight="1" x14ac:dyDescent="0.2">
      <c r="B18" s="1334" t="s">
        <v>2102</v>
      </c>
      <c r="C18" s="1338">
        <v>10.555</v>
      </c>
      <c r="D18" s="1339" t="s">
        <v>2108</v>
      </c>
      <c r="E18" s="1340"/>
      <c r="F18" s="1340">
        <v>153041</v>
      </c>
      <c r="G18" s="1340"/>
      <c r="H18" s="1340"/>
      <c r="I18" s="1340">
        <v>153041</v>
      </c>
      <c r="J18" s="1340"/>
      <c r="K18" s="1340"/>
      <c r="L18" s="1337">
        <f t="shared" si="0"/>
        <v>153041</v>
      </c>
      <c r="M18" s="1340" t="s">
        <v>2094</v>
      </c>
    </row>
    <row r="19" spans="2:14" ht="20.100000000000001" customHeight="1" x14ac:dyDescent="0.2">
      <c r="B19" s="1334" t="s">
        <v>2107</v>
      </c>
      <c r="C19" s="1338">
        <v>10.553000000000001</v>
      </c>
      <c r="D19" s="1339" t="s">
        <v>2109</v>
      </c>
      <c r="E19" s="1340">
        <v>19906</v>
      </c>
      <c r="F19" s="1340">
        <v>5085</v>
      </c>
      <c r="G19" s="1340">
        <v>20585</v>
      </c>
      <c r="H19" s="1340"/>
      <c r="I19" s="1340">
        <v>4406</v>
      </c>
      <c r="J19" s="1340"/>
      <c r="K19" s="1340"/>
      <c r="L19" s="1337">
        <f t="shared" si="0"/>
        <v>24991</v>
      </c>
      <c r="M19" s="1340" t="s">
        <v>2094</v>
      </c>
    </row>
    <row r="20" spans="2:14" ht="20.100000000000001" customHeight="1" x14ac:dyDescent="0.2">
      <c r="B20" s="1334" t="s">
        <v>2107</v>
      </c>
      <c r="C20" s="1338">
        <v>10.553000000000001</v>
      </c>
      <c r="D20" s="1339" t="s">
        <v>2110</v>
      </c>
      <c r="E20" s="1340"/>
      <c r="F20" s="1340">
        <v>25866</v>
      </c>
      <c r="G20" s="1340"/>
      <c r="H20" s="1340"/>
      <c r="I20" s="1340">
        <v>25866</v>
      </c>
      <c r="J20" s="1340"/>
      <c r="K20" s="1340"/>
      <c r="L20" s="1337">
        <f t="shared" si="0"/>
        <v>25866</v>
      </c>
      <c r="M20" s="1340" t="s">
        <v>2094</v>
      </c>
    </row>
    <row r="21" spans="2:14" ht="20.100000000000001" customHeight="1" x14ac:dyDescent="0.2">
      <c r="B21" s="1334" t="s">
        <v>2123</v>
      </c>
      <c r="C21" s="1338">
        <v>10.555</v>
      </c>
      <c r="D21" s="1339" t="s">
        <v>2111</v>
      </c>
      <c r="E21" s="1340"/>
      <c r="F21" s="1340">
        <v>19022</v>
      </c>
      <c r="G21" s="1340"/>
      <c r="H21" s="1340"/>
      <c r="I21" s="1340">
        <v>19022</v>
      </c>
      <c r="J21" s="1340"/>
      <c r="K21" s="1340"/>
      <c r="L21" s="1337">
        <f t="shared" si="0"/>
        <v>19022</v>
      </c>
      <c r="M21" s="1340" t="s">
        <v>2094</v>
      </c>
    </row>
    <row r="22" spans="2:14" ht="20.100000000000001" customHeight="1" x14ac:dyDescent="0.2">
      <c r="B22" s="1334" t="s">
        <v>2124</v>
      </c>
      <c r="C22" s="1338">
        <v>10.555</v>
      </c>
      <c r="D22" s="1339" t="s">
        <v>2111</v>
      </c>
      <c r="E22" s="1340"/>
      <c r="F22" s="1340">
        <v>19927</v>
      </c>
      <c r="G22" s="1340"/>
      <c r="H22" s="1340"/>
      <c r="I22" s="1340">
        <v>19927</v>
      </c>
      <c r="J22" s="1340"/>
      <c r="K22" s="1340"/>
      <c r="L22" s="1337">
        <f t="shared" si="0"/>
        <v>19927</v>
      </c>
      <c r="M22" s="1340" t="s">
        <v>2094</v>
      </c>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935" t="s">
        <v>2112</v>
      </c>
      <c r="C24" s="1338"/>
      <c r="D24" s="1339"/>
      <c r="E24" s="1340"/>
      <c r="F24" s="1937">
        <f>SUM(F17:F23)</f>
        <v>257265</v>
      </c>
      <c r="G24" s="1340"/>
      <c r="H24" s="1340"/>
      <c r="I24" s="1937">
        <f>SUM(I17:I23)</f>
        <v>251365</v>
      </c>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1 F13:I13 L17:L18 L19:L20 L21:L22 F24:I24"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C0EA-F74C-453F-BA25-E71091FDC43F}">
  <dimension ref="B1:N152"/>
  <sheetViews>
    <sheetView showGridLines="0" zoomScaleNormal="100" workbookViewId="0">
      <selection activeCell="E18" sqref="E1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Prospect Heights SD 23</v>
      </c>
      <c r="C1" s="2436"/>
      <c r="D1" s="2436"/>
      <c r="E1" s="2436"/>
      <c r="F1" s="2436"/>
      <c r="G1" s="2436"/>
      <c r="H1" s="2436"/>
      <c r="I1" s="2436"/>
      <c r="J1" s="2436"/>
      <c r="K1" s="2436"/>
      <c r="L1" s="2436"/>
      <c r="M1" s="2436"/>
    </row>
    <row r="2" spans="2:14" ht="15" x14ac:dyDescent="0.2">
      <c r="B2" s="2437">
        <f>'Single Audit Cover'!E7</f>
        <v>5016023002</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5" t="s">
        <v>2113</v>
      </c>
      <c r="C11" s="1335"/>
      <c r="D11" s="1336"/>
      <c r="E11" s="1337"/>
      <c r="F11" s="1337"/>
      <c r="G11" s="1337"/>
      <c r="H11" s="1337"/>
      <c r="I11" s="1337"/>
      <c r="J11" s="1337"/>
      <c r="K11" s="1337"/>
      <c r="L11" s="1337"/>
      <c r="M11" s="1337"/>
    </row>
    <row r="12" spans="2:14" ht="20.100000000000001" customHeight="1" x14ac:dyDescent="0.2">
      <c r="B12" s="1936" t="s">
        <v>2114</v>
      </c>
      <c r="C12" s="1338"/>
      <c r="D12" s="1339"/>
      <c r="E12" s="1340"/>
      <c r="F12" s="1340"/>
      <c r="G12" s="1340"/>
      <c r="H12" s="1340"/>
      <c r="I12" s="1340"/>
      <c r="J12" s="1340"/>
      <c r="K12" s="1340"/>
      <c r="L12" s="1337"/>
      <c r="M12" s="1340"/>
    </row>
    <row r="13" spans="2:14" ht="20.100000000000001" customHeight="1" x14ac:dyDescent="0.2">
      <c r="B13" s="1334" t="s">
        <v>2115</v>
      </c>
      <c r="C13" s="1338">
        <v>93.778000000000006</v>
      </c>
      <c r="D13" s="1339" t="s">
        <v>2116</v>
      </c>
      <c r="E13" s="1340"/>
      <c r="F13" s="1340">
        <v>14729</v>
      </c>
      <c r="G13" s="1340"/>
      <c r="H13" s="1340"/>
      <c r="I13" s="1340">
        <v>28479</v>
      </c>
      <c r="J13" s="1340"/>
      <c r="K13" s="1340"/>
      <c r="L13" s="1337">
        <f t="shared" ref="L13" si="0">+G13+I13+K13</f>
        <v>28479</v>
      </c>
      <c r="M13" s="1340" t="s">
        <v>2094</v>
      </c>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935" t="s">
        <v>2117</v>
      </c>
      <c r="C15" s="1338"/>
      <c r="D15" s="1339"/>
      <c r="E15" s="1340"/>
      <c r="F15" s="1937">
        <f>SUM(F13:F14)</f>
        <v>14729</v>
      </c>
      <c r="G15" s="1340"/>
      <c r="H15" s="1340"/>
      <c r="I15" s="1937">
        <f>SUM(I13:I14)</f>
        <v>28479</v>
      </c>
      <c r="J15" s="1340"/>
      <c r="K15" s="1340"/>
      <c r="L15" s="1337"/>
      <c r="M15" s="1340"/>
    </row>
    <row r="16" spans="2:14" ht="20.100000000000001" customHeight="1" x14ac:dyDescent="0.2">
      <c r="B16" s="1936"/>
      <c r="C16" s="1338"/>
      <c r="D16" s="1339"/>
      <c r="E16" s="1340"/>
      <c r="F16" s="1340"/>
      <c r="G16" s="1340"/>
      <c r="H16" s="1340"/>
      <c r="I16" s="1340"/>
      <c r="J16" s="1340"/>
      <c r="K16" s="1340"/>
      <c r="L16" s="1337"/>
      <c r="M16" s="1340"/>
    </row>
    <row r="17" spans="2:14" ht="20.100000000000001" customHeight="1" x14ac:dyDescent="0.2">
      <c r="B17" s="1938" t="s">
        <v>2118</v>
      </c>
      <c r="C17" s="1338"/>
      <c r="D17" s="1339"/>
      <c r="E17" s="1340"/>
      <c r="F17" s="1939">
        <f>599237+257265+14729</f>
        <v>871231</v>
      </c>
      <c r="G17" s="1340"/>
      <c r="H17" s="1340"/>
      <c r="I17" s="1939">
        <f>600775+251365+28479</f>
        <v>880619</v>
      </c>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935"/>
      <c r="C24" s="1338"/>
      <c r="D24" s="1339"/>
      <c r="E24" s="1340"/>
      <c r="F24" s="1937"/>
      <c r="G24" s="1340"/>
      <c r="H24" s="1340"/>
      <c r="I24" s="1937"/>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G24:H24 L13 F15:I15 F17:I17"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Prospect Heights SD 23</v>
      </c>
      <c r="B1" s="2449"/>
      <c r="C1" s="2449"/>
      <c r="D1" s="2449"/>
      <c r="E1" s="2449"/>
      <c r="F1" s="2449"/>
    </row>
    <row r="2" spans="1:7" ht="13.5" customHeight="1" x14ac:dyDescent="0.2">
      <c r="A2" s="2437">
        <f>'Single Audit Cover'!E7</f>
        <v>5016023002</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2119</v>
      </c>
      <c r="B7" s="2448"/>
      <c r="C7" s="2448"/>
      <c r="D7" s="2448"/>
      <c r="E7" s="2448"/>
      <c r="F7" s="2448"/>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9.5" customHeight="1" x14ac:dyDescent="0.2">
      <c r="A13" s="2448" t="s">
        <v>2120</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t="s">
        <v>2121</v>
      </c>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2122</v>
      </c>
      <c r="B32" s="2442"/>
      <c r="C32" s="2442"/>
      <c r="D32" s="2442"/>
      <c r="E32" s="2442"/>
      <c r="F32" s="2442"/>
    </row>
    <row r="33" spans="1:6" ht="13.5" customHeight="1" x14ac:dyDescent="0.2">
      <c r="A33" s="328" t="s">
        <v>1434</v>
      </c>
      <c r="B33" s="328"/>
      <c r="C33" s="1285">
        <v>19022</v>
      </c>
      <c r="D33" s="1903"/>
      <c r="E33" s="1283"/>
    </row>
    <row r="34" spans="1:6" ht="13.5" customHeight="1" x14ac:dyDescent="0.2">
      <c r="A34" s="328" t="s">
        <v>1835</v>
      </c>
      <c r="B34" s="328"/>
      <c r="C34" s="1286">
        <v>19927</v>
      </c>
      <c r="D34" s="1903" t="s">
        <v>1589</v>
      </c>
      <c r="E34" s="2443">
        <f>+C33+C34</f>
        <v>38949</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2125</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5" zoomScale="110" zoomScaleNormal="110" workbookViewId="0">
      <selection activeCell="E52" sqref="E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Prospect Heights SD 23</v>
      </c>
      <c r="C1" s="2464"/>
      <c r="D1" s="2464"/>
      <c r="E1" s="2464"/>
      <c r="F1" s="2464"/>
      <c r="G1" s="2464"/>
      <c r="H1" s="2464"/>
      <c r="I1" s="2464"/>
      <c r="J1" s="1406"/>
    </row>
    <row r="2" spans="2:10" s="317" customFormat="1" ht="12.75" customHeight="1" x14ac:dyDescent="0.2">
      <c r="B2" s="2465">
        <f>'Single Audit Cover'!E7</f>
        <v>5016023002</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t="s">
        <v>820</v>
      </c>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2061</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2061</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2061</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t="s">
        <v>2126</v>
      </c>
      <c r="E29" s="2470"/>
      <c r="F29" s="2470"/>
      <c r="G29" s="2470"/>
      <c r="H29" s="2470"/>
      <c r="I29" s="2470"/>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2061</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1" t="s">
        <v>1748</v>
      </c>
      <c r="D37" s="2472"/>
      <c r="E37" s="2472"/>
      <c r="F37" s="2473"/>
      <c r="G37" s="2471" t="s">
        <v>1592</v>
      </c>
      <c r="H37" s="2472"/>
      <c r="I37" s="2473"/>
    </row>
    <row r="38" spans="2:9" ht="16.5" customHeight="1" x14ac:dyDescent="0.2">
      <c r="B38" s="1428">
        <v>84.173000000000002</v>
      </c>
      <c r="C38" s="2459" t="s">
        <v>2128</v>
      </c>
      <c r="D38" s="2460"/>
      <c r="E38" s="2460"/>
      <c r="F38" s="2461"/>
      <c r="G38" s="2474">
        <v>17890</v>
      </c>
      <c r="H38" s="2475"/>
      <c r="I38" s="2476"/>
    </row>
    <row r="39" spans="2:9" ht="16.5" customHeight="1" x14ac:dyDescent="0.2">
      <c r="B39" s="1428">
        <v>84.027000000000001</v>
      </c>
      <c r="C39" s="2459" t="s">
        <v>2129</v>
      </c>
      <c r="D39" s="2460"/>
      <c r="E39" s="2460"/>
      <c r="F39" s="2461"/>
      <c r="G39" s="2462">
        <v>277088</v>
      </c>
      <c r="H39" s="2462"/>
      <c r="I39" s="2462"/>
    </row>
    <row r="40" spans="2:9" ht="16.5" customHeight="1" x14ac:dyDescent="0.2">
      <c r="B40" s="1428">
        <v>84.027000000000001</v>
      </c>
      <c r="C40" s="2459" t="s">
        <v>2127</v>
      </c>
      <c r="D40" s="2460"/>
      <c r="E40" s="2460"/>
      <c r="F40" s="2461"/>
      <c r="G40" s="2462">
        <v>97727</v>
      </c>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392705</v>
      </c>
      <c r="H43" s="2455"/>
      <c r="I43" s="2455"/>
    </row>
    <row r="44" spans="2:9" ht="12.75" customHeight="1" x14ac:dyDescent="0.2"/>
    <row r="45" spans="2:9" ht="12.75" customHeight="1" x14ac:dyDescent="0.2">
      <c r="B45" s="1419" t="s">
        <v>1838</v>
      </c>
      <c r="D45" s="2456">
        <v>880619</v>
      </c>
      <c r="E45" s="2457"/>
    </row>
    <row r="46" spans="2:9" ht="5.25" customHeight="1" x14ac:dyDescent="0.2">
      <c r="B46" s="1429"/>
      <c r="D46" s="1430"/>
      <c r="E46" s="1431"/>
    </row>
    <row r="47" spans="2:9" ht="12.75" customHeight="1" x14ac:dyDescent="0.2">
      <c r="B47" s="1297" t="s">
        <v>1594</v>
      </c>
      <c r="C47" s="1297"/>
      <c r="D47" s="1432">
        <f>+G43/D45</f>
        <v>0.44594200215984436</v>
      </c>
      <c r="E47" s="1433"/>
      <c r="F47" s="1434"/>
      <c r="I47" s="1435"/>
    </row>
    <row r="48" spans="2:9" ht="9.9499999999999993" customHeight="1" x14ac:dyDescent="0.2"/>
    <row r="49" spans="1:9" x14ac:dyDescent="0.2">
      <c r="B49" s="1365" t="s">
        <v>1273</v>
      </c>
      <c r="C49" s="1279"/>
      <c r="D49" s="1279"/>
      <c r="E49" s="2458">
        <v>750000</v>
      </c>
      <c r="F49" s="2458"/>
      <c r="G49" s="2458"/>
      <c r="H49" s="322"/>
    </row>
    <row r="51" spans="1:9" ht="13.5" customHeight="1" x14ac:dyDescent="0.2">
      <c r="B51" s="1365" t="s">
        <v>1272</v>
      </c>
      <c r="C51" s="1279"/>
      <c r="E51" s="1422" t="s">
        <v>2061</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ignoredErrors>
    <ignoredError sqref="G43" unlockedFormula="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Prospect Heights SD 23</v>
      </c>
      <c r="C1" s="2463"/>
      <c r="D1" s="2463"/>
      <c r="E1" s="2463"/>
      <c r="F1" s="2463"/>
      <c r="G1" s="2463"/>
      <c r="H1" s="2463"/>
      <c r="I1" s="2463"/>
      <c r="J1" s="2463"/>
      <c r="K1" s="2463"/>
      <c r="L1" s="1371"/>
      <c r="M1" s="1371"/>
    </row>
    <row r="2" spans="1:13" ht="12" customHeight="1" x14ac:dyDescent="0.2">
      <c r="B2" s="2465">
        <f>'Single Audit Cover'!E7</f>
        <v>5016023002</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1988</v>
      </c>
      <c r="D10" s="1383" t="s">
        <v>2121</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Prospect Heights SD 23</v>
      </c>
      <c r="C1" s="2486"/>
      <c r="D1" s="2486"/>
      <c r="E1" s="2486"/>
      <c r="F1" s="2486"/>
      <c r="G1" s="2486"/>
      <c r="H1" s="2486"/>
      <c r="I1" s="2486"/>
      <c r="J1" s="2486"/>
      <c r="K1" s="2486"/>
      <c r="L1" s="1449"/>
    </row>
    <row r="2" spans="1:12" ht="12.75" customHeight="1" x14ac:dyDescent="0.2">
      <c r="B2" s="2487">
        <f>'Single Audit Cover'!E7</f>
        <v>5016023002</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1988</v>
      </c>
      <c r="D8" s="1452" t="s">
        <v>2121</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Prospect Heights SD 23</v>
      </c>
      <c r="C1" s="2463"/>
      <c r="D1" s="2463"/>
      <c r="E1" s="1469"/>
    </row>
    <row r="2" spans="2:5" s="1279" customFormat="1" ht="12.75" customHeight="1" x14ac:dyDescent="0.2">
      <c r="B2" s="2465">
        <f>'Single Audit Cover'!E7</f>
        <v>5016023002</v>
      </c>
      <c r="C2" s="2465"/>
      <c r="D2" s="2465"/>
      <c r="E2" s="1470"/>
    </row>
    <row r="3" spans="2:5" ht="12.75" customHeight="1" x14ac:dyDescent="0.2">
      <c r="B3" s="2479" t="s">
        <v>1763</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c r="C7" s="324"/>
      <c r="D7" s="324"/>
      <c r="E7" s="324"/>
    </row>
    <row r="8" spans="2:5" ht="13.5" customHeight="1" x14ac:dyDescent="0.2">
      <c r="B8" s="1474" t="s">
        <v>2121</v>
      </c>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schemas.microsoft.com/sharepoint/v3"/>
    <ds:schemaRef ds:uri="http://www.w3.org/XML/1998/namespace"/>
    <ds:schemaRef ds:uri="http://schemas.microsoft.com/office/2006/metadata/properties"/>
    <ds:schemaRef ds:uri="d21dc803-237d-4c68-8692-8d731fd29118"/>
    <ds:schemaRef ds:uri="4d435f69-8686-490b-bd6d-b153bf22ab50"/>
    <ds:schemaRef ds:uri="6ce3111e-7420-4802-b50a-75d4e9a0b980"/>
    <ds:schemaRef ds:uri="http://purl.org/dc/dcmityp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2019-10-29T18:37:33Z</cp:lastPrinted>
  <dcterms:created xsi:type="dcterms:W3CDTF">2003-10-29T19:06:34Z</dcterms:created>
  <dcterms:modified xsi:type="dcterms:W3CDTF">2019-12-11T20:19:00Z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140</vt:lpwstr>
  </property>
  <property fmtid="{D5CDD505-2E9C-101B-9397-08002B2CF9AE}" pid="6" name="workpaperIndex">
    <vt:lpwstr/>
  </property>
</Properties>
</file>