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890" windowWidth="20730" windowHeight="6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D5" i="29" l="1"/>
  <c r="C30" i="3"/>
  <c r="C4" i="3" l="1"/>
  <c r="F39" i="3" l="1"/>
  <c r="D39" i="3"/>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L4" i="3" l="1"/>
  <c r="D31" i="3"/>
  <c r="E49" i="29" l="1"/>
  <c r="F18" i="29"/>
  <c r="D18" i="29"/>
  <c r="C18" i="29"/>
  <c r="C5" i="29"/>
  <c r="D124" i="29" l="1"/>
  <c r="E124" i="29" l="1"/>
  <c r="H169" i="29"/>
  <c r="H170" i="29"/>
  <c r="E75" i="4"/>
  <c r="H171" i="29"/>
  <c r="H301" i="29"/>
  <c r="H34" i="4"/>
  <c r="E301" i="29"/>
  <c r="E328" i="29"/>
  <c r="F30" i="3" l="1"/>
  <c r="C31" i="3"/>
  <c r="C6"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E57" i="181"/>
  <c r="F57" i="181" s="1"/>
  <c r="G57" i="181" s="1"/>
  <c r="E56" i="181"/>
  <c r="E55" i="181"/>
  <c r="F55" i="181" s="1"/>
  <c r="G55" i="181" s="1"/>
  <c r="E54" i="181"/>
  <c r="E53" i="181"/>
  <c r="F53" i="181" s="1"/>
  <c r="G53" i="181" s="1"/>
  <c r="E52" i="181"/>
  <c r="F52" i="181" s="1"/>
  <c r="G52" i="181" s="1"/>
  <c r="E51" i="181"/>
  <c r="F51" i="181" s="1"/>
  <c r="G51" i="181" s="1"/>
  <c r="E50" i="181"/>
  <c r="F50" i="181" s="1"/>
  <c r="G50" i="181" s="1"/>
  <c r="E49" i="181"/>
  <c r="F49" i="181" s="1"/>
  <c r="G49" i="181" s="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58" i="181" l="1"/>
  <c r="G58" i="181" s="1"/>
  <c r="F56" i="181"/>
  <c r="G56" i="181" s="1"/>
  <c r="F54" i="181"/>
  <c r="G54" i="181" s="1"/>
  <c r="F48" i="18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B7727" i="106" s="1"/>
  <c r="D7727" i="106" s="1"/>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G39" i="108" s="1"/>
  <c r="K185" i="29"/>
  <c r="B2836" i="106" s="1"/>
  <c r="D2836" i="106" s="1"/>
  <c r="K122" i="29"/>
  <c r="F15" i="145" s="1"/>
  <c r="F19" i="145" s="1"/>
  <c r="K67" i="29"/>
  <c r="K64" i="29"/>
  <c r="D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71" i="36"/>
  <c r="D72" i="36"/>
  <c r="D79" i="36"/>
  <c r="B65" i="127"/>
  <c r="B66" i="127"/>
  <c r="E26" i="108"/>
  <c r="G26" i="108"/>
  <c r="D27" i="108"/>
  <c r="E27" i="108"/>
  <c r="F27" i="108"/>
  <c r="G27" i="108"/>
  <c r="F31" i="108"/>
  <c r="F36" i="108"/>
  <c r="G28" i="108"/>
  <c r="E30" i="108"/>
  <c r="G30" i="108"/>
  <c r="D36"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C57" i="34"/>
  <c r="D57" i="34"/>
  <c r="C61" i="34"/>
  <c r="C62" i="34"/>
  <c r="C63" i="34"/>
  <c r="D63" i="34"/>
  <c r="C64" i="34"/>
  <c r="F64" i="34"/>
  <c r="F65"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D7" i="118"/>
  <c r="D8" i="118"/>
  <c r="D9" i="118"/>
  <c r="H14" i="118"/>
  <c r="H19" i="118"/>
  <c r="H24" i="118"/>
  <c r="D22" i="37"/>
  <c r="J22" i="37"/>
  <c r="L22" i="37"/>
  <c r="D24" i="37"/>
  <c r="B4270" i="106" s="1"/>
  <c r="D4270" i="106" s="1"/>
  <c r="D9" i="7"/>
  <c r="B1767" i="106" s="1"/>
  <c r="D1767" i="106" s="1"/>
  <c r="D17" i="7" l="1"/>
  <c r="B4104" i="106" s="1"/>
  <c r="D4104" i="106" s="1"/>
  <c r="F14" i="4"/>
  <c r="B2597" i="106" s="1"/>
  <c r="D2597" i="106" s="1"/>
  <c r="F68" i="34"/>
  <c r="F56" i="34"/>
  <c r="D14" i="4"/>
  <c r="B2570" i="106" s="1"/>
  <c r="D2570" i="106" s="1"/>
  <c r="F37" i="108"/>
  <c r="B7235" i="106"/>
  <c r="D7235" i="106" s="1"/>
  <c r="B1308" i="106"/>
  <c r="D1308" i="106" s="1"/>
  <c r="E174" i="29"/>
  <c r="B1309" i="106" s="1"/>
  <c r="D1309" i="106" s="1"/>
  <c r="L367" i="29"/>
  <c r="D37" i="108"/>
  <c r="C342" i="29"/>
  <c r="B7216" i="106" s="1"/>
  <c r="D7216" i="106" s="1"/>
  <c r="L13" i="11"/>
  <c r="B2060" i="106" s="1"/>
  <c r="D2060" i="106" s="1"/>
  <c r="C129" i="29"/>
  <c r="C151" i="29" s="1"/>
  <c r="B1226" i="106" s="1"/>
  <c r="D1226" i="106" s="1"/>
  <c r="L15" i="11"/>
  <c r="B3459" i="106" s="1"/>
  <c r="D3459" i="106" s="1"/>
  <c r="I24" i="12"/>
  <c r="F62" i="34"/>
  <c r="J210" i="29"/>
  <c r="B7072" i="106" s="1"/>
  <c r="D7072" i="106" s="1"/>
  <c r="I129" i="29"/>
  <c r="B7037" i="106" s="1"/>
  <c r="D7037" i="106" s="1"/>
  <c r="H33" i="118"/>
  <c r="D69" i="36"/>
  <c r="H365" i="29"/>
  <c r="B7242" i="106" s="1"/>
  <c r="D7242" i="106" s="1"/>
  <c r="F19" i="7"/>
  <c r="B1807" i="106" s="1"/>
  <c r="D1807" i="106" s="1"/>
  <c r="N22" i="3"/>
  <c r="B283" i="106" s="1"/>
  <c r="D283" i="106" s="1"/>
  <c r="D68" i="36"/>
  <c r="L5" i="11"/>
  <c r="B2056" i="106" s="1"/>
  <c r="D2056" i="106" s="1"/>
  <c r="G38" i="108"/>
  <c r="E35" i="108"/>
  <c r="G35" i="108"/>
  <c r="B1126" i="106"/>
  <c r="D1126" i="106" s="1"/>
  <c r="D26" i="108"/>
  <c r="D41" i="108" s="1"/>
  <c r="E43" i="108" s="1"/>
  <c r="F26" i="108"/>
  <c r="B2724" i="106"/>
  <c r="D2724" i="106" s="1"/>
  <c r="F38" i="34"/>
  <c r="F34" i="34"/>
  <c r="F28" i="108"/>
  <c r="E28" i="108"/>
  <c r="G29" i="108"/>
  <c r="K184" i="29"/>
  <c r="F13" i="4" s="1"/>
  <c r="B2596" i="106" s="1"/>
  <c r="D2596" i="106" s="1"/>
  <c r="E29" i="108"/>
  <c r="B3254" i="106"/>
  <c r="D3254" i="106" s="1"/>
  <c r="F72" i="34"/>
  <c r="B4268" i="106"/>
  <c r="D4268" i="106" s="1"/>
  <c r="H29" i="118"/>
  <c r="K28" i="118" s="1"/>
  <c r="O27" i="118" s="1"/>
  <c r="O29" i="118" s="1"/>
  <c r="D11" i="37"/>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225" i="106" l="1"/>
  <c r="D1225" i="106" s="1"/>
  <c r="B1996" i="106"/>
  <c r="D1996" i="106" s="1"/>
  <c r="I26" i="12"/>
  <c r="B7741" i="106" s="1"/>
  <c r="D7741" i="106" s="1"/>
  <c r="F41" i="108"/>
  <c r="G43" i="108" s="1"/>
  <c r="B1328" i="106"/>
  <c r="D1328" i="106" s="1"/>
  <c r="B1381" i="106"/>
  <c r="D1381" i="106" s="1"/>
  <c r="G6" i="4"/>
  <c r="B2604" i="106" s="1"/>
  <c r="D2604" i="106" s="1"/>
  <c r="L16" i="11"/>
  <c r="B2061" i="106" s="1"/>
  <c r="D2061" i="106" s="1"/>
  <c r="D44" i="36"/>
  <c r="C114" i="29"/>
  <c r="B757" i="106" s="1"/>
  <c r="D757" i="106" s="1"/>
  <c r="B5527" i="106"/>
  <c r="D5527" i="106" s="1"/>
  <c r="F174" i="34"/>
  <c r="K342" i="29"/>
  <c r="F13" i="34" s="1"/>
  <c r="L114" i="29"/>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146" l="1"/>
  <c r="J20" i="4"/>
  <c r="J78" i="4" s="1"/>
  <c r="B6227" i="106"/>
  <c r="D6227"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<sst xmlns="http://schemas.openxmlformats.org/spreadsheetml/2006/main" count="5431" uniqueCount="2247">
  <si>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</si>
  <si>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</si>
  <si>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</si>
  <si>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</si>
  <si>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</si>
  <si>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</si>
  <si>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</si>
  <si>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</si>
  <si>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</si>
  <si>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</si>
  <si>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</si>
  <si>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</si>
  <si>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</si>
  <si>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</si>
  <si>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</si>
  <si>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</si>
  <si>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</si>
  <si>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</si>
  <si>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</si>
  <si>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</si>
  <si>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</si>
  <si>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</si>
  <si>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</si>
  <si>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</si>
  <si>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</si>
  <si>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</si>
  <si>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</si>
  <si>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</si>
  <si>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</si>
  <si>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</si>
  <si>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</si>
  <si>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</si>
  <si>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</si>
  <si>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</si>
  <si>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</si>
  <si>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</si>
  <si>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</si>
  <si>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</si>
  <si>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</si>
  <si>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</si>
  <si>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</si>
  <si>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</si>
  <si>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</si>
  <si>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</si>
  <si>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</si>
  <si>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</si>
  <si>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</si>
  <si>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</si>
  <si>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</si>
  <si>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</si>
  <si>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</si>
  <si>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</si>
  <si>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</si>
  <si>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</si>
  <si>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</si>
  <si>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</si>
  <si>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</si>
  <si>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</si>
  <si>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</si>
  <si>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</si>
  <si>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</si>
  <si>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</si>
  <si>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</si>
  <si>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</si>
  <si>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</si>
  <si>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</si>
  <si>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</si>
  <si>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</si>
  <si>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</si>
  <si>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</si>
  <si>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</si>
  <si>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</si>
  <si>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</si>
  <si>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</si>
  <si>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</si>
  <si>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</si>
  <si>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</si>
  <si>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</si>
  <si>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</si>
  <si>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</si>
  <si>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</si>
  <si>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</si>
  <si>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</si>
  <si>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</si>
  <si>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</si>
  <si>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</si>
  <si>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</si>
  <si>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</si>
  <si>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</si>
  <si>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</si>
  <si>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</si>
  <si>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</si>
  <si>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</si>
  <si>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</si>
  <si>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</si>
  <si>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</si>
  <si>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</si>
  <si>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</si>
  <si>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</si>
  <si>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</si>
  <si>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</si>
  <si>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</si>
  <si>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</si>
  <si>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</si>
  <si>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</si>
  <si>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</si>
  <si>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</si>
  <si>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</si>
  <si>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</si>
  <si>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</si>
  <si>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</si>
  <si>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</si>
  <si>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</si>
  <si>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</si>
  <si>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</si>
  <si>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</si>
  <si>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</si>
  <si>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</si>
  <si>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</si>
  <si>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</si>
  <si>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</si>
  <si>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</si>
  <si>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</si>
  <si>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</si>
  <si>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</si>
  <si>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</si>
  <si>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</si>
  <si>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</si>
  <si>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</si>
  <si>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</si>
  <si>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</si>
  <si>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</si>
  <si>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</si>
  <si>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</si>
  <si>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</si>
  <si>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</si>
  <si>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</si>
  <si>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</si>
  <si>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</si>
  <si>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</si>
  <si>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</si>
  <si>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</si>
  <si>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</si>
  <si>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</si>
  <si>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</si>
  <si>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</si>
  <si>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</si>
  <si>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</si>
  <si>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</si>
  <si>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</si>
  <si>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</si>
  <si>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</si>
  <si>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</si>
  <si>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</si>
  <si>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</si>
  <si>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</si>
  <si>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</si>
  <si>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</si>
  <si>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</si>
  <si>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</si>
  <si>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</si>
  <si>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</si>
  <si>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</si>
  <si>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</si>
  <si>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</si>
  <si>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</si>
  <si>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</si>
  <si>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</si>
  <si>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</si>
  <si>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</si>
  <si>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</si>
  <si>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</si>
  <si>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</si>
  <si>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</si>
  <si>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</si>
  <si>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</si>
  <si>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</si>
  <si>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</si>
  <si>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</si>
  <si>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</si>
  <si>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</si>
  <si>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</si>
  <si>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</si>
  <si>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</si>
  <si>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</si>
  <si>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</si>
  <si>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</si>
  <si>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</si>
  <si>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</si>
  <si>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</si>
  <si>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</si>
  <si>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</si>
  <si>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</si>
  <si>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</si>
  <si>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</si>
  <si>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</si>
  <si>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</si>
  <si>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</si>
  <si>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</si>
  <si>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</si>
  <si>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</si>
  <si>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</si>
  <si>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</si>
  <si>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</si>
  <si>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</si>
  <si>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</si>
  <si>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</si>
  <si>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</si>
  <si>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</si>
  <si>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</si>
  <si>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</si>
  <si>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</si>
  <si>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</si>
  <si>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</si>
  <si>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</si>
  <si>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</si>
  <si>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</si>
  <si>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</si>
  <si>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</si>
  <si>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</si>
  <si>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</si>
  <si>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</si>
  <si>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</si>
  <si>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</si>
  <si>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</si>
  <si>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</si>
  <si>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</si>
  <si>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</si>
  <si>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</si>
  <si>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</si>
  <si>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</si>
  <si>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</si>
  <si>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</si>
  <si>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</si>
  <si>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</si>
  <si>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</si>
  <si>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</si>
  <si>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</si>
  <si>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</si>
  <si>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</si>
  <si>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</si>
  <si>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</si>
  <si>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</si>
  <si>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</si>
  <si>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</si>
  <si>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</si>
  <si>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</si>
  <si>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</si>
  <si>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</si>
  <si>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</si>
  <si>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</si>
  <si>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</si>
  <si>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</si>
  <si>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</si>
  <si>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</si>
  <si>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</si>
  <si>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</si>
  <si>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</si>
  <si>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</si>
  <si>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</si>
  <si>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</si>
  <si>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</si>
  <si>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</si>
  <si>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</si>
  <si>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</si>
  <si>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</si>
  <si>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</si>
  <si>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</si>
  <si>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</si>
  <si>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</si>
  <si>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</si>
  <si>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</si>
  <si>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</si>
  <si>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</si>
  <si>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</si>
  <si>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</si>
  <si>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</si>
  <si>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</si>
  <si>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</si>
  <si>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</si>
  <si>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</si>
  <si>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</si>
  <si>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</si>
  <si>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</si>
  <si>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</si>
  <si>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</si>
  <si>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</si>
  <si>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</si>
  <si>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</si>
  <si>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</si>
  <si>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</si>
  <si>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</si>
  <si>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</si>
  <si>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</si>
  <si>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</si>
  <si>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</si>
  <si>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</si>
  <si>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</si>
  <si>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</si>
  <si>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</si>
  <si>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</si>
  <si>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</si>
  <si>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</si>
  <si>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</si>
  <si>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</si>
  <si>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</si>
  <si>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</si>
  <si>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</si>
  <si>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</si>
  <si>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</si>
  <si>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</si>
  <si>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</si>
  <si>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</si>
  <si>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</si>
  <si>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</si>
  <si>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</si>
  <si>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</si>
  <si>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</si>
  <si>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</si>
  <si>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</si>
  <si>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</si>
  <si>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</si>
  <si>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</si>
  <si>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</si>
  <si>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</si>
  <si>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</si>
  <si>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</si>
  <si>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</si>
  <si>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</si>
  <si>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</si>
  <si>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</si>
  <si>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</si>
  <si>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</si>
  <si>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</si>
  <si>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</si>
  <si>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</si>
  <si>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</si>
  <si>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</si>
  <si>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</si>
  <si>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</si>
  <si>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</si>
  <si>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</si>
  <si>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</si>
  <si>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</si>
  <si>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</si>
  <si>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</si>
  <si>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</si>
  <si>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</si>
  <si>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</si>
  <si>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</si>
  <si>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</si>
  <si>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</si>
  <si>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</si>
  <si>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</si>
  <si>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</si>
  <si>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</si>
  <si>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</si>
  <si>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</si>
  <si>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</si>
  <si>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</si>
  <si>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</si>
  <si>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</si>
  <si>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</si>
  <si>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</si>
  <si>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</si>
  <si>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</si>
  <si>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</si>
  <si>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</si>
  <si>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</si>
  <si>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</si>
  <si>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</si>
  <si>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</si>
  <si>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</si>
  <si>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</si>
  <si>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</si>
  <si>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</si>
  <si>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</si>
  <si>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</si>
  <si>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</si>
  <si>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</si>
  <si>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</si>
  <si>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</si>
  <si>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</si>
  <si>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</si>
  <si>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</si>
  <si>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</si>
  <si>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</si>
  <si>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</si>
  <si>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</si>
  <si>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</si>
  <si>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</si>
  <si>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</si>
  <si>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</si>
  <si>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</si>
  <si>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</si>
  <si>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</si>
  <si>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</si>
  <si>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</si>
  <si>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</si>
  <si>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</si>
  <si>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</si>
  <si>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</si>
  <si>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</si>
  <si>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</si>
  <si>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</si>
  <si>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</si>
  <si>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</si>
  <si>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</si>
  <si>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</si>
  <si>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</si>
  <si>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</si>
  <si>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</si>
  <si>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</si>
  <si>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</si>
  <si>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</si>
  <si>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</si>
  <si>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</si>
  <si>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</si>
  <si>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</si>
  <si>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</si>
  <si>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</si>
  <si>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</si>
  <si>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</si>
  <si>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</si>
  <si>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</si>
  <si>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</si>
  <si>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</si>
  <si>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</si>
  <si>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</si>
  <si>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</si>
  <si>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</si>
  <si>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</si>
  <si>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</si>
  <si>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</si>
  <si>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</si>
  <si>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</si>
  <si>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</si>
  <si>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</si>
  <si>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</si>
  <si>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</si>
  <si>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</si>
  <si>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</si>
  <si>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</si>
  <si>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</si>
  <si>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</si>
  <si>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</si>
  <si>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</si>
  <si>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</si>
  <si>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</si>
  <si>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</si>
  <si>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</si>
  <si>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</si>
  <si>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</si>
  <si>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</si>
  <si>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</si>
  <si>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</si>
  <si>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</si>
  <si>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</si>
  <si>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</si>
  <si>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</si>
  <si>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</si>
  <si>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</si>
  <si>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</si>
  <si>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</si>
  <si>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</si>
  <si>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</si>
  <si>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</si>
  <si>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</si>
  <si>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</si>
  <si>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</si>
  <si>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</si>
  <si>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</si>
  <si>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</si>
  <si>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</si>
  <si>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</si>
  <si>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</si>
  <si>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</si>
  <si>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</si>
  <si>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</si>
  <si>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</si>
  <si>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</si>
  <si>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</si>
  <si>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</si>
  <si>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</si>
  <si>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</si>
  <si>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</si>
  <si>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</si>
  <si>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</si>
  <si>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</si>
  <si>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</si>
  <si>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</si>
  <si>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</si>
  <si>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</si>
  <si>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</si>
  <si>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</si>
  <si>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</si>
  <si>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</si>
  <si>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</si>
  <si>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</si>
  <si>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</si>
  <si>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</si>
  <si>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</si>
  <si>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</si>
  <si>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</si>
  <si>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</si>
  <si>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</si>
  <si>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</si>
  <si>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</si>
  <si>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</si>
  <si>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</si>
  <si>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</si>
  <si>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</si>
  <si>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</si>
  <si>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</si>
  <si>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</si>
  <si>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</si>
  <si>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</si>
  <si>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</si>
  <si>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</si>
  <si>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</si>
  <si>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</si>
  <si>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</si>
  <si>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</si>
  <si>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</si>
  <si>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</si>
  <si>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</si>
  <si>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</si>
  <si>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</si>
  <si>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</si>
  <si>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</si>
  <si>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</si>
  <si>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</si>
  <si>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</si>
  <si>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</si>
  <si>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</si>
  <si>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</si>
  <si>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</si>
  <si>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</si>
  <si>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</si>
  <si>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</si>
  <si>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</si>
  <si>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</si>
  <si>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</si>
  <si>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</si>
  <si>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</si>
  <si>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</si>
  <si>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</si>
  <si>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</si>
  <si>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</si>
  <si>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</si>
  <si>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</si>
  <si>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</si>
  <si>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</si>
  <si>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</si>
  <si>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</si>
  <si>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</si>
  <si>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</si>
  <si>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</si>
  <si>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</si>
  <si>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</si>
  <si>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</si>
  <si>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</si>
  <si>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</si>
  <si>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</si>
  <si>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</si>
  <si>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</si>
  <si>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</si>
  <si>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</si>
  <si>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</si>
  <si>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</si>
  <si>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</si>
  <si>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</si>
  <si>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</si>
  <si>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</si>
  <si>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</si>
  <si>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</si>
  <si>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</si>
  <si>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</si>
  <si>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</si>
  <si>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</si>
  <si>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</si>
  <si>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</si>
  <si>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</si>
  <si>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</si>
  <si>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</si>
  <si>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</si>
  <si>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</si>
  <si>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</si>
  <si>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</si>
  <si>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</si>
  <si>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</si>
  <si>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</si>
  <si>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</si>
  <si>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</si>
  <si>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</si>
  <si>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</si>
  <si>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</si>
  <si>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</si>
  <si>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</si>
  <si>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</si>
  <si>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</si>
  <si>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</si>
  <si>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</si>
  <si>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</si>
  <si>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</si>
  <si>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</si>
  <si>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</si>
  <si>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</si>
  <si>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</si>
  <si>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</si>
  <si>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</si>
  <si>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</si>
  <si>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</si>
  <si>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</si>
  <si>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</si>
  <si>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</si>
  <si>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</si>
  <si>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</si>
  <si>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</si>
  <si>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</si>
  <si>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</si>
  <si>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</si>
  <si>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</si>
  <si>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</si>
  <si>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</si>
  <si>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</si>
  <si>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</si>
  <si>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</si>
  <si>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</si>
  <si>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</si>
  <si>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</si>
  <si>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</si>
  <si>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</si>
  <si>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</si>
  <si>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</si>
  <si>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</si>
  <si>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</si>
  <si>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</si>
  <si>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</si>
  <si>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</si>
  <si>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</si>
  <si>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</si>
  <si>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</si>
  <si>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</si>
  <si>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</si>
  <si>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</si>
  <si>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</si>
  <si>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</si>
  <si>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</si>
  <si>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</si>
  <si>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</si>
  <si>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</si>
  <si>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</si>
  <si>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</si>
  <si>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</si>
  <si>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</si>
  <si>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</si>
  <si>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</si>
  <si>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</si>
  <si>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</si>
  <si>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</si>
  <si>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</si>
  <si>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</si>
  <si>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</si>
  <si>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</si>
  <si>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</si>
  <si>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</si>
  <si>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</si>
  <si>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</si>
  <si>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</si>
  <si>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</si>
  <si>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</si>
  <si>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</si>
  <si>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</si>
  <si>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</si>
  <si>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</si>
  <si>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</si>
  <si>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</si>
  <si>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</si>
  <si>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</si>
  <si>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</si>
  <si>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</si>
  <si>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</si>
  <si>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</si>
  <si>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</si>
  <si>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</si>
  <si>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</si>
  <si>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</si>
  <si>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</si>
  <si>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</si>
  <si>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</si>
  <si>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</si>
  <si>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</si>
  <si>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</si>
  <si>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</si>
  <si>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</si>
  <si>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</si>
  <si>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</si>
  <si>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</si>
  <si>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</si>
  <si>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</si>
  <si>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</si>
  <si>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</si>
  <si>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</si>
  <si>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</si>
  <si>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</si>
  <si>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</si>
  <si>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</si>
  <si>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</si>
  <si>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</si>
  <si>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</si>
  <si>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</si>
  <si>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</si>
  <si>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</si>
  <si>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</si>
  <si>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</si>
  <si>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</si>
  <si>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</si>
  <si>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</si>
  <si>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</si>
  <si>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</si>
  <si>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</si>
  <si>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</si>
  <si>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</si>
  <si>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</si>
  <si>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</si>
  <si>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</si>
  <si>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</si>
  <si>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</si>
  <si>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</si>
  <si>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</si>
  <si>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</si>
  <si>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</si>
  <si>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</si>
  <si>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</si>
  <si>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</si>
  <si>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</si>
  <si>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</si>
  <si>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</si>
  <si>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</si>
  <si>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</si>
  <si>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</si>
  <si>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</si>
  <si>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</si>
  <si>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</si>
  <si>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</si>
  <si>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</si>
  <si>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</si>
  <si>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</si>
  <si>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</si>
  <si>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</si>
  <si>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</si>
  <si>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</si>
  <si>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</si>
  <si>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</si>
  <si>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</si>
  <si>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</si>
  <si>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</si>
  <si>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</si>
  <si>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</si>
  <si>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</si>
  <si>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</si>
  <si>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</si>
  <si>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</si>
  <si>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</si>
  <si>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</si>
  <si>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</si>
  <si>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</si>
  <si>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</si>
  <si>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</si>
  <si>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</si>
  <si>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</si>
  <si>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</si>
  <si>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</si>
  <si>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</si>
  <si>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</si>
  <si>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</si>
  <si>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</si>
  <si>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</si>
  <si>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</si>
  <si>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</si>
  <si>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</si>
  <si>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</si>
  <si>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</si>
  <si>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</si>
  <si>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</si>
  <si>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</si>
  <si>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</si>
  <si>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</si>
  <si>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</si>
  <si>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</si>
  <si>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</si>
  <si>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</si>
  <si>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</si>
  <si>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</si>
  <si>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</si>
  <si>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</si>
  <si>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</si>
  <si>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</si>
  <si>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</si>
  <si>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</si>
  <si>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</si>
  <si>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</si>
  <si>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</si>
  <si>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</si>
  <si>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</si>
  <si>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</si>
  <si>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</si>
  <si>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</si>
  <si>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</si>
  <si>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</si>
  <si>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</si>
  <si>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</si>
  <si>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</si>
  <si>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</si>
  <si>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</si>
  <si>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</si>
  <si>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</si>
  <si>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</si>
  <si>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</si>
  <si>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</si>
  <si>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</si>
  <si>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</si>
  <si>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</si>
  <si>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</si>
  <si>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</si>
  <si>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</si>
  <si>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</si>
  <si>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</si>
  <si>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</si>
  <si>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</si>
  <si>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</si>
  <si>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</si>
  <si>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</si>
  <si>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</si>
  <si>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</si>
  <si>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</si>
  <si>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</si>
  <si>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</si>
  <si>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</si>
  <si>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</si>
  <si>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</si>
  <si>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</si>
  <si>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</si>
  <si>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</si>
  <si>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</si>
  <si>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</si>
  <si>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</si>
  <si>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</si>
  <si>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</si>
  <si>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</si>
  <si>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</si>
  <si>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</si>
  <si>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</si>
  <si>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</si>
  <si>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</si>
  <si>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</si>
  <si>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</si>
  <si>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</si>
  <si>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</si>
  <si>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</si>
  <si>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</si>
  <si>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</si>
  <si>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</si>
  <si>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</si>
  <si>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</si>
  <si>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</si>
  <si>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</si>
  <si>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</si>
  <si>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</si>
  <si>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</si>
  <si>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</si>
  <si>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</si>
  <si>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</si>
  <si>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</si>
  <si>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</si>
  <si>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</si>
  <si>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</si>
  <si>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</si>
  <si>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</si>
  <si>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</si>
  <si>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</si>
  <si>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</si>
  <si>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</si>
  <si>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</si>
  <si>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</si>
  <si>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</si>
  <si>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</si>
  <si>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</si>
  <si>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</si>
  <si>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</si>
  <si>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</si>
  <si>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</si>
  <si>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</si>
  <si>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</si>
  <si>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</si>
  <si>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</si>
  <si>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</si>
  <si>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</si>
  <si>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</si>
  <si>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</si>
  <si>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</si>
  <si>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</si>
  <si>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</si>
  <si>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</si>
  <si>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</si>
  <si>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</si>
  <si>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</si>
  <si>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</si>
  <si>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</si>
  <si>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</si>
  <si>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</si>
  <si>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</si>
  <si>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</si>
  <si>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</si>
  <si>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</si>
  <si>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</si>
  <si>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</si>
  <si>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</si>
  <si>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</si>
  <si>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</si>
  <si>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</si>
  <si>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</si>
  <si>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</si>
  <si>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</si>
  <si>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</si>
  <si>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</si>
  <si>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</si>
  <si>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</si>
  <si>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</si>
  <si>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</si>
  <si>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</si>
  <si>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</si>
  <si>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</si>
  <si>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</si>
  <si>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</si>
  <si>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</si>
  <si>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</si>
  <si>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</si>
  <si>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</si>
  <si>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</si>
  <si>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</si>
  <si>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</si>
  <si>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</si>
  <si>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</si>
  <si>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</si>
  <si>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</si>
  <si>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</si>
  <si>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</si>
  <si>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</si>
  <si>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</si>
  <si>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</si>
  <si>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</si>
  <si>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</si>
  <si>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</si>
  <si>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</si>
  <si>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</si>
  <si>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</si>
  <si>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</si>
  <si>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</si>
  <si>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</si>
  <si>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</si>
  <si>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</si>
  <si>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</si>
  <si>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</si>
  <si>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</si>
  <si>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</si>
  <si>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</si>
  <si>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</si>
  <si>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</si>
  <si>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</si>
  <si>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</si>
  <si>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</si>
  <si>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</si>
  <si>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</si>
  <si>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</si>
  <si>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</si>
  <si>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</si>
  <si>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</si>
  <si>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</si>
  <si>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</si>
  <si>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</si>
  <si>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</si>
  <si>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</si>
  <si>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</si>
  <si>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</si>
  <si>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</si>
  <si>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</si>
  <si>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</si>
  <si>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</si>
  <si>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</si>
  <si>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</si>
  <si>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</si>
  <si>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</si>
  <si>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</si>
  <si>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</si>
  <si>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</si>
  <si>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</si>
  <si>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</si>
  <si>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</si>
  <si>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</si>
  <si>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</si>
  <si>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</si>
  <si>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</si>
  <si>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</si>
  <si>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</si>
  <si>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</si>
  <si>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</si>
  <si>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</si>
  <si>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</si>
  <si>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</si>
  <si>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</si>
  <si>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</si>
  <si>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</si>
  <si>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</si>
  <si>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</si>
  <si>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</si>
  <si>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</si>
  <si>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</si>
  <si>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</si>
  <si>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</si>
  <si>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</si>
  <si>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</si>
  <si>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</si>
  <si>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</si>
  <si>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</si>
  <si>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</si>
  <si>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</si>
  <si>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</si>
  <si>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</si>
  <si>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</si>
  <si>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</si>
  <si>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</si>
  <si>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</si>
  <si>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</si>
  <si>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</si>
  <si>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</si>
  <si>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</si>
  <si>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</si>
  <si>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</si>
  <si>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</si>
  <si>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</si>
  <si>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</si>
  <si>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</si>
  <si>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</si>
  <si>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</si>
  <si>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</si>
  <si>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</si>
  <si>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</si>
  <si>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</si>
  <si>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</si>
  <si>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</si>
  <si>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</si>
  <si>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</si>
  <si>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</si>
  <si>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</si>
  <si>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</si>
  <si>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</si>
  <si>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</si>
  <si>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</si>
  <si>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</si>
  <si>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</si>
  <si>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</si>
  <si>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</si>
  <si>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</si>
  <si>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</si>
  <si>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</si>
  <si>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</si>
  <si>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</si>
  <si>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</si>
  <si>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</si>
  <si>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</si>
  <si>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</si>
  <si>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</si>
  <si>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</si>
  <si>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</si>
  <si>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</si>
  <si>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</si>
  <si>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</si>
  <si>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</si>
  <si>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</si>
  <si>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</si>
  <si>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</si>
  <si>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</si>
  <si>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</si>
  <si>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</si>
  <si>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</si>
  <si>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</si>
  <si>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</si>
  <si>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</si>
  <si>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</si>
  <si>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</si>
  <si>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</si>
  <si>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</si>
  <si>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</si>
  <si>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</si>
  <si>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</si>
  <si>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</si>
  <si>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</si>
  <si>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</si>
  <si>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</si>
  <si>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</si>
  <si>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</si>
  <si>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</si>
  <si>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</si>
  <si>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</si>
  <si>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</si>
  <si>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</si>
  <si>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</si>
  <si>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</si>
  <si>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</si>
  <si>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</si>
  <si>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</si>
  <si>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</si>
  <si>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</si>
  <si>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</si>
  <si>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</si>
  <si>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</si>
  <si>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</si>
  <si>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</si>
  <si>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</si>
  <si>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</si>
  <si>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</si>
  <si>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</si>
  <si>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</si>
  <si>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</si>
  <si>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</si>
  <si>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</si>
  <si>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</si>
  <si>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</si>
  <si>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</si>
  <si>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</si>
  <si>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</si>
  <si>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</si>
  <si>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</si>
  <si>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</si>
  <si>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</si>
  <si>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</si>
  <si>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</si>
  <si>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</si>
  <si>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</si>
  <si>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</si>
  <si>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</si>
  <si>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</si>
  <si>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</si>
  <si>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</si>
  <si>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</si>
  <si>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</si>
  <si>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</si>
  <si>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</si>
  <si>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</si>
  <si>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</si>
  <si>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</si>
  <si>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</si>
  <si>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</si>
  <si>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</si>
  <si>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</si>
  <si>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</si>
  <si>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</si>
  <si>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</si>
  <si>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</si>
  <si>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</si>
  <si>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</si>
  <si>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</si>
  <si>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</si>
  <si>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</si>
  <si>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</si>
  <si>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</si>
  <si>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</si>
  <si>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</si>
  <si>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</si>
  <si>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</si>
  <si>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</si>
  <si>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</si>
  <si>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</si>
  <si>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</si>
  <si>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</si>
  <si>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</si>
  <si>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</si>
  <si>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</si>
  <si>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</si>
  <si>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</si>
  <si>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</si>
  <si>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</si>
  <si>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</si>
  <si>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</si>
  <si>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</si>
  <si>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</si>
  <si>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</si>
  <si>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</si>
  <si>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</si>
  <si>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</si>
  <si>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</si>
  <si>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</si>
  <si>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</si>
  <si>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</si>
  <si>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</si>
  <si>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</si>
  <si>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</si>
  <si>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</si>
  <si>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</si>
  <si>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</si>
  <si>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</si>
  <si>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</si>
  <si>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</si>
  <si>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</si>
  <si>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</si>
  <si>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</si>
  <si>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</si>
  <si>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</si>
  <si>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</si>
  <si>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</si>
  <si>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</si>
  <si>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</si>
  <si>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</si>
  <si>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</si>
  <si>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</si>
  <si>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</si>
  <si>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</si>
  <si>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</si>
  <si>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</si>
  <si>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</si>
  <si>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</si>
  <si>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</si>
  <si>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</si>
  <si>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</si>
  <si>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</si>
  <si>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</si>
  <si>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</si>
  <si>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</si>
  <si>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</si>
  <si>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</si>
  <si>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</si>
  <si>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</si>
  <si>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</si>
  <si>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</si>
  <si>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</si>
  <si>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</si>
  <si>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</si>
  <si>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</si>
  <si>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</si>
  <si>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</si>
  <si>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</si>
  <si>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</si>
  <si>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</si>
  <si>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</si>
  <si>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</si>
  <si>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</si>
  <si>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</si>
  <si>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</si>
  <si>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</si>
  <si>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</si>
  <si>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</si>
  <si>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</si>
  <si>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</si>
  <si>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</si>
  <si>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</si>
  <si>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</si>
  <si>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</si>
  <si>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</si>
  <si>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</si>
  <si>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</si>
  <si>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</si>
  <si>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</si>
  <si>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</si>
  <si>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</si>
  <si>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</si>
  <si>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</si>
  <si>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</si>
  <si>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</si>
  <si>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</si>
  <si>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</si>
  <si>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</si>
  <si>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</si>
  <si>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</si>
  <si>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</si>
  <si>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</si>
  <si>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</si>
  <si>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</si>
  <si>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</si>
  <si>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</si>
  <si>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</si>
  <si>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</si>
  <si>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</si>
  <si>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</si>
  <si>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</si>
  <si>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</si>
  <si>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</si>
  <si>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</si>
  <si>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</si>
  <si>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</si>
  <si>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</si>
  <si>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</si>
  <si>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</si>
  <si>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</si>
  <si>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</si>
  <si>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</si>
  <si>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</si>
  <si>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</si>
  <si>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</si>
  <si>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</si>
  <si>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</si>
  <si>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</si>
  <si>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</si>
  <si>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</si>
  <si>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</si>
  <si>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</si>
  <si>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</si>
  <si>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</si>
  <si>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</si>
  <si>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</si>
  <si>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</si>
  <si>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</si>
  <si>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</si>
  <si>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</si>
  <si>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</si>
  <si>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</si>
  <si>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</si>
  <si>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</si>
  <si>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</si>
  <si>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</si>
  <si>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</si>
  <si>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</si>
  <si>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</si>
  <si>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</si>
  <si>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</si>
  <si>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</si>
  <si>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</si>
  <si>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</si>
  <si>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</si>
  <si>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</si>
  <si>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</si>
  <si>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</si>
  <si>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</si>
  <si>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</si>
  <si>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</si>
  <si>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</si>
  <si>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</si>
  <si>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</si>
  <si>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</si>
  <si>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</si>
  <si>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</si>
  <si>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</si>
  <si>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</si>
  <si>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</si>
  <si>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</si>
  <si>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</si>
  <si>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</si>
  <si>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</si>
  <si>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</si>
  <si>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</si>
  <si>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</si>
  <si>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</si>
  <si>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</si>
  <si>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</si>
  <si>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</si>
  <si>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</si>
  <si>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</si>
  <si>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</si>
  <si>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</si>
  <si>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</si>
  <si>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</si>
  <si>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</si>
  <si>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</si>
  <si>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</si>
  <si>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</si>
  <si>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</si>
  <si>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</si>
  <si>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</si>
  <si>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</si>
  <si>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</si>
  <si>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</si>
  <si>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</si>
  <si>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</si>
  <si>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</si>
  <si>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</si>
  <si>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</si>
  <si>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</si>
  <si>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</si>
  <si>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</si>
  <si>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</si>
  <si>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</si>
  <si>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</si>
  <si>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</si>
  <si>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</si>
  <si>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</si>
  <si>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</si>
  <si>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</si>
  <si>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</si>
  <si>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</si>
  <si>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</si>
  <si>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</si>
  <si>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</si>
  <si>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</si>
  <si>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</si>
  <si>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</si>
  <si>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</si>
  <si>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</si>
  <si>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</si>
  <si>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</si>
  <si>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</si>
  <si>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</si>
  <si>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</si>
  <si>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</si>
  <si>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</si>
  <si>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</si>
  <si>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</si>
  <si>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</si>
  <si>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</si>
  <si>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</si>
  <si>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</si>
  <si>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</si>
  <si>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</si>
  <si>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</si>
  <si>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</si>
  <si>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</si>
  <si>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</si>
  <si>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</si>
  <si>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</si>
  <si>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</si>
  <si>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</si>
  <si>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</si>
  <si>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</si>
  <si>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</si>
  <si>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</si>
  <si>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</si>
  <si>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</si>
  <si>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</si>
  <si>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</si>
  <si>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</si>
  <si>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</si>
  <si>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</si>
  <si>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</si>
  <si>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</si>
  <si>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</si>
  <si>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</si>
  <si>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</si>
  <si>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</si>
  <si>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</si>
  <si>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</si>
  <si>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</si>
  <si>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</si>
  <si>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</si>
  <si>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</si>
  <si>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</si>
  <si>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</si>
  <si>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</si>
  <si>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</si>
  <si>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</si>
  <si>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</si>
  <si>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</si>
  <si>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</si>
  <si>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</si>
  <si>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</si>
  <si>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</si>
  <si>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</si>
  <si>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</si>
  <si>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</si>
  <si>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</si>
  <si>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</si>
  <si>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</si>
  <si>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</si>
  <si>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</si>
  <si>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</si>
  <si>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</si>
  <si>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</si>
  <si>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</si>
  <si>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</si>
  <si>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</si>
  <si>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</si>
  <si>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</si>
  <si>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</si>
  <si>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</si>
  <si>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</si>
  <si>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</si>
  <si>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</si>
  <si>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</si>
  <si>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</si>
  <si>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</si>
  <si>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</si>
  <si>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</si>
  <si>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</si>
  <si>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</si>
  <si>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</si>
  <si>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</si>
  <si>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</si>
  <si>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</si>
  <si>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</si>
  <si>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</si>
  <si>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</si>
  <si>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</si>
  <si>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</si>
  <si>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</si>
  <si>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</si>
  <si>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</si>
  <si>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</si>
  <si>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</si>
  <si>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</si>
  <si>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</si>
  <si>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</si>
  <si>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</si>
  <si>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</si>
  <si>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</si>
  <si>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</si>
  <si>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</si>
  <si>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</si>
  <si>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</si>
  <si>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</si>
  <si>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</si>
  <si>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</si>
  <si>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</si>
  <si>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</si>
  <si>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</si>
  <si>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</si>
  <si>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</si>
  <si>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</si>
  <si>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</si>
  <si>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</si>
  <si>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</si>
  <si>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</si>
  <si>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</si>
  <si>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</si>
  <si>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</si>
  <si>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</si>
  <si>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</si>
  <si>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</si>
  <si>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</si>
  <si>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</si>
  <si>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</si>
  <si>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</si>
  <si>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</si>
  <si>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</si>
  <si>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</si>
  <si>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</si>
  <si>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</si>
  <si>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</si>
  <si>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</si>
  <si>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</si>
  <si>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</si>
  <si>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</si>
  <si>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</si>
  <si>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</si>
  <si>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</si>
  <si>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</si>
  <si>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</si>
  <si>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</si>
  <si>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</si>
  <si>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</si>
  <si>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</si>
  <si>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</si>
  <si>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</si>
  <si>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</si>
  <si>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</si>
  <si>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</si>
  <si>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</si>
  <si>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</si>
  <si>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</si>
  <si>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</si>
  <si>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</si>
  <si>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</si>
  <si>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</si>
  <si>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</si>
  <si>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</si>
  <si>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</si>
  <si>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</si>
  <si>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</si>
  <si>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</si>
  <si>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</si>
  <si>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</si>
  <si>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</si>
  <si>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</si>
  <si>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</si>
  <si>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</si>
  <si>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</si>
  <si>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</si>
  <si>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</si>
  <si>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</si>
  <si>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</si>
  <si>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</si>
  <si>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</si>
  <si>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</si>
  <si>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</si>
  <si>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</si>
  <si>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</si>
  <si>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</si>
  <si>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</si>
  <si>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</si>
  <si>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</si>
  <si>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</si>
  <si>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</si>
  <si>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</si>
  <si>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</si>
  <si>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</si>
  <si>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</si>
  <si>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</si>
  <si>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</si>
  <si>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</si>
  <si>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</si>
  <si>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</si>
  <si>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</si>
  <si>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</si>
  <si>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</si>
  <si>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</si>
  <si>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</si>
  <si>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</si>
  <si>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</si>
  <si>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</si>
  <si>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</si>
  <si>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</si>
  <si>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</si>
  <si>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</si>
  <si>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</si>
  <si>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</si>
  <si>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</si>
  <si>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</si>
  <si>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</si>
  <si>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</si>
  <si>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</si>
  <si>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</si>
  <si>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</si>
  <si>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</si>
  <si>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</si>
  <si>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</si>
  <si>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</si>
  <si>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</si>
  <si>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</si>
  <si>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</si>
  <si>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</si>
  <si>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</si>
  <si>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</si>
  <si>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</si>
  <si>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</si>
  <si>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</si>
  <si>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</si>
  <si>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</si>
  <si>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</si>
  <si>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</si>
  <si>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</si>
  <si>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</si>
  <si>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</si>
  <si>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</si>
  <si>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</si>
  <si>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</si>
  <si>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</si>
  <si>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</si>
  <si>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</si>
  <si>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</si>
  <si>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</si>
  <si>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</si>
  <si>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</si>
  <si>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</si>
  <si>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</si>
  <si>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</si>
  <si>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</si>
  <si>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</si>
  <si>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</si>
  <si>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</si>
  <si>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</si>
  <si>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</si>
  <si>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</si>
  <si>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</si>
  <si>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</si>
  <si>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</si>
  <si>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</si>
  <si>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</si>
  <si>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</si>
  <si>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</si>
  <si>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</si>
  <si>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</si>
  <si>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</si>
  <si>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</si>
  <si>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</si>
  <si>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</si>
  <si>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</si>
  <si>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</si>
  <si>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</si>
  <si>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</si>
  <si>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</si>
  <si>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</si>
  <si>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</si>
  <si>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</si>
  <si>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</si>
  <si>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</si>
  <si>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</si>
  <si>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</si>
  <si>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</si>
  <si>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</si>
  <si>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</si>
  <si>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</si>
  <si>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</si>
  <si>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</si>
  <si>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</si>
  <si>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</si>
  <si>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</si>
  <si>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</si>
  <si>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</si>
  <si>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</si>
  <si>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</si>
  <si>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</si>
  <si>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</si>
  <si>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</si>
  <si>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</si>
  <si>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</si>
  <si>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</si>
  <si>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</si>
  <si>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</si>
  <si>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</si>
  <si>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</si>
  <si>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</si>
  <si>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</si>
  <si>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</si>
  <si>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</si>
  <si>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</si>
  <si>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</si>
  <si>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</si>
  <si>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</si>
  <si>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</si>
  <si>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</si>
  <si>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</si>
  <si>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</si>
  <si>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</si>
  <si>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</si>
  <si>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</si>
  <si>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</si>
  <si>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</si>
  <si>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</si>
  <si>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</si>
  <si>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</si>
  <si>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</si>
  <si>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</si>
  <si>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</si>
  <si>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</si>
  <si>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</si>
  <si>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</si>
  <si>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</si>
  <si>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</si>
  <si>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</si>
  <si>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</si>
  <si>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</si>
  <si>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</si>
  <si>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</si>
  <si>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</si>
  <si>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</si>
  <si>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</si>
  <si>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</si>
  <si>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</si>
  <si>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</si>
  <si>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</si>
  <si>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</si>
  <si>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</si>
  <si>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</si>
  <si>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</si>
  <si>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</si>
  <si>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</si>
  <si>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</si>
  <si>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</si>
  <si>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</si>
  <si>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</si>
  <si>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</si>
  <si>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</si>
  <si>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</si>
  <si>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</si>
  <si>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</si>
  <si>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</si>
  <si>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</si>
  <si>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</si>
  <si>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</si>
  <si>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</si>
  <si>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</si>
  <si>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</si>
  <si>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</si>
  <si>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</si>
  <si>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</si>
  <si>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</si>
  <si>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</si>
  <si>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</si>
  <si>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</si>
  <si>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</si>
  <si>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</si>
  <si>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</si>
  <si>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</si>
  <si>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</si>
  <si>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</si>
  <si>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</si>
  <si>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</si>
  <si>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</si>
  <si>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</si>
  <si>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</si>
  <si>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</si>
  <si>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</si>
  <si>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</si>
  <si>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</si>
  <si>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</si>
  <si>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</si>
  <si>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</si>
  <si>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</si>
  <si>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</si>
  <si>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</si>
  <si>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</si>
  <si>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</si>
  <si>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</si>
  <si>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</si>
  <si>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</si>
  <si>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</si>
  <si>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</si>
  <si>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</si>
  <si>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</si>
  <si>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</si>
  <si>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</si>
  <si>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</si>
  <si>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</si>
  <si>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</si>
  <si>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</si>
  <si>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</si>
  <si>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</si>
  <si>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</si>
  <si>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</si>
  <si>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</si>
  <si>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</si>
  <si>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</si>
  <si>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</si>
  <si>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</si>
  <si>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</si>
  <si>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</si>
  <si>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</si>
  <si>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</si>
  <si>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</si>
  <si>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</si>
  <si>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</si>
  <si>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</si>
  <si>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</si>
  <si>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</si>
  <si>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</si>
  <si>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</si>
  <si>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</si>
  <si>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</si>
  <si>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</si>
  <si>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</si>
  <si>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</si>
  <si>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</si>
  <si>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</si>
  <si>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</si>
  <si>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</si>
  <si>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</si>
  <si>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</si>
  <si>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</si>
  <si>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</si>
  <si>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</si>
  <si>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</si>
  <si>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</si>
  <si>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</si>
  <si>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</si>
  <si>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</si>
  <si>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</si>
  <si>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</si>
  <si>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</si>
  <si>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</si>
  <si>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</si>
  <si>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</si>
  <si>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</si>
  <si>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</si>
  <si>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</si>
  <si>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</si>
  <si>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</si>
  <si>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</si>
  <si>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</si>
  <si>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</si>
  <si>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</si>
  <si>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</si>
  <si>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</si>
  <si>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</si>
  <si>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</si>
  <si>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</si>
  <si>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</si>
  <si>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</si>
  <si>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</si>
  <si>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</si>
  <si>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</si>
  <si>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</si>
  <si>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</si>
  <si>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</si>
  <si>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</si>
  <si>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</si>
  <si>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</si>
  <si>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</si>
  <si>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</si>
  <si>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</si>
  <si>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</si>
  <si>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</si>
  <si>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</si>
  <si>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</si>
  <si>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</si>
  <si>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</si>
  <si>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</si>
  <si>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</si>
  <si>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</si>
  <si>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</si>
  <si>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</si>
  <si>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</si>
  <si>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</si>
  <si>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</si>
  <si>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</si>
  <si>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</si>
  <si>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</si>
  <si>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</si>
  <si>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</si>
  <si>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</si>
  <si>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</si>
  <si>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</si>
  <si>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</si>
  <si>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</si>
  <si>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</si>
  <si>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</si>
  <si>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</si>
  <si>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</si>
  <si>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</si>
  <si>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</si>
  <si>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</si>
  <si>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</si>
  <si>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</si>
  <si>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</si>
  <si>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</si>
  <si>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</si>
  <si>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</si>
  <si>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</si>
  <si>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</si>
  <si>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</si>
  <si>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</si>
  <si>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</si>
  <si>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</si>
  <si>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</si>
  <si>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</si>
  <si>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</si>
  <si>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</si>
  <si>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</si>
  <si>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</si>
  <si>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</si>
  <si>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</si>
  <si>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</si>
  <si>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</si>
  <si>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</si>
  <si>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</si>
  <si>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</si>
  <si>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</si>
  <si>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</si>
  <si>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</si>
  <si>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</si>
  <si>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</si>
  <si>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</si>
  <si>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</si>
  <si>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</si>
  <si>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</si>
  <si>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</si>
  <si>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</si>
  <si>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</si>
  <si>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</si>
  <si>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</si>
  <si>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</si>
  <si>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</si>
  <si>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</si>
  <si>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</si>
  <si>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</si>
  <si>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</si>
  <si>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</si>
  <si>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</si>
  <si>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</si>
  <si>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</si>
  <si>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</si>
  <si>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</si>
  <si>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</si>
  <si>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</si>
  <si>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</si>
  <si>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</si>
  <si>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</si>
  <si>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</si>
  <si>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</si>
  <si>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</si>
  <si>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</si>
  <si>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</si>
  <si>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</si>
  <si>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</si>
  <si>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</si>
  <si>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</si>
  <si>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</si>
  <si>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</si>
  <si>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</si>
  <si>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</si>
  <si>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</si>
  <si>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</si>
  <si>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</si>
  <si>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</si>
  <si>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</si>
  <si>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</si>
  <si>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</si>
  <si>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</si>
  <si>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</si>
  <si>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</si>
  <si>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</si>
  <si>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</si>
  <si>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</si>
  <si>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</si>
  <si>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</si>
  <si>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</si>
  <si>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</si>
  <si>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</si>
  <si>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</si>
  <si>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</si>
  <si>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</si>
  <si>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</si>
  <si>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</si>
  <si>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</si>
  <si>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</si>
  <si>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</si>
  <si>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</si>
  <si>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</si>
  <si>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</si>
  <si>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</si>
  <si>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</si>
  <si>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</si>
  <si>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</si>
  <si>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</si>
  <si>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</si>
  <si>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</si>
  <si>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</si>
  <si>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</si>
  <si>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</si>
  <si>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</si>
  <si>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</si>
  <si>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</si>
  <si>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</si>
  <si>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</si>
  <si>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</si>
  <si>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</si>
  <si>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</si>
  <si>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</si>
  <si>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</si>
  <si>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</si>
  <si>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</si>
  <si>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</si>
  <si>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</si>
  <si>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</si>
  <si>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</si>
  <si>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</si>
  <si>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</si>
  <si>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</si>
  <si>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</si>
  <si>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</si>
  <si>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</si>
  <si>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</si>
  <si>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</si>
  <si>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</si>
  <si>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</si>
  <si>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</si>
  <si>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</si>
  <si>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</si>
  <si>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</si>
  <si>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</si>
  <si>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</si>
  <si>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</si>
  <si>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</si>
  <si>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</si>
  <si>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</si>
  <si>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</si>
  <si>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999 West Dundee Road</t>
  </si>
  <si>
    <t>Wheeling</t>
  </si>
  <si>
    <t>Dr. Michael Connolly</t>
  </si>
  <si>
    <t>847-520-7226</t>
  </si>
  <si>
    <t>847-520-2848</t>
  </si>
  <si>
    <t>Evoy, Kamschulte, Jacobs &amp; Co. LLP</t>
  </si>
  <si>
    <t>John D. Aceto, Jr., CPA</t>
  </si>
  <si>
    <t>2122 Yeoman Street</t>
  </si>
  <si>
    <t>Waukegan</t>
  </si>
  <si>
    <t>IL</t>
  </si>
  <si>
    <t>847-662-8300</t>
  </si>
  <si>
    <t>847-6628305</t>
  </si>
  <si>
    <t>066-003289</t>
  </si>
  <si>
    <t>jaceto@ekjllp.com</t>
  </si>
  <si>
    <t>Leases</t>
  </si>
  <si>
    <t>2005A Refunding Bonds</t>
  </si>
  <si>
    <t>2013A General Obligation Limited School Bonds</t>
  </si>
  <si>
    <t>2013C Taxable General Obligation Refunding Bonds</t>
  </si>
  <si>
    <t>2013B Taxable General Obligation Refunding Bonds</t>
  </si>
  <si>
    <t>Retired Bond Issues</t>
  </si>
  <si>
    <t>Capital Leases</t>
  </si>
  <si>
    <t>2019A General Obligation School Bonds</t>
  </si>
  <si>
    <t>2019B General Obligation School Bonds</t>
  </si>
  <si>
    <t>IPF Illinois Public Risk Fund</t>
  </si>
  <si>
    <t>Energy Purchasing COOP with IUPC</t>
  </si>
  <si>
    <t>Education School Insurance COOP ESIC</t>
  </si>
  <si>
    <t>District 214 Serves as POOL Manager</t>
  </si>
  <si>
    <t>NSSEO</t>
  </si>
  <si>
    <t>Share Transportation with Distrct 21, 23 &amp; 214</t>
  </si>
  <si>
    <t>Education Fund</t>
  </si>
  <si>
    <t>Bond &amp; Interest Fund</t>
  </si>
  <si>
    <t>IMRF Fund</t>
  </si>
  <si>
    <t>US DEPARTMENT OF AGRICULTURE</t>
  </si>
  <si>
    <t>Passed Through ISBE</t>
  </si>
  <si>
    <t>(M) National School Lunch</t>
  </si>
  <si>
    <t>(M) School Breakfast Program</t>
  </si>
  <si>
    <t>(M) Nat'l School Lunch ISBE Lanter Commod</t>
  </si>
  <si>
    <t>(M) Nat'l School Lunch DoD Fresh Fruits &amp; Veg</t>
  </si>
  <si>
    <t>TOTAL CHILD NUTRITION CLUSTER</t>
  </si>
  <si>
    <t xml:space="preserve">      Child &amp; Adult Care Food Program</t>
  </si>
  <si>
    <t>Sub Total</t>
  </si>
  <si>
    <t>Child Nutrition Cluster</t>
  </si>
  <si>
    <t>TOTAL US DEPARTMENT OF AGRICULTURE</t>
  </si>
  <si>
    <t>4210-2018</t>
  </si>
  <si>
    <t>4210-2019</t>
  </si>
  <si>
    <t>4220-2018</t>
  </si>
  <si>
    <t>4220-2019</t>
  </si>
  <si>
    <t>4226-2018</t>
  </si>
  <si>
    <t>4226-2019</t>
  </si>
  <si>
    <t>N/A</t>
  </si>
  <si>
    <t>US DEPARTMENT OF HEALTH &amp; HUMAN SERVICES</t>
  </si>
  <si>
    <t>Passed Through IL Dept. of Healthcare &amp; Family Services</t>
  </si>
  <si>
    <t xml:space="preserve">      Medicaid Outreach</t>
  </si>
  <si>
    <t>Total Department of Healthcare &amp; Human Serv</t>
  </si>
  <si>
    <t>4991-2019</t>
  </si>
  <si>
    <t>US DEPARTMENT OF EDUCATION</t>
  </si>
  <si>
    <t>Passed Through NSSEO Special Education Cluster</t>
  </si>
  <si>
    <t xml:space="preserve">      IDEA - Preschool</t>
  </si>
  <si>
    <t>84.173A</t>
  </si>
  <si>
    <t>4600-2019</t>
  </si>
  <si>
    <t xml:space="preserve">      IDEA - Part B - Flow Through</t>
  </si>
  <si>
    <t>84.027A</t>
  </si>
  <si>
    <t>4620-2018</t>
  </si>
  <si>
    <t>4620-2019</t>
  </si>
  <si>
    <t>Total US Department of Education Passed Through NSSEO, Special Education Cluster</t>
  </si>
  <si>
    <t xml:space="preserve">      Title I - Low Income</t>
  </si>
  <si>
    <t>84.010A</t>
  </si>
  <si>
    <t>4300-2018</t>
  </si>
  <si>
    <t>4300-2019</t>
  </si>
  <si>
    <t xml:space="preserve">      IDEA - Room &amp; Board, XC</t>
  </si>
  <si>
    <t>4625-2018</t>
  </si>
  <si>
    <t>US DEPARTMENT OF EDUCATION PASSED THROUGH ISBE CONTINUED</t>
  </si>
  <si>
    <t xml:space="preserve">      Title III - IEP</t>
  </si>
  <si>
    <t>84.365A</t>
  </si>
  <si>
    <t>4905-2018</t>
  </si>
  <si>
    <t>4905-2019</t>
  </si>
  <si>
    <t>4909-2018</t>
  </si>
  <si>
    <t>4909-2019</t>
  </si>
  <si>
    <t xml:space="preserve">      Title II - Teacher Quality</t>
  </si>
  <si>
    <t>84.367A</t>
  </si>
  <si>
    <t>4932-2018</t>
  </si>
  <si>
    <t>4932-2019</t>
  </si>
  <si>
    <t>Total Passed Through ISBE</t>
  </si>
  <si>
    <t xml:space="preserve">      Title I - School Impr &amp; Accountability</t>
  </si>
  <si>
    <t>4330-2019</t>
  </si>
  <si>
    <t>TOTAL US DEPARTMENT OF EDUCATION</t>
  </si>
  <si>
    <t>TOTAL FEDERAL FINANCIAL ASSISTANCE</t>
  </si>
  <si>
    <t>Value of Federal Awards in the Form of Non-Cash Assistance During the Year</t>
  </si>
  <si>
    <t>Federal Insurance in Effect During the Year</t>
  </si>
  <si>
    <t>Federal Loans or Loan Guarantees Including Interest Subsidies, Outstanding at Year End</t>
  </si>
  <si>
    <t>Amount Provided to Subrecipients</t>
  </si>
  <si>
    <r>
      <t xml:space="preserve">The accompanying Schedule of Expenditures of Federal Awards includes the federal grant activity of Wheeling CCSD 21 and is presented on the Accrual </t>
    </r>
    <r>
      <rPr>
        <b/>
        <sz val="9"/>
        <rFont val="Calibri"/>
        <family val="2"/>
        <scheme val="minor"/>
      </rPr>
      <t>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</si>
  <si>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Wheeling CCSD 21 provided federal awards to subrecipients as follows:</t>
  </si>
  <si>
    <t>NONE</t>
  </si>
  <si>
    <r>
      <t xml:space="preserve">The following amounts were expended in the form of non-cash assistance by Wheeling CCSD 21 and </t>
    </r>
    <r>
      <rPr>
        <b/>
        <sz val="9"/>
        <rFont val="Calibri"/>
        <family val="2"/>
        <scheme val="minor"/>
      </rPr>
      <t>should be</t>
    </r>
    <r>
      <rPr>
        <sz val="9"/>
        <rFont val="Calibri"/>
        <family val="2"/>
        <scheme val="minor"/>
      </rPr>
      <t xml:space="preserve"> included in the Schedule of Expenditures of Federal Awards:</t>
    </r>
  </si>
  <si>
    <t>Unmodified</t>
  </si>
  <si>
    <t>National School Lunch</t>
  </si>
  <si>
    <t>School Breaskfast Program</t>
  </si>
  <si>
    <t>ISBE Lanter Commodities</t>
  </si>
  <si>
    <t>DoD Fresh Fruits &amp; Vegetables</t>
  </si>
  <si>
    <t>Page 11, Line 107, Other Revenue, Refund ISU Teaching $25,000; NSSED Refund $12,390; Rebate $1,688</t>
  </si>
  <si>
    <t xml:space="preserve">Page 12, Line 168, Other Income from State Sources, Library Grant $4,541, Healthy Comm Investment Grant $35,946; </t>
  </si>
  <si>
    <t xml:space="preserve">   Other Income from ISBE $88,404.</t>
  </si>
  <si>
    <t>Page 11, Line 107. Other Revenue, Metal Scrap $1,712; Settlement form Ford $11,465</t>
  </si>
  <si>
    <t>Page 11, Line 107, Other Revenue, FICA Refund $3,612.</t>
  </si>
  <si>
    <t>Page 18, Line 164, Debt Service Other, Bank Fees $3,265.</t>
  </si>
  <si>
    <t xml:space="preserve">      Title III - LIPLEP</t>
  </si>
  <si>
    <t>ED-INSTRUCTIONAL-PURCH SVS</t>
  </si>
  <si>
    <t>10-1000-300</t>
  </si>
  <si>
    <t>ABL</t>
  </si>
  <si>
    <t>ED-INSTRUCTIONAL-SUPPLIES</t>
  </si>
  <si>
    <t>10-1000-400</t>
  </si>
  <si>
    <t>ACCELERATE LEARNING INC</t>
  </si>
  <si>
    <t>TR-PUPIL TRANS-PURCH SVS</t>
  </si>
  <si>
    <t>40-2550-300</t>
  </si>
  <si>
    <t>ALL-WAYS TRANSPORTATION SVCS</t>
  </si>
  <si>
    <t>AMERICAN TAXI DISPATCH INC</t>
  </si>
  <si>
    <t>OM-OP&amp;MAINT-PURCH SVS</t>
  </si>
  <si>
    <t>20-2540-300</t>
  </si>
  <si>
    <t>BHFX LLC</t>
  </si>
  <si>
    <t>ED-INFORMATION SVS-PURCH SVS</t>
  </si>
  <si>
    <t>10-2630-300</t>
  </si>
  <si>
    <t>BRAIN POP LLC</t>
  </si>
  <si>
    <t>CANON SOLUTIONS AMERICA INC</t>
  </si>
  <si>
    <t>OM-OP&amp;MAINT-SUPPLIES</t>
  </si>
  <si>
    <t>20-2540-400</t>
  </si>
  <si>
    <t>CONSERV FS INC</t>
  </si>
  <si>
    <t>CONSTELLATION NEW ENERGY INC</t>
  </si>
  <si>
    <t>CONSTELLATION NEW ENERGY GAS</t>
  </si>
  <si>
    <t>ED-EDUCATIONAL MEDIA SVS-SOFTWARE</t>
  </si>
  <si>
    <t>10-2200-400</t>
  </si>
  <si>
    <t>COUGHLAN COMPANIES LLC</t>
  </si>
  <si>
    <t>ED-EDUCATIONAL MEDIA SVS-PURCH SERV</t>
  </si>
  <si>
    <t>10-2200-300</t>
  </si>
  <si>
    <t>DISCOVERY EDUCATION</t>
  </si>
  <si>
    <t>ED-STUDENT SVS-PURCH SERV</t>
  </si>
  <si>
    <t>EMBRACE EDUCATION</t>
  </si>
  <si>
    <t>FIRST STUDENT INC</t>
  </si>
  <si>
    <t>ED-PUBLIC INFO SVS-PURCH SVS</t>
  </si>
  <si>
    <t>FULRUM MANAGEMENT SOLUTIONS</t>
  </si>
  <si>
    <t>GENESIS TECHNOLOGIES INC</t>
  </si>
  <si>
    <t>GLOBAL EQUIPMENT CO INC</t>
  </si>
  <si>
    <t>TR-PUPIL TRANS-SUPPLIES</t>
  </si>
  <si>
    <t>40-2550-400</t>
  </si>
  <si>
    <t>GRAHAM C-STORES CO</t>
  </si>
  <si>
    <t>HONEYWELL INT'L INC</t>
  </si>
  <si>
    <t>ED-INSTRUCTION-SUPPLIES</t>
  </si>
  <si>
    <t>HOUGHTON MIFFLIN HARCOURT PUB</t>
  </si>
  <si>
    <t>JOHNSON CONTROLS FIRE PROTECT</t>
  </si>
  <si>
    <t>ED-ASSESSMENT-PURCH SVS</t>
  </si>
  <si>
    <t>ILLUMINATE EDUCATION</t>
  </si>
  <si>
    <t>JOHNSON CONTROLS SECURITY SOL</t>
  </si>
  <si>
    <t>JOHNSON FLOOR COMPANY INC</t>
  </si>
  <si>
    <t>ED-STUDENT SVS-OTHER OBJECTS</t>
  </si>
  <si>
    <t>KESHET</t>
  </si>
  <si>
    <t>LAKSHORE LEARNING MAT'L</t>
  </si>
  <si>
    <t>LAUREATE DAY SCHOOL</t>
  </si>
  <si>
    <t>LEARNING A-Z</t>
  </si>
  <si>
    <t>MC GRAW HILL SCHOOL EDUC HOLDIN</t>
  </si>
  <si>
    <t>NCS PEARSON INC</t>
  </si>
  <si>
    <t>NET56 INC</t>
  </si>
  <si>
    <t>TORT-INSURANCE-PURCH SVS</t>
  </si>
  <si>
    <t>80-2300-300</t>
  </si>
  <si>
    <t>NFIP DIRECT SERVICING AGENT</t>
  </si>
  <si>
    <t>NWEA</t>
  </si>
  <si>
    <t>ED-FOOD SERVICE-PURCH SVS</t>
  </si>
  <si>
    <t>10-2560-300</t>
  </si>
  <si>
    <t>ORGANIC LIFE</t>
  </si>
  <si>
    <t>PEARSON EDUCATION INC</t>
  </si>
  <si>
    <t>ED-SPEC ED-SUPPLIES</t>
  </si>
  <si>
    <t>PRENTKE ROMICH CO</t>
  </si>
  <si>
    <t>ED-INSTRUCTION-PURCH SVS</t>
  </si>
  <si>
    <t>QUINLAN &amp; FABISH MUSIC CO</t>
  </si>
  <si>
    <t>ED-LEGAL-PURCH SVS</t>
  </si>
  <si>
    <t>10-2300-300</t>
  </si>
  <si>
    <t>SCARIANO HIMES AND PETRARCA</t>
  </si>
  <si>
    <t>ED-SUPPORT SVS-SUPPLIES</t>
  </si>
  <si>
    <t>SCHOLASTIC INC</t>
  </si>
  <si>
    <t>SKYWARD INC</t>
  </si>
  <si>
    <t>ED-HEALTH SVS-PURCH SVS</t>
  </si>
  <si>
    <t>10-2100-300</t>
  </si>
  <si>
    <t>SUNBELT STAFFING</t>
  </si>
  <si>
    <t>VISTA HIGHER LEARNING</t>
  </si>
  <si>
    <t>Wheeling CCSD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</si>
</sst>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0" fontId="74"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866775</xdr:colOff>
          <xdr:row>5</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1982" t="s">
        <v>405</v>
      </c>
      <c r="J1" s="1983"/>
      <c r="K1" s="1983"/>
      <c r="L1" s="1983"/>
      <c r="M1" s="1983"/>
      <c r="N1" s="1983"/>
      <c r="O1" s="1983"/>
      <c r="P1" s="1983"/>
      <c r="Q1" s="1983"/>
      <c r="R1" s="1983"/>
      <c r="S1" s="1983"/>
    </row>
    <row r="2" spans="1:28" ht="12" customHeight="1" x14ac:dyDescent="0.2">
      <c r="A2" s="47" t="s">
        <v>1990</v>
      </c>
      <c r="D2" s="48"/>
      <c r="I2" s="1984" t="s">
        <v>979</v>
      </c>
      <c r="J2" s="1983"/>
      <c r="K2" s="1983"/>
      <c r="L2" s="1983"/>
      <c r="M2" s="1983"/>
      <c r="N2" s="1983"/>
      <c r="O2" s="1983"/>
      <c r="P2" s="1983"/>
      <c r="Q2" s="1983"/>
      <c r="R2" s="1983"/>
      <c r="S2" s="1983"/>
    </row>
    <row r="3" spans="1:28" ht="12" customHeight="1" x14ac:dyDescent="0.2">
      <c r="A3" s="155" t="s">
        <v>1942</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2061</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17">
        <v>5016021004</v>
      </c>
      <c r="B13" s="2018"/>
      <c r="C13" s="2018"/>
      <c r="D13" s="2018"/>
      <c r="E13" s="2018"/>
      <c r="F13" s="2018"/>
      <c r="G13" s="2018"/>
      <c r="H13" s="2019"/>
      <c r="I13" s="31"/>
      <c r="J13" s="30"/>
      <c r="K13" s="28"/>
      <c r="L13" s="30"/>
      <c r="M13" s="30"/>
      <c r="N13" s="30"/>
      <c r="O13" s="30"/>
      <c r="P13" s="30"/>
      <c r="Q13" s="30"/>
      <c r="R13" s="30"/>
      <c r="S13" s="30"/>
      <c r="T13" s="2022" t="s">
        <v>2068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2062</v>
      </c>
      <c r="B15" s="2020"/>
      <c r="C15" s="2020"/>
      <c r="D15" s="2020"/>
      <c r="E15" s="2020"/>
      <c r="F15" s="2020"/>
      <c r="G15" s="2020"/>
      <c r="H15" s="2021"/>
      <c r="T15" s="2026" t="s">
        <v>2069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2246</v>
      </c>
      <c r="B17" s="1977"/>
      <c r="C17" s="1977"/>
      <c r="D17" s="1977"/>
      <c r="E17" s="1977"/>
      <c r="F17" s="1977"/>
      <c r="G17" s="1977"/>
      <c r="H17" s="2002"/>
      <c r="T17" s="2033" t="s">
        <v>2070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2063</v>
      </c>
      <c r="B19" s="1962"/>
      <c r="C19" s="1962"/>
      <c r="D19" s="1962"/>
      <c r="E19" s="1962"/>
      <c r="F19" s="1962"/>
      <c r="G19" s="1962"/>
      <c r="H19" s="1942"/>
      <c r="I19" s="30"/>
      <c r="J19" s="99"/>
      <c r="K19" s="40"/>
      <c r="L19" s="38"/>
      <c r="M19" s="112" t="s">
        <v>315</v>
      </c>
      <c r="P19" s="27"/>
      <c r="Q19" s="27"/>
      <c r="R19" s="27"/>
      <c r="S19" s="31"/>
      <c r="T19" s="2016" t="s">
        <v>2071</v>
      </c>
      <c r="U19" s="1941"/>
      <c r="V19" s="1941"/>
      <c r="W19" s="1942"/>
      <c r="X19" s="2031" t="s">
        <v>2072</v>
      </c>
      <c r="Y19" s="2032"/>
      <c r="Z19" s="2029">
        <v>60087</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2064</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2075</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60090</v>
      </c>
      <c r="B25" s="1941"/>
      <c r="C25" s="1941"/>
      <c r="D25" s="1941"/>
      <c r="E25" s="1941"/>
      <c r="F25" s="1941"/>
      <c r="G25" s="1941"/>
      <c r="H25" s="1942"/>
      <c r="I25" s="113"/>
      <c r="J25" s="1965"/>
      <c r="K25" s="1965"/>
      <c r="L25" s="1965"/>
      <c r="M25" s="1965"/>
      <c r="N25" s="1965"/>
      <c r="O25" s="1965"/>
      <c r="P25" s="1965"/>
      <c r="Q25" s="1965"/>
      <c r="R25" s="1965"/>
      <c r="S25" s="1966"/>
      <c r="T25" s="2036" t="s">
        <v>2076</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2065</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2066</v>
      </c>
      <c r="B42" s="1960"/>
      <c r="C42" s="1961"/>
      <c r="D42" s="1959" t="s">
        <v>2067</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1799</v>
      </c>
      <c r="B2" s="1528" t="s">
        <v>1948</v>
      </c>
      <c r="C2" s="714" t="s">
        <v>1949</v>
      </c>
      <c r="D2" s="714" t="s">
        <v>1950</v>
      </c>
      <c r="E2" s="714" t="s">
        <v>1951</v>
      </c>
      <c r="F2" s="714" t="s">
        <v>1952</v>
      </c>
    </row>
    <row r="3" spans="1:6" ht="12" customHeight="1" x14ac:dyDescent="0.2">
      <c r="A3" s="2183"/>
      <c r="B3" s="1525"/>
      <c r="C3" s="1526"/>
      <c r="D3" s="1527" t="s">
        <v>256</v>
      </c>
      <c r="E3" s="1526"/>
      <c r="F3" s="1527" t="s">
        <v>257</v>
      </c>
    </row>
    <row r="4" spans="1:6" ht="13.7" customHeight="1" x14ac:dyDescent="0.2">
      <c r="A4" s="715" t="s">
        <v>1155</v>
      </c>
      <c r="B4" s="1749">
        <f>'Revenues 9-14'!C5</f>
        <v>60364175</v>
      </c>
      <c r="C4" s="1524"/>
      <c r="D4" s="1752">
        <f>B4-C4</f>
        <v>60364175</v>
      </c>
      <c r="E4" s="1524">
        <v>64511070</v>
      </c>
      <c r="F4" s="1752">
        <f>E4-C4</f>
        <v>64511070</v>
      </c>
    </row>
    <row r="5" spans="1:6" ht="13.7" customHeight="1" x14ac:dyDescent="0.2">
      <c r="A5" s="715" t="s">
        <v>870</v>
      </c>
      <c r="B5" s="1750">
        <f>'Revenues 9-14'!D5</f>
        <v>7492291</v>
      </c>
      <c r="C5" s="585"/>
      <c r="D5" s="1753">
        <f t="shared" ref="D5:D18" si="0">B5-C5</f>
        <v>7492291</v>
      </c>
      <c r="E5" s="585">
        <v>8034000</v>
      </c>
      <c r="F5" s="1753">
        <f>E5-C5</f>
        <v>8034000</v>
      </c>
    </row>
    <row r="6" spans="1:6" ht="13.7" customHeight="1" x14ac:dyDescent="0.2">
      <c r="A6" s="715" t="s">
        <v>411</v>
      </c>
      <c r="B6" s="1750">
        <f>'Revenues 9-14'!E5</f>
        <v>5597692</v>
      </c>
      <c r="C6" s="585"/>
      <c r="D6" s="1753">
        <f t="shared" si="0"/>
        <v>5597692</v>
      </c>
      <c r="E6" s="585">
        <v>6612767</v>
      </c>
      <c r="F6" s="1753">
        <f t="shared" ref="F6:F18" si="1">E6-C6</f>
        <v>6612767</v>
      </c>
    </row>
    <row r="7" spans="1:6" ht="13.7" customHeight="1" x14ac:dyDescent="0.2">
      <c r="A7" s="715" t="s">
        <v>155</v>
      </c>
      <c r="B7" s="1750">
        <f>'Revenues 9-14'!F5</f>
        <v>4657687</v>
      </c>
      <c r="C7" s="585"/>
      <c r="D7" s="1753">
        <f t="shared" si="0"/>
        <v>4657687</v>
      </c>
      <c r="E7" s="585">
        <v>4944000</v>
      </c>
      <c r="F7" s="1753">
        <f t="shared" si="1"/>
        <v>4944000</v>
      </c>
    </row>
    <row r="8" spans="1:6" ht="13.7" customHeight="1" x14ac:dyDescent="0.2">
      <c r="A8" s="715" t="s">
        <v>1179</v>
      </c>
      <c r="B8" s="1750">
        <f>'Revenues 9-14'!G5</f>
        <v>1036259</v>
      </c>
      <c r="C8" s="585"/>
      <c r="D8" s="1753">
        <f t="shared" si="0"/>
        <v>1036259</v>
      </c>
      <c r="E8" s="585">
        <v>1133000</v>
      </c>
      <c r="F8" s="1753">
        <f t="shared" si="1"/>
        <v>1133000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783576</v>
      </c>
      <c r="C11" s="585"/>
      <c r="D11" s="1753">
        <f t="shared" si="0"/>
        <v>783576</v>
      </c>
      <c r="E11" s="585">
        <v>721000</v>
      </c>
      <c r="F11" s="1753">
        <f t="shared" si="1"/>
        <v>721000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6576848</v>
      </c>
      <c r="C14" s="585"/>
      <c r="D14" s="1753">
        <f t="shared" si="0"/>
        <v>6576848</v>
      </c>
      <c r="E14" s="585">
        <v>7107000</v>
      </c>
      <c r="F14" s="1753">
        <f t="shared" si="1"/>
        <v>7107000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1774385</v>
      </c>
      <c r="C16" s="585"/>
      <c r="D16" s="1753">
        <f t="shared" si="0"/>
        <v>1774385</v>
      </c>
      <c r="E16" s="585">
        <v>1545000</v>
      </c>
      <c r="F16" s="1753">
        <f t="shared" si="1"/>
        <v>1545000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88282913</v>
      </c>
      <c r="C19" s="1751">
        <f>SUM(C4:C18)</f>
        <v>0</v>
      </c>
      <c r="D19" s="1751">
        <f>SUM(D4:D18)</f>
        <v>88282913</v>
      </c>
      <c r="E19" s="1751">
        <f>SUM(E4:E18)</f>
        <v>94607837</v>
      </c>
      <c r="F19" s="1751">
        <f>SUM(F4:F18)</f>
        <v>94607837</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1799</v>
      </c>
      <c r="B2" s="2210"/>
      <c r="C2" s="1884" t="s">
        <v>1953</v>
      </c>
      <c r="D2" s="723" t="s">
        <v>1954</v>
      </c>
      <c r="E2" s="723" t="s">
        <v>1955</v>
      </c>
      <c r="F2" s="1884" t="s">
        <v>1956</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2078</v>
      </c>
      <c r="B31" s="733">
        <v>38467</v>
      </c>
      <c r="C31" s="734">
        <v>14055000</v>
      </c>
      <c r="D31" s="735">
        <v>3</v>
      </c>
      <c r="E31" s="734">
        <v>8575000</v>
      </c>
      <c r="F31" s="734"/>
      <c r="G31" s="734">
        <v>-685000</v>
      </c>
      <c r="H31" s="734">
        <v>3375000</v>
      </c>
      <c r="I31" s="1756">
        <f>((E31+F31)-H31)+G31</f>
        <v>4515000</v>
      </c>
      <c r="J31" s="734">
        <v>2789548</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t="s">
        <v>2079</v>
      </c>
      <c r="B33" s="733">
        <v>41353</v>
      </c>
      <c r="C33" s="738">
        <v>9410000</v>
      </c>
      <c r="D33" s="735">
        <v>6</v>
      </c>
      <c r="E33" s="738">
        <v>9410000</v>
      </c>
      <c r="F33" s="738"/>
      <c r="G33" s="738"/>
      <c r="H33" s="734">
        <v>200000</v>
      </c>
      <c r="I33" s="1756">
        <f t="shared" ref="I33:I48" si="1">((E33+F33)-H33)+G33</f>
        <v>9210000</v>
      </c>
      <c r="J33" s="734">
        <v>9164994</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t="s">
        <v>2081</v>
      </c>
      <c r="B35" s="733">
        <v>41353</v>
      </c>
      <c r="C35" s="467">
        <v>22350000</v>
      </c>
      <c r="D35" s="740">
        <v>3</v>
      </c>
      <c r="E35" s="467">
        <v>12030000</v>
      </c>
      <c r="F35" s="738"/>
      <c r="G35" s="738">
        <v>-2765000</v>
      </c>
      <c r="H35" s="738"/>
      <c r="I35" s="1756">
        <f t="shared" si="1"/>
        <v>9265000</v>
      </c>
      <c r="J35" s="738">
        <v>8610235</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2080</v>
      </c>
      <c r="B37" s="733">
        <v>41353</v>
      </c>
      <c r="C37" s="734">
        <v>1075000</v>
      </c>
      <c r="D37" s="741">
        <v>3</v>
      </c>
      <c r="E37" s="742">
        <v>240000</v>
      </c>
      <c r="F37" s="467"/>
      <c r="G37" s="467"/>
      <c r="H37" s="467">
        <v>240000</v>
      </c>
      <c r="I37" s="1756">
        <f t="shared" si="1"/>
        <v>0</v>
      </c>
      <c r="J37" s="467">
        <v>-115752</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2084</v>
      </c>
      <c r="B39" s="733">
        <v>43522</v>
      </c>
      <c r="C39" s="734">
        <v>42900000</v>
      </c>
      <c r="D39" s="741">
        <v>6</v>
      </c>
      <c r="E39" s="742"/>
      <c r="F39" s="742">
        <v>42900000</v>
      </c>
      <c r="G39" s="742"/>
      <c r="H39" s="742"/>
      <c r="I39" s="1756">
        <f t="shared" si="1"/>
        <v>42900000</v>
      </c>
      <c r="J39" s="743">
        <v>42644403</v>
      </c>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t="s">
        <v>2085</v>
      </c>
      <c r="B41" s="733">
        <v>43522</v>
      </c>
      <c r="C41" s="734">
        <v>3195000</v>
      </c>
      <c r="D41" s="741">
        <v>3</v>
      </c>
      <c r="E41" s="742"/>
      <c r="F41" s="742">
        <v>3195000</v>
      </c>
      <c r="G41" s="742"/>
      <c r="H41" s="742"/>
      <c r="I41" s="1756">
        <f t="shared" si="1"/>
        <v>3195000</v>
      </c>
      <c r="J41" s="743">
        <v>2988469</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t="s">
        <v>2082</v>
      </c>
      <c r="B43" s="733"/>
      <c r="C43" s="734"/>
      <c r="D43" s="741"/>
      <c r="E43" s="742"/>
      <c r="F43" s="742"/>
      <c r="G43" s="742"/>
      <c r="H43" s="742"/>
      <c r="I43" s="1756">
        <f t="shared" si="1"/>
        <v>0</v>
      </c>
      <c r="J43" s="743">
        <v>40113</v>
      </c>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t="s">
        <v>2083</v>
      </c>
      <c r="B45" s="733"/>
      <c r="C45" s="734"/>
      <c r="D45" s="735">
        <v>7</v>
      </c>
      <c r="E45" s="734">
        <v>930013</v>
      </c>
      <c r="F45" s="734"/>
      <c r="G45" s="734"/>
      <c r="H45" s="734">
        <v>512546</v>
      </c>
      <c r="I45" s="1756">
        <f t="shared" si="1"/>
        <v>417467</v>
      </c>
      <c r="J45" s="734">
        <v>417467</v>
      </c>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92985000</v>
      </c>
      <c r="D49" s="745"/>
      <c r="E49" s="1756">
        <f t="shared" ref="E49:J49" si="2">SUM(E31:E48)</f>
        <v>31185013</v>
      </c>
      <c r="F49" s="1756">
        <f t="shared" si="2"/>
        <v>46095000</v>
      </c>
      <c r="G49" s="1756">
        <f t="shared" si="2"/>
        <v>-3450000</v>
      </c>
      <c r="H49" s="1756">
        <f t="shared" si="2"/>
        <v>4327546</v>
      </c>
      <c r="I49" s="1756">
        <f t="shared" si="2"/>
        <v>69502467</v>
      </c>
      <c r="J49" s="1756">
        <f t="shared" si="2"/>
        <v>66539477</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2077</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1" colorId="8" zoomScale="110" zoomScaleNormal="110"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1809</v>
      </c>
      <c r="K2" s="762" t="s">
        <v>138</v>
      </c>
    </row>
    <row r="3" spans="1:11" x14ac:dyDescent="0.2">
      <c r="A3" s="2235" t="s">
        <v>1961</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6576848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1810</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6576848</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6576848</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1806</v>
      </c>
      <c r="B19" s="2225"/>
      <c r="C19" s="2225"/>
      <c r="D19" s="2225"/>
      <c r="E19" s="2226"/>
      <c r="F19" s="789" t="s">
        <v>933</v>
      </c>
      <c r="G19" s="782"/>
      <c r="H19" s="782"/>
      <c r="I19" s="782"/>
      <c r="J19" s="765"/>
      <c r="K19" s="795"/>
    </row>
    <row r="20" spans="1:11" x14ac:dyDescent="0.2">
      <c r="A20" s="2227" t="s">
        <v>1811</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1812</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6576848</v>
      </c>
      <c r="I23" s="1758">
        <f>SUM(I14:I16,I21,I22)</f>
        <v>0</v>
      </c>
      <c r="J23" s="1758">
        <f>SUM(J14:J16,J21,J22)</f>
        <v>0</v>
      </c>
      <c r="K23" s="1758">
        <f>SUM(K14:K16,K21,K22)</f>
        <v>0</v>
      </c>
    </row>
    <row r="24" spans="1:11" ht="14.25" thickTop="1" thickBot="1" x14ac:dyDescent="0.25">
      <c r="A24" s="2247" t="s">
        <v>1962</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2061</v>
      </c>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234562</v>
      </c>
    </row>
    <row r="37" spans="1:11" x14ac:dyDescent="0.2">
      <c r="A37" s="820" t="s">
        <v>896</v>
      </c>
      <c r="B37" s="818"/>
      <c r="C37" s="818"/>
      <c r="D37" s="818"/>
      <c r="E37" s="818"/>
      <c r="F37" s="819"/>
      <c r="G37" s="765">
        <v>3931</v>
      </c>
    </row>
    <row r="38" spans="1:11" x14ac:dyDescent="0.2">
      <c r="A38" s="820" t="s">
        <v>993</v>
      </c>
      <c r="B38" s="818"/>
      <c r="C38" s="818"/>
      <c r="D38" s="818"/>
      <c r="E38" s="818"/>
      <c r="F38" s="819"/>
      <c r="G38" s="765">
        <v>385061</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1906</v>
      </c>
      <c r="B1" s="2253"/>
      <c r="C1" s="2254"/>
      <c r="D1" s="826"/>
      <c r="E1" s="827"/>
      <c r="F1" s="827"/>
      <c r="G1" s="828"/>
      <c r="H1" s="829"/>
      <c r="I1" s="830"/>
      <c r="J1" s="2250"/>
      <c r="K1" s="2251"/>
      <c r="L1" s="2251"/>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1965066</v>
      </c>
      <c r="D5" s="841"/>
      <c r="E5" s="841"/>
      <c r="F5" s="1760">
        <f>(C5+D5)-E5</f>
        <v>1965066</v>
      </c>
      <c r="G5" s="837"/>
      <c r="H5" s="842"/>
      <c r="I5" s="842"/>
      <c r="J5" s="842"/>
      <c r="K5" s="793"/>
      <c r="L5" s="1769">
        <f>F5-K5</f>
        <v>1965066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97038304</v>
      </c>
      <c r="D8" s="844">
        <v>13778728</v>
      </c>
      <c r="E8" s="844"/>
      <c r="F8" s="1760">
        <f>(C8+D8)-E8</f>
        <v>110817032</v>
      </c>
      <c r="G8" s="843">
        <v>50</v>
      </c>
      <c r="H8" s="765">
        <v>47869068</v>
      </c>
      <c r="I8" s="765">
        <v>2079902</v>
      </c>
      <c r="J8" s="765"/>
      <c r="K8" s="1769">
        <f>(H8+I8)-J8</f>
        <v>49948970</v>
      </c>
      <c r="L8" s="1769">
        <f>F8-K8</f>
        <v>60868062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3764581</v>
      </c>
      <c r="D10" s="846"/>
      <c r="E10" s="846"/>
      <c r="F10" s="1764">
        <f>(C10+D10)-E10</f>
        <v>3764581</v>
      </c>
      <c r="G10" s="843">
        <v>20</v>
      </c>
      <c r="H10" s="847">
        <v>3764581</v>
      </c>
      <c r="I10" s="847"/>
      <c r="J10" s="847"/>
      <c r="K10" s="1769">
        <f>(H10+I10)-J10</f>
        <v>3764581</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23411426</v>
      </c>
      <c r="D12" s="844">
        <v>4403178</v>
      </c>
      <c r="E12" s="844"/>
      <c r="F12" s="1760">
        <f>(C12+D12)-E12</f>
        <v>27814604</v>
      </c>
      <c r="G12" s="843">
        <v>10</v>
      </c>
      <c r="H12" s="765">
        <v>21878050</v>
      </c>
      <c r="I12" s="765">
        <v>639257</v>
      </c>
      <c r="J12" s="765"/>
      <c r="K12" s="1769">
        <f>(H12+I12)-J12</f>
        <v>22517307</v>
      </c>
      <c r="L12" s="1769">
        <f>F12-K12</f>
        <v>5297297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126179377</v>
      </c>
      <c r="D16" s="1760">
        <f>SUM(D3,D5:D6,D8:D10,D12:D15)</f>
        <v>18181906</v>
      </c>
      <c r="E16" s="1760">
        <f>SUM(E3,E5:E6,E8:E10,E12:E15)</f>
        <v>0</v>
      </c>
      <c r="F16" s="1760">
        <f>SUM(F3,F5:F6,F8:F10,F12:F15)</f>
        <v>144361283</v>
      </c>
      <c r="G16" s="843"/>
      <c r="H16" s="1760">
        <f>SUM(H3,H6,H8:H10,H12:H14,)</f>
        <v>73511699</v>
      </c>
      <c r="I16" s="1760">
        <f>SUM(I3,I6,I8:I10,I12:I14,)</f>
        <v>2719159</v>
      </c>
      <c r="J16" s="1760">
        <f>SUM(J3,J6,J8:J10,J12:J14,)</f>
        <v>0</v>
      </c>
      <c r="K16" s="1760">
        <f>(H16+I16)-J16</f>
        <v>76230858</v>
      </c>
      <c r="L16" s="1760">
        <f>F16-K16</f>
        <v>68130425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2719159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48" activePane="bottomLeft" state="frozen"/>
      <selection activeCell="A47" sqref="A47"/>
      <selection pane="bottomLeft" activeCell="F56" sqref="F5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1972</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80018845</v>
      </c>
      <c r="G8" s="865"/>
    </row>
    <row r="9" spans="1:7" x14ac:dyDescent="0.2">
      <c r="A9" s="869" t="s">
        <v>460</v>
      </c>
      <c r="B9" s="870" t="s">
        <v>1874</v>
      </c>
      <c r="C9" s="871"/>
      <c r="D9" s="869" t="s">
        <v>501</v>
      </c>
      <c r="E9" s="868"/>
      <c r="F9" s="1909">
        <f>'Expenditures 15-22'!K151</f>
        <v>7732590</v>
      </c>
      <c r="G9" s="872"/>
    </row>
    <row r="10" spans="1:7" x14ac:dyDescent="0.2">
      <c r="A10" s="869" t="s">
        <v>499</v>
      </c>
      <c r="B10" s="870" t="s">
        <v>1875</v>
      </c>
      <c r="C10" s="871"/>
      <c r="D10" s="869" t="s">
        <v>501</v>
      </c>
      <c r="E10" s="868"/>
      <c r="F10" s="1909">
        <f>'Expenditures 15-22'!K174</f>
        <v>5719327</v>
      </c>
      <c r="G10" s="872"/>
    </row>
    <row r="11" spans="1:7" x14ac:dyDescent="0.2">
      <c r="A11" s="869" t="s">
        <v>461</v>
      </c>
      <c r="B11" s="870" t="s">
        <v>1876</v>
      </c>
      <c r="C11" s="871"/>
      <c r="D11" s="869" t="s">
        <v>501</v>
      </c>
      <c r="E11" s="868"/>
      <c r="F11" s="1909">
        <f>'Expenditures 15-22'!K210</f>
        <v>4420885</v>
      </c>
      <c r="G11" s="872"/>
    </row>
    <row r="12" spans="1:7" x14ac:dyDescent="0.2">
      <c r="A12" s="869" t="s">
        <v>462</v>
      </c>
      <c r="B12" s="870" t="s">
        <v>1877</v>
      </c>
      <c r="C12" s="871"/>
      <c r="D12" s="869" t="s">
        <v>501</v>
      </c>
      <c r="E12" s="868"/>
      <c r="F12" s="1909">
        <f>'Expenditures 15-22'!K295</f>
        <v>3140246</v>
      </c>
      <c r="G12" s="872"/>
    </row>
    <row r="13" spans="1:7" x14ac:dyDescent="0.2">
      <c r="A13" s="869" t="s">
        <v>106</v>
      </c>
      <c r="B13" s="870" t="s">
        <v>1878</v>
      </c>
      <c r="C13" s="871"/>
      <c r="D13" s="869" t="s">
        <v>501</v>
      </c>
      <c r="E13" s="868"/>
      <c r="F13" s="1909">
        <f>'Expenditures 15-22'!K342</f>
        <v>623553</v>
      </c>
      <c r="G13" s="873"/>
    </row>
    <row r="14" spans="1:7" ht="12" customHeight="1" thickBot="1" x14ac:dyDescent="0.25">
      <c r="A14" s="1770"/>
      <c r="B14" s="1771"/>
      <c r="C14" s="1772"/>
      <c r="D14" s="1773" t="s">
        <v>501</v>
      </c>
      <c r="E14" s="1774" t="s">
        <v>958</v>
      </c>
      <c r="F14" s="1775">
        <f>SUM(F8:F13)</f>
        <v>101655446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4395</v>
      </c>
      <c r="G18" s="865"/>
    </row>
    <row r="19" spans="1:7" x14ac:dyDescent="0.2">
      <c r="A19" s="869" t="s">
        <v>461</v>
      </c>
      <c r="B19" s="870" t="s">
        <v>1011</v>
      </c>
      <c r="C19" s="877">
        <f>'Revenues 9-14'!B47</f>
        <v>1421</v>
      </c>
      <c r="D19" s="878" t="str">
        <f>'Revenues 9-14'!A47</f>
        <v>Summer Sch - Transp. Fees from Pupils or Parents (In State)</v>
      </c>
      <c r="E19" s="879"/>
      <c r="F19" s="1911">
        <f>'Revenues 9-14'!F47</f>
        <v>1199</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1031944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1008719</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9545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249828</v>
      </c>
      <c r="G52" s="865"/>
    </row>
    <row r="53" spans="1:7" x14ac:dyDescent="0.2">
      <c r="A53" s="869" t="s">
        <v>459</v>
      </c>
      <c r="B53" s="869" t="s">
        <v>1475</v>
      </c>
      <c r="C53" s="889">
        <f>'Expenditures 15-22'!B102</f>
        <v>4000</v>
      </c>
      <c r="D53" s="888" t="str">
        <f>'Expenditures 15-22'!A102</f>
        <v>Total Payments to Other Govt Units</v>
      </c>
      <c r="E53" s="868"/>
      <c r="F53" s="1913">
        <f>'Expenditures 15-22'!K102</f>
        <v>265029</v>
      </c>
      <c r="G53" s="865"/>
    </row>
    <row r="54" spans="1:7" x14ac:dyDescent="0.2">
      <c r="A54" s="869" t="s">
        <v>459</v>
      </c>
      <c r="B54" s="869" t="s">
        <v>1476</v>
      </c>
      <c r="C54" s="889" t="s">
        <v>982</v>
      </c>
      <c r="D54" s="885" t="s">
        <v>1095</v>
      </c>
      <c r="E54" s="868"/>
      <c r="F54" s="1913">
        <f>'Expenditures 15-22'!G114</f>
        <v>877628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150829</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4327546</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145</v>
      </c>
      <c r="G71" s="865"/>
    </row>
    <row r="72" spans="1:8" x14ac:dyDescent="0.2">
      <c r="A72" s="869" t="s">
        <v>462</v>
      </c>
      <c r="B72" s="869" t="s">
        <v>1893</v>
      </c>
      <c r="C72" s="886">
        <f>'Expenditures 15-22'!B280</f>
        <v>3000</v>
      </c>
      <c r="D72" s="876" t="s">
        <v>449</v>
      </c>
      <c r="E72" s="868"/>
      <c r="F72" s="1913">
        <f>'Expenditures 15-22'!K280</f>
        <v>18064</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7944871</v>
      </c>
      <c r="G76" s="865"/>
    </row>
    <row r="77" spans="1:8" s="893" customFormat="1" ht="12" customHeight="1" thickTop="1" thickBot="1" x14ac:dyDescent="0.25">
      <c r="A77" s="1779"/>
      <c r="B77" s="1776"/>
      <c r="C77" s="1772"/>
      <c r="D77" s="1777" t="s">
        <v>1897</v>
      </c>
      <c r="E77" s="1774"/>
      <c r="F77" s="1780">
        <f>(F14-F76)</f>
        <v>93710575</v>
      </c>
      <c r="G77" s="869"/>
    </row>
    <row r="78" spans="1:8" s="893" customFormat="1" ht="12" customHeight="1" thickTop="1" x14ac:dyDescent="0.2">
      <c r="A78" s="1781"/>
      <c r="B78" s="1776"/>
      <c r="C78" s="1772"/>
      <c r="D78" s="1777" t="s">
        <v>2059</v>
      </c>
      <c r="E78" s="1774"/>
      <c r="F78" s="898">
        <v>5509</v>
      </c>
      <c r="G78" s="899"/>
      <c r="H78" s="869"/>
    </row>
    <row r="79" spans="1:8" s="893" customFormat="1" ht="12" customHeight="1" thickBot="1" x14ac:dyDescent="0.25">
      <c r="A79" s="1782"/>
      <c r="B79" s="1776"/>
      <c r="C79" s="1772"/>
      <c r="D79" s="1777" t="s">
        <v>1898</v>
      </c>
      <c r="E79" s="1774" t="s">
        <v>958</v>
      </c>
      <c r="F79" s="1783">
        <f>IF(F78&gt;0,F77/F78," Complete Line 78")</f>
        <v>17010.451080050825</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2733</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287652</v>
      </c>
      <c r="G94" s="912"/>
    </row>
    <row r="95" spans="1:7" x14ac:dyDescent="0.2">
      <c r="A95" s="908" t="s">
        <v>140</v>
      </c>
      <c r="B95" s="908" t="s">
        <v>175</v>
      </c>
      <c r="C95" s="910">
        <v>1700</v>
      </c>
      <c r="D95" s="918" t="str">
        <f>'Revenues 9-14'!A82</f>
        <v>Total District/School Activity Income</v>
      </c>
      <c r="E95" s="906"/>
      <c r="F95" s="1789">
        <f>SUM('Revenues 9-14'!C82,'Revenues 9-14'!D82)</f>
        <v>43655</v>
      </c>
      <c r="G95" s="912"/>
    </row>
    <row r="96" spans="1:7" x14ac:dyDescent="0.2">
      <c r="A96" s="908" t="s">
        <v>459</v>
      </c>
      <c r="B96" s="908" t="s">
        <v>176</v>
      </c>
      <c r="C96" s="910">
        <f>'Revenues 9-14'!B84</f>
        <v>1811</v>
      </c>
      <c r="D96" s="911" t="str">
        <f>'Revenues 9-14'!A84</f>
        <v>Rentals - Regular Textbooks</v>
      </c>
      <c r="E96" s="906"/>
      <c r="F96" s="1789">
        <f>'Revenues 9-14'!C84</f>
        <v>182777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29743</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1163</v>
      </c>
      <c r="G103" s="912"/>
    </row>
    <row r="104" spans="1:7" x14ac:dyDescent="0.2">
      <c r="A104" s="908" t="s">
        <v>459</v>
      </c>
      <c r="B104" s="908" t="s">
        <v>808</v>
      </c>
      <c r="C104" s="910">
        <f>'Revenues 9-14'!B106</f>
        <v>1993</v>
      </c>
      <c r="D104" s="911" t="str">
        <f>'Revenues 9-14'!A106</f>
        <v>Other Local Fees (Describe &amp; Itemize)</v>
      </c>
      <c r="E104" s="906"/>
      <c r="F104" s="1789">
        <f>('Revenues 9-14'!C106)</f>
        <v>47221</v>
      </c>
      <c r="G104" s="912"/>
    </row>
    <row r="105" spans="1:7" x14ac:dyDescent="0.2">
      <c r="A105" s="908" t="s">
        <v>503</v>
      </c>
      <c r="B105" s="908" t="s">
        <v>2000</v>
      </c>
      <c r="C105" s="913">
        <v>3100</v>
      </c>
      <c r="D105" s="919" t="str">
        <f>'Revenues 9-14'!A132</f>
        <v>Total Special Education</v>
      </c>
      <c r="E105" s="906"/>
      <c r="F105" s="1789">
        <f>SUM('Revenues 9-14'!C132:D132,'Revenues 9-14'!F132)</f>
        <v>136382</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75632</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2543499</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128891</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3149447</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1272969</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1236635</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32920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28970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115353</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204104</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188552</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531739</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v>2352655.6</v>
      </c>
      <c r="G171" s="927"/>
    </row>
    <row r="172" spans="1:7" x14ac:dyDescent="0.2">
      <c r="A172" s="1918" t="s">
        <v>664</v>
      </c>
      <c r="B172" s="1919" t="s">
        <v>1917</v>
      </c>
      <c r="C172" s="1920">
        <v>3300</v>
      </c>
      <c r="D172" s="1921" t="s">
        <v>1920</v>
      </c>
      <c r="E172" s="906"/>
      <c r="F172" s="1906">
        <v>1512920.89</v>
      </c>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14105613.49</v>
      </c>
    </row>
    <row r="175" spans="1:7" ht="12" customHeight="1" x14ac:dyDescent="0.2">
      <c r="A175" s="1770"/>
      <c r="B175" s="1784"/>
      <c r="C175" s="1785"/>
      <c r="D175" s="1786" t="s">
        <v>2054</v>
      </c>
      <c r="E175" s="1787"/>
      <c r="F175" s="1789">
        <f>'PCTC-OEPP 27-28'!F77-F174</f>
        <v>79604961.510000005</v>
      </c>
    </row>
    <row r="176" spans="1:7" ht="12" customHeight="1" x14ac:dyDescent="0.2">
      <c r="A176" s="1770"/>
      <c r="B176" s="1784"/>
      <c r="C176" s="1785"/>
      <c r="D176" s="1786" t="s">
        <v>1814</v>
      </c>
      <c r="E176" s="1787"/>
      <c r="F176" s="1789">
        <f>'Cap Outlay Deprec 26'!I18</f>
        <v>2719159</v>
      </c>
    </row>
    <row r="177" spans="1:7" ht="12" customHeight="1" x14ac:dyDescent="0.2">
      <c r="A177" s="1770"/>
      <c r="B177" s="1784"/>
      <c r="C177" s="1785"/>
      <c r="D177" s="1786" t="s">
        <v>2055</v>
      </c>
      <c r="E177" s="1787"/>
      <c r="F177" s="1789">
        <f>F175+F176</f>
        <v>82324120.510000005</v>
      </c>
    </row>
    <row r="178" spans="1:7" ht="12" customHeight="1" x14ac:dyDescent="0.2">
      <c r="A178" s="1770"/>
      <c r="B178" s="1790"/>
      <c r="C178" s="1785"/>
      <c r="D178" s="1786" t="str">
        <f>D78</f>
        <v>9 Month ADA from District Average Daily Attendance/Prior General State Aid Inquiry 2018-2019</v>
      </c>
      <c r="E178" s="1787"/>
      <c r="F178" s="1791">
        <f>'PCTC-OEPP 27-28'!F78</f>
        <v>5509</v>
      </c>
      <c r="G178" s="930"/>
    </row>
    <row r="179" spans="1:7" ht="12" customHeight="1" thickBot="1" x14ac:dyDescent="0.25">
      <c r="A179" s="1770"/>
      <c r="B179" s="1790"/>
      <c r="C179" s="1785"/>
      <c r="D179" s="1786" t="s">
        <v>2056</v>
      </c>
      <c r="E179" s="1787" t="s">
        <v>1545</v>
      </c>
      <c r="F179" s="1792">
        <f>F177/F178</f>
        <v>14943.568798330007</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35" zoomScaleNormal="100" workbookViewId="0">
      <selection activeCell="D17" sqref="D17:D5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1815</v>
      </c>
      <c r="B4" s="2270"/>
      <c r="C4" s="2270"/>
      <c r="D4" s="2270"/>
      <c r="E4" s="2270"/>
      <c r="F4" s="2270"/>
      <c r="G4" s="2271"/>
    </row>
    <row r="5" spans="1:7" x14ac:dyDescent="0.25">
      <c r="A5" s="2272"/>
      <c r="B5" s="2273"/>
      <c r="C5" s="2273"/>
      <c r="D5" s="2273"/>
      <c r="E5" s="2273"/>
      <c r="F5" s="2273"/>
      <c r="G5" s="2274"/>
    </row>
    <row r="6" spans="1:7" ht="18.75" x14ac:dyDescent="0.25">
      <c r="A6" s="1534" t="s">
        <v>1816</v>
      </c>
      <c r="B6" s="1535"/>
      <c r="C6" s="1535"/>
      <c r="D6" s="1535"/>
      <c r="E6" s="1535"/>
      <c r="F6" s="1535"/>
      <c r="G6" s="1536"/>
    </row>
    <row r="7" spans="1:7" ht="30.75" customHeight="1" x14ac:dyDescent="0.25">
      <c r="A7" s="2275" t="s">
        <v>1929</v>
      </c>
      <c r="B7" s="2276"/>
      <c r="C7" s="2276"/>
      <c r="D7" s="2276"/>
      <c r="E7" s="2276"/>
      <c r="F7" s="2276"/>
      <c r="G7" s="2277"/>
    </row>
    <row r="8" spans="1:7" ht="15.75" customHeight="1" x14ac:dyDescent="0.25">
      <c r="A8" s="2278" t="s">
        <v>1904</v>
      </c>
      <c r="B8" s="2279"/>
      <c r="C8" s="2279"/>
      <c r="D8" s="2279"/>
      <c r="E8" s="2279"/>
      <c r="F8" s="2279"/>
      <c r="G8" s="2280"/>
    </row>
    <row r="9" spans="1:7" ht="35.25" customHeight="1" x14ac:dyDescent="0.25">
      <c r="A9" s="2275" t="s">
        <v>1932</v>
      </c>
      <c r="B9" s="2276"/>
      <c r="C9" s="2276"/>
      <c r="D9" s="2276"/>
      <c r="E9" s="2276"/>
      <c r="F9" s="2276"/>
      <c r="G9" s="2277"/>
    </row>
    <row r="10" spans="1:7" ht="15" customHeight="1" x14ac:dyDescent="0.25">
      <c r="A10" s="1537" t="s">
        <v>1817</v>
      </c>
      <c r="B10" s="1538"/>
      <c r="C10" s="1538"/>
      <c r="D10" s="1538"/>
      <c r="E10" s="1538"/>
      <c r="F10" s="1538"/>
      <c r="G10" s="1539"/>
    </row>
    <row r="11" spans="1:7" ht="17.25" customHeight="1" x14ac:dyDescent="0.25">
      <c r="A11" s="2275" t="s">
        <v>1931</v>
      </c>
      <c r="B11" s="2276"/>
      <c r="C11" s="2276"/>
      <c r="D11" s="2276"/>
      <c r="E11" s="2276"/>
      <c r="F11" s="2276"/>
      <c r="G11" s="2277"/>
    </row>
    <row r="12" spans="1:7" ht="15" customHeight="1" x14ac:dyDescent="0.25">
      <c r="A12" s="1537" t="s">
        <v>1822</v>
      </c>
      <c r="B12" s="1538"/>
      <c r="C12" s="1538"/>
      <c r="D12" s="1538"/>
      <c r="E12" s="1538"/>
      <c r="F12" s="1538"/>
      <c r="G12" s="1539"/>
    </row>
    <row r="13" spans="1:7" ht="32.25" customHeight="1" x14ac:dyDescent="0.25">
      <c r="A13" s="2266" t="s">
        <v>1973</v>
      </c>
      <c r="B13" s="2267"/>
      <c r="C13" s="2267"/>
      <c r="D13" s="2267"/>
      <c r="E13" s="2267"/>
      <c r="F13" s="2267"/>
      <c r="G13" s="2268"/>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2170</v>
      </c>
      <c r="B17" s="1937" t="s">
        <v>2171</v>
      </c>
      <c r="C17" s="1938" t="s">
        <v>2172</v>
      </c>
      <c r="D17" s="1844">
        <v>25142</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142</v>
      </c>
      <c r="H17" s="1647"/>
    </row>
    <row r="18" spans="1:8" x14ac:dyDescent="0.25">
      <c r="A18" s="1936" t="s">
        <v>2173</v>
      </c>
      <c r="B18" s="1937" t="s">
        <v>2174</v>
      </c>
      <c r="C18" s="1938" t="s">
        <v>2175</v>
      </c>
      <c r="D18" s="1844">
        <v>60959</v>
      </c>
      <c r="E18" s="1540">
        <f t="shared" ref="E18:E140" si="2">IF(D18&lt;=25000,D18,IF(D18&gt;25000,25000,0))</f>
        <v>25000</v>
      </c>
      <c r="F18" s="1932">
        <f t="shared" si="1"/>
        <v>25000</v>
      </c>
      <c r="G18" s="1793">
        <f t="shared" ref="G18:G140" si="3">IF(F18=0,0,D18-F18)</f>
        <v>35959</v>
      </c>
    </row>
    <row r="19" spans="1:8" x14ac:dyDescent="0.25">
      <c r="A19" s="1936" t="s">
        <v>2176</v>
      </c>
      <c r="B19" s="1937" t="s">
        <v>2177</v>
      </c>
      <c r="C19" s="1938" t="s">
        <v>2178</v>
      </c>
      <c r="D19" s="1844">
        <v>181992</v>
      </c>
      <c r="E19" s="1540">
        <f t="shared" si="2"/>
        <v>25000</v>
      </c>
      <c r="F19" s="1932">
        <f t="shared" si="1"/>
        <v>25000</v>
      </c>
      <c r="G19" s="1793">
        <f t="shared" si="3"/>
        <v>156992</v>
      </c>
    </row>
    <row r="20" spans="1:8" x14ac:dyDescent="0.25">
      <c r="A20" s="1936" t="s">
        <v>2176</v>
      </c>
      <c r="B20" s="1937" t="s">
        <v>2177</v>
      </c>
      <c r="C20" s="1938" t="s">
        <v>2179</v>
      </c>
      <c r="D20" s="1844">
        <v>100906</v>
      </c>
      <c r="E20" s="1540">
        <f t="shared" si="2"/>
        <v>25000</v>
      </c>
      <c r="F20" s="1932">
        <f t="shared" si="1"/>
        <v>25000</v>
      </c>
      <c r="G20" s="1793">
        <f t="shared" si="3"/>
        <v>75906</v>
      </c>
    </row>
    <row r="21" spans="1:8" x14ac:dyDescent="0.25">
      <c r="A21" s="1936" t="s">
        <v>2180</v>
      </c>
      <c r="B21" s="1937" t="s">
        <v>2181</v>
      </c>
      <c r="C21" s="1938" t="s">
        <v>2182</v>
      </c>
      <c r="D21" s="1844">
        <v>27471</v>
      </c>
      <c r="E21" s="1540">
        <f t="shared" si="2"/>
        <v>25000</v>
      </c>
      <c r="F21" s="1932">
        <f t="shared" si="1"/>
        <v>25000</v>
      </c>
      <c r="G21" s="1793">
        <f t="shared" si="3"/>
        <v>2471</v>
      </c>
    </row>
    <row r="22" spans="1:8" x14ac:dyDescent="0.25">
      <c r="A22" s="1936" t="s">
        <v>2183</v>
      </c>
      <c r="B22" s="1937" t="s">
        <v>2184</v>
      </c>
      <c r="C22" s="1938" t="s">
        <v>2185</v>
      </c>
      <c r="D22" s="1844">
        <v>38972</v>
      </c>
      <c r="E22" s="1540">
        <f t="shared" si="2"/>
        <v>25000</v>
      </c>
      <c r="F22" s="1932">
        <f t="shared" si="1"/>
        <v>25000</v>
      </c>
      <c r="G22" s="1793">
        <f t="shared" si="3"/>
        <v>13972</v>
      </c>
    </row>
    <row r="23" spans="1:8" x14ac:dyDescent="0.25">
      <c r="A23" s="1936" t="s">
        <v>2183</v>
      </c>
      <c r="B23" s="1937" t="s">
        <v>2184</v>
      </c>
      <c r="C23" s="1938" t="s">
        <v>2186</v>
      </c>
      <c r="D23" s="1844">
        <v>97244</v>
      </c>
      <c r="E23" s="1540">
        <f t="shared" si="2"/>
        <v>25000</v>
      </c>
      <c r="F23" s="1932">
        <f t="shared" si="1"/>
        <v>25000</v>
      </c>
      <c r="G23" s="1793">
        <f t="shared" si="3"/>
        <v>72244</v>
      </c>
    </row>
    <row r="24" spans="1:8" x14ac:dyDescent="0.25">
      <c r="A24" s="1936" t="s">
        <v>2187</v>
      </c>
      <c r="B24" s="1937" t="s">
        <v>2188</v>
      </c>
      <c r="C24" s="1938" t="s">
        <v>2189</v>
      </c>
      <c r="D24" s="1844">
        <v>28380</v>
      </c>
      <c r="E24" s="1540">
        <f t="shared" si="2"/>
        <v>25000</v>
      </c>
      <c r="F24" s="1932">
        <f t="shared" si="1"/>
        <v>25000</v>
      </c>
      <c r="G24" s="1793">
        <f t="shared" si="3"/>
        <v>3380</v>
      </c>
    </row>
    <row r="25" spans="1:8" x14ac:dyDescent="0.25">
      <c r="A25" s="1936" t="s">
        <v>2187</v>
      </c>
      <c r="B25" s="1937" t="s">
        <v>2188</v>
      </c>
      <c r="C25" s="1938" t="s">
        <v>2190</v>
      </c>
      <c r="D25" s="1844">
        <v>637143</v>
      </c>
      <c r="E25" s="1540">
        <f t="shared" si="2"/>
        <v>25000</v>
      </c>
      <c r="F25" s="1932">
        <f t="shared" si="1"/>
        <v>25000</v>
      </c>
      <c r="G25" s="1793">
        <f t="shared" si="3"/>
        <v>612143</v>
      </c>
    </row>
    <row r="26" spans="1:8" x14ac:dyDescent="0.25">
      <c r="A26" s="1936" t="s">
        <v>2187</v>
      </c>
      <c r="B26" s="1937" t="s">
        <v>2188</v>
      </c>
      <c r="C26" s="1938" t="s">
        <v>2191</v>
      </c>
      <c r="D26" s="1844">
        <v>185099</v>
      </c>
      <c r="E26" s="1540">
        <f t="shared" si="2"/>
        <v>25000</v>
      </c>
      <c r="F26" s="1932">
        <f t="shared" si="1"/>
        <v>25000</v>
      </c>
      <c r="G26" s="1793">
        <f t="shared" si="3"/>
        <v>160099</v>
      </c>
    </row>
    <row r="27" spans="1:8" x14ac:dyDescent="0.25">
      <c r="A27" s="1936" t="s">
        <v>2192</v>
      </c>
      <c r="B27" s="1937" t="s">
        <v>2193</v>
      </c>
      <c r="C27" s="1938" t="s">
        <v>2194</v>
      </c>
      <c r="D27" s="1844">
        <v>43909</v>
      </c>
      <c r="E27" s="1540">
        <f t="shared" si="2"/>
        <v>25000</v>
      </c>
      <c r="F27" s="1932">
        <f t="shared" si="1"/>
        <v>25000</v>
      </c>
      <c r="G27" s="1793">
        <f t="shared" si="3"/>
        <v>18909</v>
      </c>
    </row>
    <row r="28" spans="1:8" x14ac:dyDescent="0.25">
      <c r="A28" s="1936" t="s">
        <v>2195</v>
      </c>
      <c r="B28" s="1937" t="s">
        <v>2196</v>
      </c>
      <c r="C28" s="1938" t="s">
        <v>2197</v>
      </c>
      <c r="D28" s="1844">
        <v>50048</v>
      </c>
      <c r="E28" s="1540">
        <f t="shared" si="2"/>
        <v>25000</v>
      </c>
      <c r="F28" s="1932">
        <f t="shared" si="1"/>
        <v>25000</v>
      </c>
      <c r="G28" s="1793">
        <f t="shared" si="3"/>
        <v>25048</v>
      </c>
    </row>
    <row r="29" spans="1:8" x14ac:dyDescent="0.25">
      <c r="A29" s="1936" t="s">
        <v>2198</v>
      </c>
      <c r="B29" s="1937" t="s">
        <v>2171</v>
      </c>
      <c r="C29" s="1938" t="s">
        <v>2199</v>
      </c>
      <c r="D29" s="1844">
        <v>37464</v>
      </c>
      <c r="E29" s="1540">
        <f t="shared" si="2"/>
        <v>25000</v>
      </c>
      <c r="F29" s="1932">
        <f t="shared" si="1"/>
        <v>25000</v>
      </c>
      <c r="G29" s="1793">
        <f t="shared" si="3"/>
        <v>12464</v>
      </c>
    </row>
    <row r="30" spans="1:8" x14ac:dyDescent="0.25">
      <c r="A30" s="1936" t="s">
        <v>2176</v>
      </c>
      <c r="B30" s="1937" t="s">
        <v>2177</v>
      </c>
      <c r="C30" s="1938" t="s">
        <v>2200</v>
      </c>
      <c r="D30" s="1844">
        <v>3757458</v>
      </c>
      <c r="E30" s="1540">
        <f t="shared" si="2"/>
        <v>25000</v>
      </c>
      <c r="F30" s="1932">
        <f t="shared" si="1"/>
        <v>25000</v>
      </c>
      <c r="G30" s="1793">
        <f t="shared" si="3"/>
        <v>3732458</v>
      </c>
    </row>
    <row r="31" spans="1:8" x14ac:dyDescent="0.25">
      <c r="A31" s="1936" t="s">
        <v>2201</v>
      </c>
      <c r="B31" s="1937" t="s">
        <v>2184</v>
      </c>
      <c r="C31" s="1938" t="s">
        <v>2202</v>
      </c>
      <c r="D31" s="1844">
        <v>38000</v>
      </c>
      <c r="E31" s="1540">
        <f t="shared" si="2"/>
        <v>25000</v>
      </c>
      <c r="F31" s="1932">
        <f t="shared" si="1"/>
        <v>25000</v>
      </c>
      <c r="G31" s="1793">
        <f t="shared" si="3"/>
        <v>13000</v>
      </c>
    </row>
    <row r="32" spans="1:8" x14ac:dyDescent="0.25">
      <c r="A32" s="1936" t="s">
        <v>2183</v>
      </c>
      <c r="B32" s="1937" t="s">
        <v>2184</v>
      </c>
      <c r="C32" s="1938" t="s">
        <v>2203</v>
      </c>
      <c r="D32" s="1844">
        <v>102209</v>
      </c>
      <c r="E32" s="1540">
        <f t="shared" si="2"/>
        <v>25000</v>
      </c>
      <c r="F32" s="1932">
        <f t="shared" si="1"/>
        <v>25000</v>
      </c>
      <c r="G32" s="1793">
        <f t="shared" si="3"/>
        <v>77209</v>
      </c>
    </row>
    <row r="33" spans="1:7" x14ac:dyDescent="0.25">
      <c r="A33" s="1936" t="s">
        <v>2183</v>
      </c>
      <c r="B33" s="1937" t="s">
        <v>2184</v>
      </c>
      <c r="C33" s="1938" t="s">
        <v>2204</v>
      </c>
      <c r="D33" s="1844">
        <v>29083</v>
      </c>
      <c r="E33" s="1540">
        <f t="shared" si="2"/>
        <v>25000</v>
      </c>
      <c r="F33" s="1932">
        <f t="shared" si="1"/>
        <v>25000</v>
      </c>
      <c r="G33" s="1793">
        <f t="shared" si="3"/>
        <v>4083</v>
      </c>
    </row>
    <row r="34" spans="1:7" x14ac:dyDescent="0.25">
      <c r="A34" s="1936" t="s">
        <v>2205</v>
      </c>
      <c r="B34" s="1937" t="s">
        <v>2206</v>
      </c>
      <c r="C34" s="1938" t="s">
        <v>2207</v>
      </c>
      <c r="D34" s="1844">
        <v>174979</v>
      </c>
      <c r="E34" s="1540">
        <f t="shared" si="2"/>
        <v>25000</v>
      </c>
      <c r="F34" s="1932">
        <f t="shared" si="1"/>
        <v>25000</v>
      </c>
      <c r="G34" s="1793">
        <f t="shared" si="3"/>
        <v>149979</v>
      </c>
    </row>
    <row r="35" spans="1:7" x14ac:dyDescent="0.25">
      <c r="A35" s="1936" t="s">
        <v>2180</v>
      </c>
      <c r="B35" s="1937" t="s">
        <v>2181</v>
      </c>
      <c r="C35" s="1938" t="s">
        <v>2208</v>
      </c>
      <c r="D35" s="1844">
        <v>145599</v>
      </c>
      <c r="E35" s="1540">
        <f t="shared" si="2"/>
        <v>25000</v>
      </c>
      <c r="F35" s="1932">
        <f t="shared" si="1"/>
        <v>25000</v>
      </c>
      <c r="G35" s="1793">
        <f t="shared" si="3"/>
        <v>120599</v>
      </c>
    </row>
    <row r="36" spans="1:7" x14ac:dyDescent="0.25">
      <c r="A36" s="1936" t="s">
        <v>2209</v>
      </c>
      <c r="B36" s="1937" t="s">
        <v>2174</v>
      </c>
      <c r="C36" s="1938" t="s">
        <v>2210</v>
      </c>
      <c r="D36" s="1844">
        <v>25680</v>
      </c>
      <c r="E36" s="1540">
        <f t="shared" si="2"/>
        <v>25000</v>
      </c>
      <c r="F36" s="1932">
        <f t="shared" si="1"/>
        <v>25000</v>
      </c>
      <c r="G36" s="1793">
        <f t="shared" si="3"/>
        <v>680</v>
      </c>
    </row>
    <row r="37" spans="1:7" x14ac:dyDescent="0.25">
      <c r="A37" s="1936" t="s">
        <v>2180</v>
      </c>
      <c r="B37" s="1937" t="s">
        <v>2181</v>
      </c>
      <c r="C37" s="1938" t="s">
        <v>2211</v>
      </c>
      <c r="D37" s="1844">
        <v>33305</v>
      </c>
      <c r="E37" s="1540">
        <f t="shared" si="2"/>
        <v>25000</v>
      </c>
      <c r="F37" s="1932">
        <f t="shared" si="1"/>
        <v>25000</v>
      </c>
      <c r="G37" s="1793">
        <f t="shared" si="3"/>
        <v>8305</v>
      </c>
    </row>
    <row r="38" spans="1:7" x14ac:dyDescent="0.25">
      <c r="A38" s="1936" t="s">
        <v>2212</v>
      </c>
      <c r="B38" s="1939" t="s">
        <v>2196</v>
      </c>
      <c r="C38" s="1938" t="s">
        <v>2213</v>
      </c>
      <c r="D38" s="1844">
        <v>28445</v>
      </c>
      <c r="E38" s="1540">
        <f t="shared" si="2"/>
        <v>25000</v>
      </c>
      <c r="F38" s="1932">
        <f t="shared" si="1"/>
        <v>25000</v>
      </c>
      <c r="G38" s="1793">
        <f t="shared" si="3"/>
        <v>3445</v>
      </c>
    </row>
    <row r="39" spans="1:7" x14ac:dyDescent="0.25">
      <c r="A39" s="1936" t="s">
        <v>2180</v>
      </c>
      <c r="B39" s="1939" t="s">
        <v>2181</v>
      </c>
      <c r="C39" s="1938" t="s">
        <v>2214</v>
      </c>
      <c r="D39" s="1844">
        <v>28359</v>
      </c>
      <c r="E39" s="1540">
        <f t="shared" si="2"/>
        <v>25000</v>
      </c>
      <c r="F39" s="1932">
        <f t="shared" si="1"/>
        <v>25000</v>
      </c>
      <c r="G39" s="1793">
        <f t="shared" si="3"/>
        <v>3359</v>
      </c>
    </row>
    <row r="40" spans="1:7" x14ac:dyDescent="0.25">
      <c r="A40" s="1936" t="s">
        <v>2180</v>
      </c>
      <c r="B40" s="1939" t="s">
        <v>2181</v>
      </c>
      <c r="C40" s="1938" t="s">
        <v>2215</v>
      </c>
      <c r="D40" s="1844">
        <v>25738</v>
      </c>
      <c r="E40" s="1540">
        <f t="shared" si="2"/>
        <v>25000</v>
      </c>
      <c r="F40" s="1932">
        <f t="shared" si="1"/>
        <v>25000</v>
      </c>
      <c r="G40" s="1793">
        <f t="shared" si="3"/>
        <v>738</v>
      </c>
    </row>
    <row r="41" spans="1:7" x14ac:dyDescent="0.25">
      <c r="A41" s="1936" t="s">
        <v>2216</v>
      </c>
      <c r="B41" s="1939" t="s">
        <v>1821</v>
      </c>
      <c r="C41" s="1938" t="s">
        <v>2217</v>
      </c>
      <c r="D41" s="1844">
        <v>112651</v>
      </c>
      <c r="E41" s="1540">
        <f t="shared" si="2"/>
        <v>25000</v>
      </c>
      <c r="F41" s="1932">
        <f t="shared" si="1"/>
        <v>25000</v>
      </c>
      <c r="G41" s="1793">
        <f t="shared" si="3"/>
        <v>87651</v>
      </c>
    </row>
    <row r="42" spans="1:7" x14ac:dyDescent="0.25">
      <c r="A42" s="1936" t="s">
        <v>2209</v>
      </c>
      <c r="B42" s="1939" t="s">
        <v>2174</v>
      </c>
      <c r="C42" s="1938" t="s">
        <v>2218</v>
      </c>
      <c r="D42" s="1844">
        <v>74297</v>
      </c>
      <c r="E42" s="1540">
        <f t="shared" si="2"/>
        <v>25000</v>
      </c>
      <c r="F42" s="1932">
        <f t="shared" si="1"/>
        <v>25000</v>
      </c>
      <c r="G42" s="1793">
        <f t="shared" si="3"/>
        <v>49297</v>
      </c>
    </row>
    <row r="43" spans="1:7" x14ac:dyDescent="0.25">
      <c r="A43" s="1936" t="s">
        <v>2216</v>
      </c>
      <c r="B43" s="1939" t="s">
        <v>1821</v>
      </c>
      <c r="C43" s="1938" t="s">
        <v>2219</v>
      </c>
      <c r="D43" s="1844">
        <v>82302</v>
      </c>
      <c r="E43" s="1540">
        <f t="shared" si="2"/>
        <v>25000</v>
      </c>
      <c r="F43" s="1932">
        <f t="shared" si="1"/>
        <v>25000</v>
      </c>
      <c r="G43" s="1793">
        <f t="shared" si="3"/>
        <v>57302</v>
      </c>
    </row>
    <row r="44" spans="1:7" x14ac:dyDescent="0.25">
      <c r="A44" s="1936" t="s">
        <v>2173</v>
      </c>
      <c r="B44" s="1939" t="s">
        <v>2174</v>
      </c>
      <c r="C44" s="1938" t="s">
        <v>2220</v>
      </c>
      <c r="D44" s="1844">
        <v>30247</v>
      </c>
      <c r="E44" s="1540">
        <f t="shared" si="2"/>
        <v>25000</v>
      </c>
      <c r="F44" s="1932">
        <f t="shared" si="1"/>
        <v>25000</v>
      </c>
      <c r="G44" s="1793">
        <f t="shared" si="3"/>
        <v>5247</v>
      </c>
    </row>
    <row r="45" spans="1:7" x14ac:dyDescent="0.25">
      <c r="A45" s="1936" t="s">
        <v>2173</v>
      </c>
      <c r="B45" s="1939" t="s">
        <v>2174</v>
      </c>
      <c r="C45" s="1938" t="s">
        <v>2221</v>
      </c>
      <c r="D45" s="1844">
        <v>139027</v>
      </c>
      <c r="E45" s="1540">
        <f t="shared" si="2"/>
        <v>25000</v>
      </c>
      <c r="F45" s="1932">
        <f t="shared" si="1"/>
        <v>25000</v>
      </c>
      <c r="G45" s="1793">
        <f t="shared" si="3"/>
        <v>114027</v>
      </c>
    </row>
    <row r="46" spans="1:7" x14ac:dyDescent="0.25">
      <c r="A46" s="1936" t="s">
        <v>2212</v>
      </c>
      <c r="B46" s="1939" t="s">
        <v>2196</v>
      </c>
      <c r="C46" s="1938" t="s">
        <v>2222</v>
      </c>
      <c r="D46" s="1844">
        <v>37833</v>
      </c>
      <c r="E46" s="1540">
        <f t="shared" si="2"/>
        <v>25000</v>
      </c>
      <c r="F46" s="1932">
        <f t="shared" si="1"/>
        <v>25000</v>
      </c>
      <c r="G46" s="1793">
        <f t="shared" si="3"/>
        <v>12833</v>
      </c>
    </row>
    <row r="47" spans="1:7" x14ac:dyDescent="0.25">
      <c r="A47" s="1936" t="s">
        <v>2183</v>
      </c>
      <c r="B47" s="1939" t="s">
        <v>2184</v>
      </c>
      <c r="C47" s="1938" t="s">
        <v>2223</v>
      </c>
      <c r="D47" s="1844">
        <v>206758</v>
      </c>
      <c r="E47" s="1540">
        <f t="shared" si="2"/>
        <v>25000</v>
      </c>
      <c r="F47" s="1932">
        <f t="shared" si="1"/>
        <v>25000</v>
      </c>
      <c r="G47" s="1793">
        <f t="shared" si="3"/>
        <v>181758</v>
      </c>
    </row>
    <row r="48" spans="1:7" x14ac:dyDescent="0.25">
      <c r="A48" s="1936" t="s">
        <v>2224</v>
      </c>
      <c r="B48" s="1939" t="s">
        <v>2225</v>
      </c>
      <c r="C48" s="1938" t="s">
        <v>2226</v>
      </c>
      <c r="D48" s="1844">
        <v>137689</v>
      </c>
      <c r="E48" s="1540">
        <f t="shared" si="2"/>
        <v>25000</v>
      </c>
      <c r="F48" s="1932">
        <f t="shared" si="1"/>
        <v>25000</v>
      </c>
      <c r="G48" s="1793">
        <f t="shared" si="3"/>
        <v>112689</v>
      </c>
    </row>
    <row r="49" spans="1:7" x14ac:dyDescent="0.25">
      <c r="A49" s="1936" t="s">
        <v>2212</v>
      </c>
      <c r="B49" s="1939" t="s">
        <v>2196</v>
      </c>
      <c r="C49" s="1938" t="s">
        <v>2227</v>
      </c>
      <c r="D49" s="1844">
        <v>50000</v>
      </c>
      <c r="E49" s="1540">
        <f t="shared" si="2"/>
        <v>25000</v>
      </c>
      <c r="F49" s="1932">
        <f t="shared" si="1"/>
        <v>25000</v>
      </c>
      <c r="G49" s="1793">
        <f t="shared" si="3"/>
        <v>25000</v>
      </c>
    </row>
    <row r="50" spans="1:7" x14ac:dyDescent="0.25">
      <c r="A50" s="1936" t="s">
        <v>2228</v>
      </c>
      <c r="B50" s="1939" t="s">
        <v>2229</v>
      </c>
      <c r="C50" s="1938" t="s">
        <v>2230</v>
      </c>
      <c r="D50" s="1844">
        <v>2666903</v>
      </c>
      <c r="E50" s="1540">
        <f t="shared" si="2"/>
        <v>25000</v>
      </c>
      <c r="F50" s="1932">
        <f t="shared" si="1"/>
        <v>25000</v>
      </c>
      <c r="G50" s="1793">
        <f t="shared" si="3"/>
        <v>2641903</v>
      </c>
    </row>
    <row r="51" spans="1:7" x14ac:dyDescent="0.25">
      <c r="A51" s="1936" t="s">
        <v>2212</v>
      </c>
      <c r="B51" s="1939" t="s">
        <v>2196</v>
      </c>
      <c r="C51" s="1938" t="s">
        <v>2231</v>
      </c>
      <c r="D51" s="1844">
        <v>85548</v>
      </c>
      <c r="E51" s="1540">
        <f t="shared" si="2"/>
        <v>25000</v>
      </c>
      <c r="F51" s="1932">
        <f t="shared" si="1"/>
        <v>25000</v>
      </c>
      <c r="G51" s="1793">
        <f t="shared" si="3"/>
        <v>60548</v>
      </c>
    </row>
    <row r="52" spans="1:7" x14ac:dyDescent="0.25">
      <c r="A52" s="1936" t="s">
        <v>2232</v>
      </c>
      <c r="B52" s="1939" t="s">
        <v>2174</v>
      </c>
      <c r="C52" s="1938" t="s">
        <v>2233</v>
      </c>
      <c r="D52" s="1844">
        <v>48828</v>
      </c>
      <c r="E52" s="1540">
        <f t="shared" si="2"/>
        <v>25000</v>
      </c>
      <c r="F52" s="1932">
        <f t="shared" si="1"/>
        <v>25000</v>
      </c>
      <c r="G52" s="1793">
        <f t="shared" si="3"/>
        <v>23828</v>
      </c>
    </row>
    <row r="53" spans="1:7" x14ac:dyDescent="0.25">
      <c r="A53" s="1936" t="s">
        <v>2234</v>
      </c>
      <c r="B53" s="1939" t="s">
        <v>2171</v>
      </c>
      <c r="C53" s="1938" t="s">
        <v>2235</v>
      </c>
      <c r="D53" s="1844">
        <v>32688</v>
      </c>
      <c r="E53" s="1540">
        <f t="shared" si="2"/>
        <v>25000</v>
      </c>
      <c r="F53" s="1932">
        <f t="shared" si="1"/>
        <v>25000</v>
      </c>
      <c r="G53" s="1793">
        <f t="shared" si="3"/>
        <v>7688</v>
      </c>
    </row>
    <row r="54" spans="1:7" x14ac:dyDescent="0.25">
      <c r="A54" s="1936" t="s">
        <v>2236</v>
      </c>
      <c r="B54" s="1939" t="s">
        <v>2237</v>
      </c>
      <c r="C54" s="1938" t="s">
        <v>2238</v>
      </c>
      <c r="D54" s="1844">
        <v>73471</v>
      </c>
      <c r="E54" s="1540">
        <f t="shared" si="2"/>
        <v>25000</v>
      </c>
      <c r="F54" s="1932">
        <f t="shared" si="1"/>
        <v>25000</v>
      </c>
      <c r="G54" s="1793">
        <f t="shared" si="3"/>
        <v>48471</v>
      </c>
    </row>
    <row r="55" spans="1:7" x14ac:dyDescent="0.25">
      <c r="A55" s="1936" t="s">
        <v>2239</v>
      </c>
      <c r="B55" s="1939" t="s">
        <v>2193</v>
      </c>
      <c r="C55" s="1938" t="s">
        <v>2240</v>
      </c>
      <c r="D55" s="1844">
        <v>35167</v>
      </c>
      <c r="E55" s="1540">
        <f t="shared" si="2"/>
        <v>25000</v>
      </c>
      <c r="F55" s="1932">
        <f t="shared" si="1"/>
        <v>25000</v>
      </c>
      <c r="G55" s="1793">
        <f t="shared" si="3"/>
        <v>10167</v>
      </c>
    </row>
    <row r="56" spans="1:7" x14ac:dyDescent="0.25">
      <c r="A56" s="1936" t="s">
        <v>2183</v>
      </c>
      <c r="B56" s="1939" t="s">
        <v>2184</v>
      </c>
      <c r="C56" s="1938" t="s">
        <v>2241</v>
      </c>
      <c r="D56" s="1844">
        <v>26902</v>
      </c>
      <c r="E56" s="1540">
        <f t="shared" si="2"/>
        <v>25000</v>
      </c>
      <c r="F56" s="1932">
        <f t="shared" si="1"/>
        <v>25000</v>
      </c>
      <c r="G56" s="1793">
        <f t="shared" si="3"/>
        <v>1902</v>
      </c>
    </row>
    <row r="57" spans="1:7" x14ac:dyDescent="0.25">
      <c r="A57" s="1936" t="s">
        <v>2242</v>
      </c>
      <c r="B57" s="1939" t="s">
        <v>2243</v>
      </c>
      <c r="C57" s="1938" t="s">
        <v>2244</v>
      </c>
      <c r="D57" s="1844">
        <v>127198</v>
      </c>
      <c r="E57" s="1540">
        <f t="shared" si="2"/>
        <v>25000</v>
      </c>
      <c r="F57" s="1932">
        <f t="shared" si="1"/>
        <v>25000</v>
      </c>
      <c r="G57" s="1793">
        <f t="shared" si="3"/>
        <v>102198</v>
      </c>
    </row>
    <row r="58" spans="1:7" x14ac:dyDescent="0.25">
      <c r="A58" s="1936" t="s">
        <v>2209</v>
      </c>
      <c r="B58" s="1939" t="s">
        <v>2174</v>
      </c>
      <c r="C58" s="1938" t="s">
        <v>2245</v>
      </c>
      <c r="D58" s="1844">
        <v>25830</v>
      </c>
      <c r="E58" s="1540">
        <f t="shared" si="2"/>
        <v>25000</v>
      </c>
      <c r="F58" s="1932">
        <f t="shared" si="1"/>
        <v>25000</v>
      </c>
      <c r="G58" s="1793">
        <f t="shared" si="3"/>
        <v>830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9896923</v>
      </c>
      <c r="E141" s="1541">
        <f t="shared" si="0"/>
        <v>25000</v>
      </c>
      <c r="F141" s="1933">
        <f>SUM(F17:F140)</f>
        <v>1050000</v>
      </c>
      <c r="G141" s="1795">
        <f>SUM(G17:G140)</f>
        <v>8846923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v>558840</v>
      </c>
      <c r="F10" s="974"/>
      <c r="G10" s="975"/>
      <c r="H10" s="162"/>
      <c r="I10" s="162"/>
    </row>
    <row r="11" spans="1:9" s="668" customFormat="1" ht="22.5" customHeight="1" x14ac:dyDescent="0.2">
      <c r="A11" s="2286" t="s">
        <v>1974</v>
      </c>
      <c r="B11" s="2287"/>
      <c r="C11" s="2287"/>
      <c r="D11" s="2288"/>
      <c r="E11" s="977">
        <v>303535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54352493</v>
      </c>
      <c r="F19" s="1799"/>
      <c r="G19" s="1801">
        <f>'Expenditures 15-22'!K33-SUM('Expenditures 15-22'!G33,'Expenditures 15-22'!I33)+'Expenditures 15-22'!D229</f>
        <v>54352493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7428746</v>
      </c>
      <c r="F21" s="1802"/>
      <c r="G21" s="1805">
        <f>'Expenditures 15-22'!K42-SUM('Expenditures 15-22'!G42,'Expenditures 15-22'!I42)+'Expenditures 15-22'!K120-SUM('Expenditures 15-22'!G120,'Expenditures 15-22'!I120)+'Expenditures 15-22'!K180-SUM('Expenditures 15-22'!G180,'Expenditures 15-22'!I180)+'Expenditures 15-22'!D238</f>
        <v>7428746</v>
      </c>
      <c r="H21" s="987"/>
      <c r="I21" s="162"/>
    </row>
    <row r="22" spans="1:9" s="668" customFormat="1" ht="12" customHeight="1" x14ac:dyDescent="0.2">
      <c r="A22" s="994" t="s">
        <v>564</v>
      </c>
      <c r="B22" s="995"/>
      <c r="C22" s="993">
        <v>2200</v>
      </c>
      <c r="D22" s="1802"/>
      <c r="E22" s="1804">
        <f>'Expenditures 15-22'!K47-SUM('Expenditures 15-22'!G47,'Expenditures 15-22'!I47)+'Expenditures 15-22'!D243</f>
        <v>6035035</v>
      </c>
      <c r="F22" s="1802"/>
      <c r="G22" s="1805">
        <f>'Expenditures 15-22'!K47-SUM('Expenditures 15-22'!G47,'Expenditures 15-22'!I47)+'Expenditures 15-22'!D243</f>
        <v>6035035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2046788</v>
      </c>
      <c r="F23" s="1802"/>
      <c r="G23" s="1804">
        <f>'Expenditures 15-22'!K53-SUM('Expenditures 15-22'!G53,'Expenditures 15-22'!I53)+'Expenditures 15-22'!D257+'Expenditures 15-22'!K330-SUM('Expenditures 15-22'!G330,'Expenditures 15-22'!I330)</f>
        <v>2046788</v>
      </c>
      <c r="H23" s="987"/>
      <c r="I23" s="162"/>
    </row>
    <row r="24" spans="1:9" s="668" customFormat="1" ht="12" customHeight="1" x14ac:dyDescent="0.2">
      <c r="A24" s="994" t="s">
        <v>566</v>
      </c>
      <c r="B24" s="995"/>
      <c r="C24" s="993">
        <v>2400</v>
      </c>
      <c r="D24" s="1802"/>
      <c r="E24" s="1804">
        <f>'Expenditures 15-22'!K57-SUM('Expenditures 15-22'!G57,'Expenditures 15-22'!I57)+'Expenditures 15-22'!D261</f>
        <v>3545101</v>
      </c>
      <c r="F24" s="1802"/>
      <c r="G24" s="1805">
        <f>'Expenditures 15-22'!K57-SUM('Expenditures 15-22'!G57,'Expenditures 15-22'!I57)+'Expenditures 15-22'!D261</f>
        <v>3545101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1061781</v>
      </c>
      <c r="E26" s="1804">
        <f>'Expenditures 15-22'!K122-SUM('Expenditures 15-22'!G122,'Expenditures 15-22'!I122)+E7</f>
        <v>0</v>
      </c>
      <c r="F26" s="1804">
        <f>'Expenditures 15-22'!K59-SUM('Expenditures 15-22'!G59,'Expenditures 15-22'!I59)+'Expenditures 15-22'!D263-E7</f>
        <v>1061781</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8463691</v>
      </c>
      <c r="F28" s="1806">
        <f>'Expenditures 15-22'!K61-SUM('Expenditures 15-22'!G61,'Expenditures 15-22'!I61)+'Expenditures 15-22'!K124-SUM('Expenditures 15-22'!G124,'Expenditures 15-22'!I124)+'Expenditures 15-22'!D266-E9</f>
        <v>8463691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4627409</v>
      </c>
      <c r="F29" s="1802"/>
      <c r="G29" s="1805">
        <f>'Expenditures 15-22'!K62-SUM('Expenditures 15-22'!G62,'Expenditures 15-22'!I62)+'Expenditures 15-22'!K125-SUM('Expenditures 15-22'!G125,'Expenditures 15-22'!I125)+'Expenditures 15-22'!K182-SUM('Expenditures 15-22'!G182,'Expenditures 15-22'!I182)+'Expenditures 15-22'!D267</f>
        <v>4627409</v>
      </c>
      <c r="H29" s="985"/>
    </row>
    <row r="30" spans="1:9" ht="12" customHeight="1" x14ac:dyDescent="0.2">
      <c r="A30" s="994" t="s">
        <v>100</v>
      </c>
      <c r="B30" s="997"/>
      <c r="C30" s="993">
        <v>2560</v>
      </c>
      <c r="D30" s="1802"/>
      <c r="E30" s="1804">
        <f>'Expenditures 15-22'!K63-SUM('Expenditures 15-22'!G63,'Expenditures 15-22'!I63)+'Expenditures 15-22'!D268-E10</f>
        <v>2607720</v>
      </c>
      <c r="F30" s="1802"/>
      <c r="G30" s="1804">
        <f>'Expenditures 15-22'!K63-SUM('Expenditures 15-22'!G63,'Expenditures 15-22'!I63)+'Expenditures 15-22'!D268-E10</f>
        <v>2607720</v>
      </c>
    </row>
    <row r="31" spans="1:9" ht="12" customHeight="1" x14ac:dyDescent="0.2">
      <c r="A31" s="994" t="s">
        <v>101</v>
      </c>
      <c r="B31" s="997"/>
      <c r="C31" s="993">
        <v>2570</v>
      </c>
      <c r="D31" s="1804">
        <f>'Expenditures 15-22'!K64-SUM('Expenditures 15-22'!G64,'Expenditures 15-22'!I64)+'Expenditures 15-22'!D269-E12</f>
        <v>353494</v>
      </c>
      <c r="E31" s="1804">
        <f>E12</f>
        <v>0</v>
      </c>
      <c r="F31" s="1804">
        <f>'Expenditures 15-22'!K64-SUM('Expenditures 15-22'!G64,'Expenditures 15-22'!I64)+'Expenditures 15-22'!D269-E12</f>
        <v>353494</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2609176</v>
      </c>
      <c r="F35" s="1802"/>
      <c r="G35" s="1804">
        <f>'Expenditures 15-22'!K69-SUM('Expenditures 15-22'!G69,'Expenditures 15-22'!I69)+'Expenditures 15-22'!D274</f>
        <v>2609176</v>
      </c>
    </row>
    <row r="36" spans="1:7" ht="12" customHeight="1" x14ac:dyDescent="0.2">
      <c r="A36" s="994" t="s">
        <v>403</v>
      </c>
      <c r="B36" s="997"/>
      <c r="C36" s="993">
        <v>2640</v>
      </c>
      <c r="D36" s="1804">
        <f>'Expenditures 15-22'!K70-SUM('Expenditures 15-22'!G70,'Expenditures 15-22'!I70)+'Expenditures 15-22'!D275-E13</f>
        <v>613672</v>
      </c>
      <c r="E36" s="1804">
        <f>E13</f>
        <v>0</v>
      </c>
      <c r="F36" s="1804">
        <f>'Expenditures 15-22'!K70-SUM('Expenditures 15-22'!G70,'Expenditures 15-22'!I70)+'Expenditures 15-22'!D275-E13</f>
        <v>613672</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7276</v>
      </c>
      <c r="F38" s="1802"/>
      <c r="G38" s="1804">
        <f>'Expenditures 15-22'!K73-SUM('Expenditures 15-22'!G73,'Expenditures 15-22'!I73)+'Expenditures 15-22'!K128-SUM('Expenditures 15-22'!G128,'Expenditures 15-22'!I128)+'Expenditures 15-22'!K183-SUM('Expenditures 15-22'!G183,'Expenditures 15-22'!I183)+'Expenditures 15-22'!D278</f>
        <v>7276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267892</v>
      </c>
      <c r="F39" s="1802"/>
      <c r="G39" s="1804">
        <f>'Expenditures 15-22'!K75-SUM('Expenditures 15-22'!G75,'Expenditures 15-22'!I75)+'Expenditures 15-22'!K130-SUM('Expenditures 15-22'!G130,'Expenditures 15-22'!I130)+'Expenditures 15-22'!K185-SUM('Expenditures 15-22'!G185,'Expenditures 15-22'!I185)+'Expenditures 15-22'!D280</f>
        <v>267892</v>
      </c>
    </row>
    <row r="40" spans="1:7" ht="12" customHeight="1" x14ac:dyDescent="0.2">
      <c r="A40" s="990" t="s">
        <v>1820</v>
      </c>
      <c r="B40" s="991"/>
      <c r="C40" s="993"/>
      <c r="D40" s="1802"/>
      <c r="E40" s="1806">
        <f>-'Contracts Paid in CY 29'!G141</f>
        <v>-8846923</v>
      </c>
      <c r="F40" s="1802"/>
      <c r="G40" s="1806">
        <f>-'Contracts Paid in CY 29'!G141</f>
        <v>-8846923</v>
      </c>
    </row>
    <row r="41" spans="1:7" ht="12" customHeight="1" x14ac:dyDescent="0.2">
      <c r="A41" s="998" t="s">
        <v>156</v>
      </c>
      <c r="B41" s="999"/>
      <c r="C41" s="1000"/>
      <c r="D41" s="1806">
        <f>SUM(D19:D39)</f>
        <v>2028947</v>
      </c>
      <c r="E41" s="1806">
        <f>SUM(E19:E40)</f>
        <v>83144404</v>
      </c>
      <c r="F41" s="1806">
        <f>SUM(F19:F39)</f>
        <v>10492638</v>
      </c>
      <c r="G41" s="1806">
        <f>SUM(G19:G40)</f>
        <v>74680713</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2028947</v>
      </c>
      <c r="F43" s="1807" t="s">
        <v>473</v>
      </c>
      <c r="G43" s="1808">
        <f>F41</f>
        <v>10492638</v>
      </c>
    </row>
    <row r="44" spans="1:7" ht="12" customHeight="1" x14ac:dyDescent="0.2">
      <c r="A44" s="987"/>
      <c r="B44" s="162"/>
      <c r="C44" s="1001"/>
      <c r="D44" s="1807" t="s">
        <v>474</v>
      </c>
      <c r="E44" s="1808">
        <f>E41</f>
        <v>83144404</v>
      </c>
      <c r="F44" s="1807" t="s">
        <v>474</v>
      </c>
      <c r="G44" s="1808">
        <f>G41</f>
        <v>74680713</v>
      </c>
    </row>
    <row r="45" spans="1:7" ht="12" customHeight="1" x14ac:dyDescent="0.2">
      <c r="A45" s="987"/>
      <c r="B45" s="162"/>
      <c r="C45" s="162"/>
      <c r="D45" s="1809" t="s">
        <v>1006</v>
      </c>
      <c r="E45" s="1810">
        <f>(E43/E44)</f>
        <v>2.440268860427456E-2</v>
      </c>
      <c r="F45" s="1809" t="s">
        <v>1006</v>
      </c>
      <c r="G45" s="1810">
        <f>(G43/G44)</f>
        <v>0.14049997085592902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Wheeling CCSD 21</v>
      </c>
      <c r="D6" s="2307"/>
      <c r="E6" s="2307"/>
      <c r="F6" s="1852"/>
    </row>
    <row r="7" spans="1:10" ht="11.25" customHeight="1" thickBot="1" x14ac:dyDescent="0.3">
      <c r="A7" s="1850"/>
      <c r="B7" s="1851"/>
      <c r="C7" s="2308">
        <f>COVER!A13</f>
        <v>5016021004</v>
      </c>
      <c r="D7" s="2308"/>
      <c r="E7" s="2308"/>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c r="F14" s="1867" t="s">
        <v>2086</v>
      </c>
      <c r="H14" s="1878">
        <f t="shared" si="0"/>
        <v>5</v>
      </c>
      <c r="I14" s="1878">
        <f t="shared" si="1"/>
        <v>5</v>
      </c>
      <c r="J14" s="1878">
        <f t="shared" si="2"/>
        <v>0</v>
      </c>
    </row>
    <row r="15" spans="1:10" ht="12" customHeight="1" x14ac:dyDescent="0.2">
      <c r="A15" s="1863" t="s">
        <v>1387</v>
      </c>
      <c r="B15" s="1864"/>
      <c r="C15" s="1865" t="s">
        <v>2061</v>
      </c>
      <c r="D15" s="1865" t="s">
        <v>2061</v>
      </c>
      <c r="E15" s="1868"/>
      <c r="F15" s="1867" t="s">
        <v>2087</v>
      </c>
      <c r="H15" s="1878">
        <f t="shared" si="0"/>
        <v>5</v>
      </c>
      <c r="I15" s="1878">
        <f t="shared" si="1"/>
        <v>5</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2088</v>
      </c>
      <c r="H19" s="1878">
        <f t="shared" si="0"/>
        <v>5</v>
      </c>
      <c r="I19" s="1878">
        <f t="shared" si="1"/>
        <v>5</v>
      </c>
      <c r="J19" s="1878">
        <f t="shared" si="2"/>
        <v>0</v>
      </c>
    </row>
    <row r="20" spans="1:12" ht="12" customHeight="1" x14ac:dyDescent="0.2">
      <c r="A20" s="1863" t="s">
        <v>1528</v>
      </c>
      <c r="B20" s="1864"/>
      <c r="C20" s="1865" t="s">
        <v>2061</v>
      </c>
      <c r="D20" s="1865" t="s">
        <v>2061</v>
      </c>
      <c r="E20" s="1868"/>
      <c r="F20" s="1867" t="s">
        <v>2089</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2061</v>
      </c>
      <c r="D26" s="1865" t="s">
        <v>2061</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2061</v>
      </c>
      <c r="D30" s="1865" t="s">
        <v>2061</v>
      </c>
      <c r="E30" s="1868"/>
      <c r="F30" s="1867" t="s">
        <v>2091</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0</v>
      </c>
      <c r="K34" s="1878">
        <f>SUM(H34:J34)</f>
        <v>60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Wheeling CCSD 21</v>
      </c>
      <c r="J6" s="2317"/>
      <c r="Q6" s="1664"/>
    </row>
    <row r="7" spans="1:17" x14ac:dyDescent="0.2">
      <c r="A7" s="2318" t="s">
        <v>869</v>
      </c>
      <c r="B7" s="2319"/>
      <c r="C7" s="2319"/>
      <c r="D7" s="2319"/>
      <c r="E7" s="2320"/>
      <c r="F7" s="1017"/>
      <c r="G7" s="1009"/>
      <c r="H7" s="1016" t="s">
        <v>372</v>
      </c>
      <c r="I7" s="2321">
        <f>COVER!A13</f>
        <v>5016021004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402152</v>
      </c>
      <c r="F12" s="1039"/>
      <c r="G12" s="1811">
        <f t="shared" ref="G12:G18" si="0">SUM(E12:F12)</f>
        <v>402152</v>
      </c>
      <c r="H12" s="1040">
        <v>379480</v>
      </c>
      <c r="I12" s="1039"/>
      <c r="J12" s="1811">
        <f t="shared" ref="J12:J18" si="1">SUM(H12:I12)</f>
        <v>379480</v>
      </c>
    </row>
    <row r="13" spans="1:17" ht="15" customHeight="1" x14ac:dyDescent="0.2">
      <c r="A13" s="1035">
        <v>2</v>
      </c>
      <c r="B13" s="1036" t="s">
        <v>42</v>
      </c>
      <c r="C13" s="1037"/>
      <c r="D13" s="1038">
        <v>2330</v>
      </c>
      <c r="E13" s="1811">
        <f>'Expenditures 15-22'!K51</f>
        <v>712529</v>
      </c>
      <c r="F13" s="1039"/>
      <c r="G13" s="1811">
        <f t="shared" si="0"/>
        <v>712529</v>
      </c>
      <c r="H13" s="1040">
        <v>831523</v>
      </c>
      <c r="I13" s="1039"/>
      <c r="J13" s="1811">
        <f t="shared" si="1"/>
        <v>831523</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959237</v>
      </c>
      <c r="F15" s="1811">
        <f>'Expenditures 15-22'!K122</f>
        <v>0</v>
      </c>
      <c r="G15" s="1811">
        <f t="shared" si="0"/>
        <v>959237</v>
      </c>
      <c r="H15" s="1040">
        <v>954750</v>
      </c>
      <c r="I15" s="1040"/>
      <c r="J15" s="1811">
        <f t="shared" si="1"/>
        <v>954750</v>
      </c>
    </row>
    <row r="16" spans="1:17" ht="15" customHeight="1" x14ac:dyDescent="0.2">
      <c r="A16" s="1035">
        <v>5</v>
      </c>
      <c r="B16" s="1036" t="s">
        <v>101</v>
      </c>
      <c r="C16" s="1037"/>
      <c r="D16" s="1038">
        <v>2570</v>
      </c>
      <c r="E16" s="1811">
        <f>'Expenditures 15-22'!K64</f>
        <v>307933</v>
      </c>
      <c r="F16" s="1039"/>
      <c r="G16" s="1811">
        <f t="shared" si="0"/>
        <v>307933</v>
      </c>
      <c r="H16" s="1040">
        <v>182994</v>
      </c>
      <c r="I16" s="1039"/>
      <c r="J16" s="1811">
        <f t="shared" si="1"/>
        <v>182994</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2381851</v>
      </c>
      <c r="F19" s="1813">
        <f t="shared" si="2"/>
        <v>0</v>
      </c>
      <c r="G19" s="1813">
        <f t="shared" si="2"/>
        <v>2381851</v>
      </c>
      <c r="H19" s="1813">
        <f t="shared" si="2"/>
        <v>2348747</v>
      </c>
      <c r="I19" s="1813">
        <f t="shared" si="2"/>
        <v>0</v>
      </c>
      <c r="J19" s="1813">
        <f t="shared" si="2"/>
        <v>2348747</v>
      </c>
    </row>
    <row r="20" spans="1:10" ht="13.5" thickTop="1" x14ac:dyDescent="0.2">
      <c r="A20" s="1035">
        <v>9</v>
      </c>
      <c r="B20" s="2328" t="s">
        <v>1978</v>
      </c>
      <c r="C20" s="2328"/>
      <c r="D20" s="2329"/>
      <c r="E20" s="1046"/>
      <c r="F20" s="1046"/>
      <c r="G20" s="1046"/>
      <c r="H20" s="1046"/>
      <c r="I20" s="1046"/>
      <c r="J20" s="1814">
        <f>IF(AND(G19&gt;0,J19&gt;0),(((J19-G19)/G19)),"Enter Budget Data")</f>
        <v>-1.3898434452868797E-2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1980</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25" sqref="B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5" t="s">
        <v>2092</v>
      </c>
    </row>
    <row r="6" spans="1:2" x14ac:dyDescent="0.2">
      <c r="A6" s="1068"/>
      <c r="B6" s="329" t="s">
        <v>2163</v>
      </c>
    </row>
    <row r="7" spans="1:2" x14ac:dyDescent="0.2">
      <c r="A7" s="1068"/>
    </row>
    <row r="8" spans="1:2" x14ac:dyDescent="0.2">
      <c r="A8" s="1068"/>
      <c r="B8" s="329" t="s">
        <v>2164</v>
      </c>
    </row>
    <row r="9" spans="1:2" x14ac:dyDescent="0.2">
      <c r="A9" s="1068"/>
      <c r="B9" s="329" t="s">
        <v>2165</v>
      </c>
    </row>
    <row r="10" spans="1:2" x14ac:dyDescent="0.2">
      <c r="A10" s="1068"/>
    </row>
    <row r="11" spans="1:2" x14ac:dyDescent="0.2">
      <c r="A11" s="1068"/>
    </row>
    <row r="12" spans="1:2" x14ac:dyDescent="0.2">
      <c r="A12" s="1068"/>
    </row>
    <row r="13" spans="1:2" x14ac:dyDescent="0.2">
      <c r="A13" s="1068"/>
    </row>
    <row r="14" spans="1:2" x14ac:dyDescent="0.2">
      <c r="A14" s="1068">
        <v>2</v>
      </c>
      <c r="B14" s="1935" t="s">
        <v>6</v>
      </c>
    </row>
    <row r="15" spans="1:2" x14ac:dyDescent="0.2">
      <c r="A15" s="1068"/>
      <c r="B15" s="329" t="s">
        <v>2166</v>
      </c>
    </row>
    <row r="16" spans="1:2" x14ac:dyDescent="0.2">
      <c r="A16" s="1068"/>
    </row>
    <row r="17" spans="1:2" x14ac:dyDescent="0.2">
      <c r="A17" s="1068"/>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v>3</v>
      </c>
      <c r="B23" s="1935" t="s">
        <v>2093</v>
      </c>
    </row>
    <row r="24" spans="1:2" x14ac:dyDescent="0.2">
      <c r="A24" s="1068"/>
      <c r="B24" s="329" t="s">
        <v>2168</v>
      </c>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2" x14ac:dyDescent="0.2">
      <c r="A33" s="1068"/>
    </row>
    <row r="34" spans="1:2" x14ac:dyDescent="0.2">
      <c r="A34" s="1068"/>
    </row>
    <row r="35" spans="1:2" x14ac:dyDescent="0.2">
      <c r="A35" s="1068"/>
    </row>
    <row r="36" spans="1:2" x14ac:dyDescent="0.2">
      <c r="A36" s="1068">
        <v>4</v>
      </c>
      <c r="B36" s="1935" t="s">
        <v>2094</v>
      </c>
    </row>
    <row r="37" spans="1:2" x14ac:dyDescent="0.2">
      <c r="A37" s="1069"/>
      <c r="B37" s="329" t="s">
        <v>2167</v>
      </c>
    </row>
    <row r="38" spans="1:2" x14ac:dyDescent="0.2">
      <c r="A38" s="1069"/>
    </row>
    <row r="39" spans="1:2" x14ac:dyDescent="0.2">
      <c r="A39" s="1069"/>
    </row>
    <row r="40" spans="1:2" x14ac:dyDescent="0.2">
      <c r="A40" s="1069"/>
    </row>
    <row r="41" spans="1:2" x14ac:dyDescent="0.2">
      <c r="A41" s="1069"/>
    </row>
    <row r="42" spans="1:2" x14ac:dyDescent="0.2">
      <c r="A42" s="1069"/>
    </row>
    <row r="43" spans="1:2" x14ac:dyDescent="0.2">
      <c r="A43" s="1069"/>
    </row>
    <row r="44" spans="1:2" x14ac:dyDescent="0.2">
      <c r="A44" s="1069"/>
    </row>
    <row r="45" spans="1:2" x14ac:dyDescent="0.2">
      <c r="A45" s="1069"/>
    </row>
    <row r="46" spans="1:2" x14ac:dyDescent="0.2">
      <c r="A46" s="1069"/>
    </row>
    <row r="47" spans="1:2" x14ac:dyDescent="0.2">
      <c r="A47" s="1069"/>
    </row>
    <row r="48" spans="1:2"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Wheeling CCSD 21</v>
      </c>
    </row>
    <row r="66" spans="1:2" x14ac:dyDescent="0.2">
      <c r="B66" s="1070">
        <f>COVER!A13</f>
        <v>5016021004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866775</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1984</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1985</v>
      </c>
      <c r="B4" s="2356"/>
      <c r="C4" s="2356"/>
      <c r="D4" s="2356"/>
      <c r="E4" s="2356"/>
      <c r="F4" s="2357"/>
      <c r="G4" s="1074"/>
      <c r="H4" s="1074"/>
    </row>
    <row r="5" spans="1:8" ht="14.25" customHeight="1" x14ac:dyDescent="0.2">
      <c r="A5" s="2358" t="s">
        <v>1981</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92333139</v>
      </c>
      <c r="C8" s="1815">
        <f>'Acct Summary 7-8'!D8</f>
        <v>7664990</v>
      </c>
      <c r="D8" s="1815">
        <f>'Acct Summary 7-8'!F8</f>
        <v>7300514</v>
      </c>
      <c r="E8" s="1815">
        <f>'Acct Summary 7-8'!I8</f>
        <v>46669</v>
      </c>
      <c r="F8" s="1815">
        <f>SUM(B8:E8)</f>
        <v>107345312</v>
      </c>
    </row>
    <row r="9" spans="1:8" s="1079" customFormat="1" ht="14.25" customHeight="1" thickBot="1" x14ac:dyDescent="0.25">
      <c r="A9" s="1078" t="s">
        <v>1369</v>
      </c>
      <c r="B9" s="1816">
        <f>'Acct Summary 7-8'!C17</f>
        <v>80018845</v>
      </c>
      <c r="C9" s="1816">
        <f>'Acct Summary 7-8'!D17</f>
        <v>7732590</v>
      </c>
      <c r="D9" s="1816">
        <f>'Acct Summary 7-8'!F17</f>
        <v>4420885</v>
      </c>
      <c r="E9" s="1815"/>
      <c r="F9" s="1815">
        <f>SUM(B9:E9)</f>
        <v>92172320</v>
      </c>
    </row>
    <row r="10" spans="1:8" s="1079" customFormat="1" ht="14.25" thickTop="1" thickBot="1" x14ac:dyDescent="0.25">
      <c r="A10" s="1080" t="s">
        <v>1370</v>
      </c>
      <c r="B10" s="1817">
        <f>(B8-B9)</f>
        <v>12314294</v>
      </c>
      <c r="C10" s="1817">
        <f>(C8-C9)</f>
        <v>-67600</v>
      </c>
      <c r="D10" s="1817">
        <f>(D8-D9)</f>
        <v>2879629</v>
      </c>
      <c r="E10" s="1816">
        <f>(E8-E9)</f>
        <v>46669</v>
      </c>
      <c r="F10" s="1818">
        <f>SUM(F8-F9)</f>
        <v>15172992</v>
      </c>
    </row>
    <row r="11" spans="1:8" s="1079" customFormat="1" ht="14.25" thickTop="1" thickBot="1" x14ac:dyDescent="0.25">
      <c r="A11" s="1081" t="s">
        <v>1982</v>
      </c>
      <c r="B11" s="1819">
        <f>'Acct Summary 7-8'!C81</f>
        <v>28183626</v>
      </c>
      <c r="C11" s="1819">
        <f>'Acct Summary 7-8'!D81</f>
        <v>3361630</v>
      </c>
      <c r="D11" s="1819">
        <f>'Acct Summary 7-8'!F81</f>
        <v>2213082</v>
      </c>
      <c r="E11" s="1819">
        <f>'Acct Summary 7-8'!I81</f>
        <v>3790457</v>
      </c>
      <c r="F11" s="1820">
        <f>SUM(B11:E11)</f>
        <v>37548795</v>
      </c>
    </row>
    <row r="12" spans="1:8" ht="16.5" customHeight="1" thickTop="1" x14ac:dyDescent="0.2">
      <c r="A12" s="1082"/>
      <c r="B12" s="1083"/>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43" sqref="C43:D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5016021004</v>
      </c>
    </row>
    <row r="3" spans="1:2" x14ac:dyDescent="0.2">
      <c r="A3" t="s">
        <v>956</v>
      </c>
      <c r="B3" s="138" t="str">
        <f>COVER!A15</f>
        <v>Cook</v>
      </c>
    </row>
    <row r="4" spans="1:2" x14ac:dyDescent="0.2">
      <c r="A4" t="s">
        <v>1007</v>
      </c>
      <c r="B4" s="138" t="str">
        <f>COVER!A17</f>
        <v>Wheeling CCSD 21</v>
      </c>
    </row>
    <row r="5" spans="1:2" x14ac:dyDescent="0.2">
      <c r="A5" t="s">
        <v>704</v>
      </c>
      <c r="B5" s="138" t="str">
        <f>COVER!A38</f>
        <v>Dr. Michael Connolly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John D. Aceto, Jr., CPA</v>
      </c>
    </row>
    <row r="18" spans="1:2" x14ac:dyDescent="0.2">
      <c r="A18" t="s">
        <v>1150</v>
      </c>
      <c r="B18" s="138" t="str">
        <f>COVER!T17</f>
        <v>2122 Yeoman Street</v>
      </c>
    </row>
    <row r="19" spans="1:2" x14ac:dyDescent="0.2">
      <c r="A19" t="s">
        <v>886</v>
      </c>
      <c r="B19" s="138" t="str">
        <f>COVER!T25</f>
        <v>jaceto@ekjllp.com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34742704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43386</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76934262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9142696</v>
      </c>
      <c r="D86" s="2" t="str">
        <f t="shared" si="0"/>
        <v>Error?</v>
      </c>
    </row>
    <row r="87" spans="1:4" x14ac:dyDescent="0.2">
      <c r="A87" s="10">
        <v>26</v>
      </c>
      <c r="D87" s="2" t="str">
        <f t="shared" si="0"/>
        <v>OK</v>
      </c>
    </row>
    <row r="88" spans="1:4" x14ac:dyDescent="0.2">
      <c r="A88" s="5">
        <v>27</v>
      </c>
      <c r="B88" s="138">
        <f>'Assets-Liab 5-6'!C32</f>
        <v>34569422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48750636</v>
      </c>
      <c r="C91" s="2" t="s">
        <v>573</v>
      </c>
      <c r="D91" s="2" t="str">
        <f t="shared" si="0"/>
        <v>Error?</v>
      </c>
    </row>
    <row r="92" spans="1:4" x14ac:dyDescent="0.2">
      <c r="A92" s="5">
        <v>31</v>
      </c>
      <c r="B92" s="138">
        <f>'Assets-Liab 5-6'!C39</f>
        <v>21074924</v>
      </c>
      <c r="D92" s="2" t="str">
        <f t="shared" si="0"/>
        <v>Error?</v>
      </c>
    </row>
    <row r="93" spans="1:4" x14ac:dyDescent="0.2">
      <c r="A93" s="5">
        <v>32</v>
      </c>
      <c r="B93" s="138">
        <f>'Assets-Liab 5-6'!C41</f>
        <v>76934262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3878856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7424071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135340</v>
      </c>
      <c r="D117" s="2" t="str">
        <f t="shared" si="0"/>
        <v>Error?</v>
      </c>
    </row>
    <row r="118" spans="1:4" x14ac:dyDescent="0.2">
      <c r="A118" s="10">
        <v>57</v>
      </c>
      <c r="D118" s="2" t="str">
        <f t="shared" si="0"/>
        <v>OK</v>
      </c>
    </row>
    <row r="119" spans="1:4" x14ac:dyDescent="0.2">
      <c r="A119" s="5">
        <v>58</v>
      </c>
      <c r="B119" s="138">
        <f>'Assets-Liab 5-6'!D32</f>
        <v>3878856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4062441</v>
      </c>
      <c r="C122" s="2" t="s">
        <v>573</v>
      </c>
      <c r="D122" s="2" t="str">
        <f t="shared" si="0"/>
        <v>Error?</v>
      </c>
    </row>
    <row r="123" spans="1:4" x14ac:dyDescent="0.2">
      <c r="A123" s="5">
        <v>62</v>
      </c>
      <c r="B123" s="138">
        <f>'Assets-Liab 5-6'!D39</f>
        <v>3226370</v>
      </c>
      <c r="D123" s="2" t="str">
        <f t="shared" si="0"/>
        <v>Error?</v>
      </c>
    </row>
    <row r="124" spans="1:4" x14ac:dyDescent="0.2">
      <c r="A124" s="5">
        <v>63</v>
      </c>
      <c r="B124" s="138">
        <f>'Assets-Liab 5-6'!D41</f>
        <v>7424071</v>
      </c>
      <c r="C124" s="2" t="s">
        <v>573</v>
      </c>
      <c r="D124" s="2" t="str">
        <f t="shared" si="0"/>
        <v>Error?</v>
      </c>
    </row>
    <row r="125" spans="1:4" x14ac:dyDescent="0.2">
      <c r="A125" s="10">
        <v>64</v>
      </c>
      <c r="D125" s="2" t="str">
        <f t="shared" si="0"/>
        <v>OK</v>
      </c>
    </row>
    <row r="126" spans="1:4" x14ac:dyDescent="0.2">
      <c r="A126" s="5">
        <v>65</v>
      </c>
      <c r="B126" s="138">
        <f>'Assets-Liab 5-6'!E6</f>
        <v>3191765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6154755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3191765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3191765</v>
      </c>
      <c r="C139" s="2" t="s">
        <v>573</v>
      </c>
      <c r="D139" s="2" t="str">
        <f t="shared" si="1"/>
        <v>Error?</v>
      </c>
    </row>
    <row r="140" spans="1:4" x14ac:dyDescent="0.2">
      <c r="A140" s="5">
        <v>79</v>
      </c>
      <c r="B140" s="138">
        <f>'Assets-Liab 5-6'!E39</f>
        <v>2962990</v>
      </c>
      <c r="D140" s="2" t="str">
        <f t="shared" si="1"/>
        <v>Error?</v>
      </c>
    </row>
    <row r="141" spans="1:4" x14ac:dyDescent="0.2">
      <c r="A141" s="5">
        <v>80</v>
      </c>
      <c r="B141" s="138">
        <f>'Assets-Liab 5-6'!E41</f>
        <v>6154755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2384404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4636926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3213</v>
      </c>
      <c r="D164" s="2" t="str">
        <f t="shared" si="1"/>
        <v>Error?</v>
      </c>
    </row>
    <row r="165" spans="1:4" x14ac:dyDescent="0.2">
      <c r="A165" s="10">
        <v>104</v>
      </c>
      <c r="D165" s="2" t="str">
        <f t="shared" si="1"/>
        <v>OK</v>
      </c>
    </row>
    <row r="166" spans="1:4" x14ac:dyDescent="0.2">
      <c r="A166" s="5">
        <v>105</v>
      </c>
      <c r="B166" s="138">
        <f>'Assets-Liab 5-6'!F32</f>
        <v>2384404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2423844</v>
      </c>
      <c r="C169" s="2" t="s">
        <v>573</v>
      </c>
      <c r="D169" s="2" t="str">
        <f t="shared" si="1"/>
        <v>Error?</v>
      </c>
    </row>
    <row r="170" spans="1:4" x14ac:dyDescent="0.2">
      <c r="A170" s="5">
        <v>109</v>
      </c>
      <c r="B170" s="138">
        <f>'Assets-Liab 5-6'!F39</f>
        <v>2210462</v>
      </c>
      <c r="D170" s="2" t="str">
        <f t="shared" si="1"/>
        <v>Error?</v>
      </c>
    </row>
    <row r="171" spans="1:4" x14ac:dyDescent="0.2">
      <c r="A171" s="5">
        <v>110</v>
      </c>
      <c r="B171" s="138">
        <f>'Assets-Liab 5-6'!F41</f>
        <v>4636926</v>
      </c>
      <c r="C171" s="2" t="s">
        <v>573</v>
      </c>
      <c r="D171" s="2" t="str">
        <f t="shared" si="1"/>
        <v>Error?</v>
      </c>
    </row>
    <row r="172" spans="1:4" x14ac:dyDescent="0.2">
      <c r="A172" s="10">
        <v>111</v>
      </c>
      <c r="D172" s="2" t="str">
        <f t="shared" si="1"/>
        <v>OK</v>
      </c>
    </row>
    <row r="173" spans="1:4" x14ac:dyDescent="0.2">
      <c r="A173" s="5">
        <v>112</v>
      </c>
      <c r="B173" s="138">
        <f>'Assets-Liab 5-6'!G6</f>
        <v>1291403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4416765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122225</v>
      </c>
      <c r="D184" s="2" t="str">
        <f t="shared" si="1"/>
        <v>Error?</v>
      </c>
    </row>
    <row r="185" spans="1:4" x14ac:dyDescent="0.2">
      <c r="A185" s="5">
        <v>124</v>
      </c>
      <c r="B185" s="138">
        <f>'Assets-Liab 5-6'!G32</f>
        <v>1291403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1413628</v>
      </c>
      <c r="C188" s="2" t="s">
        <v>573</v>
      </c>
      <c r="D188" s="2" t="str">
        <f t="shared" si="1"/>
        <v>Error?</v>
      </c>
    </row>
    <row r="189" spans="1:4" x14ac:dyDescent="0.2">
      <c r="A189" s="5">
        <v>128</v>
      </c>
      <c r="B189" s="138">
        <f>'Assets-Liab 5-6'!G39</f>
        <v>3003137</v>
      </c>
      <c r="D189" s="2" t="str">
        <f t="shared" si="1"/>
        <v>Error?</v>
      </c>
    </row>
    <row r="190" spans="1:4" x14ac:dyDescent="0.2">
      <c r="A190" s="5">
        <v>129</v>
      </c>
      <c r="B190" s="138">
        <f>'Assets-Liab 5-6'!G41</f>
        <v>4416765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40062292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9804095</v>
      </c>
      <c r="C211" s="2" t="s">
        <v>573</v>
      </c>
      <c r="D211" s="2" t="str">
        <f t="shared" si="2"/>
        <v>Error?</v>
      </c>
    </row>
    <row r="212" spans="1:4" x14ac:dyDescent="0.2">
      <c r="A212" s="5">
        <v>151</v>
      </c>
      <c r="B212" s="138">
        <f>'Assets-Liab 5-6'!H39</f>
        <v>30258197</v>
      </c>
      <c r="D212" s="2" t="str">
        <f t="shared" si="2"/>
        <v>Error?</v>
      </c>
    </row>
    <row r="213" spans="1:4" x14ac:dyDescent="0.2">
      <c r="A213" s="12">
        <v>152</v>
      </c>
      <c r="B213" s="138">
        <f>'Assets-Liab 5-6'!H41</f>
        <v>40062292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1965066</v>
      </c>
      <c r="D273" s="2" t="str">
        <f t="shared" si="3"/>
        <v>Error?</v>
      </c>
    </row>
    <row r="274" spans="1:4" x14ac:dyDescent="0.2">
      <c r="A274" s="5">
        <v>213</v>
      </c>
      <c r="B274" s="138">
        <f>'Assets-Liab 5-6'!M17</f>
        <v>110817032</v>
      </c>
      <c r="D274" s="2" t="str">
        <f t="shared" si="3"/>
        <v>Error?</v>
      </c>
    </row>
    <row r="275" spans="1:4" x14ac:dyDescent="0.2">
      <c r="A275" s="5">
        <v>214</v>
      </c>
      <c r="B275" s="138">
        <f>'Assets-Liab 5-6'!M18</f>
        <v>3764581</v>
      </c>
      <c r="D275" s="2" t="str">
        <f t="shared" si="3"/>
        <v>Error?</v>
      </c>
    </row>
    <row r="276" spans="1:4" x14ac:dyDescent="0.2">
      <c r="A276" s="5">
        <v>215</v>
      </c>
      <c r="B276" s="138">
        <f>'Assets-Liab 5-6'!M19</f>
        <v>27814604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144361283</v>
      </c>
      <c r="C279" s="2" t="s">
        <v>573</v>
      </c>
      <c r="D279" s="2" t="str">
        <f t="shared" si="3"/>
        <v>Error?</v>
      </c>
    </row>
    <row r="280" spans="1:4" x14ac:dyDescent="0.2">
      <c r="A280" s="5">
        <v>219</v>
      </c>
      <c r="B280" s="138">
        <f>'Assets-Liab 5-6'!M40</f>
        <v>144361283</v>
      </c>
      <c r="D280" s="2" t="str">
        <f t="shared" si="3"/>
        <v>Error?</v>
      </c>
    </row>
    <row r="281" spans="1:4" x14ac:dyDescent="0.2">
      <c r="A281" s="5">
        <v>220</v>
      </c>
      <c r="B281" s="138">
        <f>'Assets-Liab 5-6'!M41</f>
        <v>144361283</v>
      </c>
      <c r="C281" s="2" t="s">
        <v>573</v>
      </c>
      <c r="D281" s="2" t="str">
        <f t="shared" si="3"/>
        <v>Error?</v>
      </c>
    </row>
    <row r="282" spans="1:4" x14ac:dyDescent="0.2">
      <c r="A282" s="5">
        <v>221</v>
      </c>
      <c r="B282" s="138">
        <f>'Assets-Liab 5-6'!N21</f>
        <v>2962990</v>
      </c>
      <c r="D282" s="2" t="str">
        <f t="shared" si="3"/>
        <v>Error?</v>
      </c>
    </row>
    <row r="283" spans="1:4" x14ac:dyDescent="0.2">
      <c r="A283" s="5">
        <v>222</v>
      </c>
      <c r="B283" s="138">
        <f>'Assets-Liab 5-6'!N22</f>
        <v>66539477</v>
      </c>
      <c r="D283" s="2" t="str">
        <f t="shared" si="3"/>
        <v>Error?</v>
      </c>
    </row>
    <row r="284" spans="1:4" x14ac:dyDescent="0.2">
      <c r="A284" s="5">
        <v>223</v>
      </c>
      <c r="B284" s="138">
        <f>'Assets-Liab 5-6'!N23</f>
        <v>69502467</v>
      </c>
      <c r="C284" s="2" t="s">
        <v>573</v>
      </c>
      <c r="D284" s="2" t="str">
        <f t="shared" si="3"/>
        <v>Error?</v>
      </c>
    </row>
    <row r="285" spans="1:4" x14ac:dyDescent="0.2">
      <c r="A285" s="5">
        <v>224</v>
      </c>
      <c r="B285" s="138">
        <f>'Assets-Liab 5-6'!N36</f>
        <v>69502467</v>
      </c>
      <c r="D285" s="2" t="str">
        <f t="shared" si="3"/>
        <v>Error?</v>
      </c>
    </row>
    <row r="286" spans="1:4" x14ac:dyDescent="0.2">
      <c r="A286" s="10">
        <v>225</v>
      </c>
      <c r="D286" s="2" t="str">
        <f t="shared" si="3"/>
        <v>OK</v>
      </c>
    </row>
    <row r="287" spans="1:4" x14ac:dyDescent="0.2">
      <c r="A287" s="5">
        <v>226</v>
      </c>
      <c r="B287" s="138">
        <f>'Assets-Liab 5-6'!N37</f>
        <v>69502467</v>
      </c>
      <c r="C287" s="2" t="s">
        <v>573</v>
      </c>
      <c r="D287" s="2" t="str">
        <f t="shared" si="3"/>
        <v>Error?</v>
      </c>
    </row>
    <row r="288" spans="1:4" x14ac:dyDescent="0.2">
      <c r="A288" s="5">
        <v>227</v>
      </c>
      <c r="B288" s="138">
        <f>'Assets-Liab 5-6'!N41</f>
        <v>69502467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42900000</v>
      </c>
      <c r="D618" s="2" t="str">
        <f t="shared" si="8"/>
        <v>Error?</v>
      </c>
    </row>
    <row r="619" spans="1:4" x14ac:dyDescent="0.2">
      <c r="A619" s="5">
        <v>558</v>
      </c>
      <c r="B619" s="138">
        <f>'Acct Summary 7-8'!H34</f>
        <v>3207721</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25301545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8606388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168858</v>
      </c>
      <c r="D718" s="2" t="str">
        <f t="shared" si="10"/>
        <v>Error?</v>
      </c>
    </row>
    <row r="719" spans="1:4" x14ac:dyDescent="0.2">
      <c r="A719" s="5">
        <v>658</v>
      </c>
      <c r="B719" s="138">
        <f>'Expenditures 15-22'!C15</f>
        <v>9077</v>
      </c>
      <c r="D719" s="2" t="str">
        <f t="shared" si="10"/>
        <v>Error?</v>
      </c>
    </row>
    <row r="720" spans="1:4" x14ac:dyDescent="0.2">
      <c r="A720" s="5">
        <v>659</v>
      </c>
      <c r="B720" s="138">
        <f>'Expenditures 15-22'!C33</f>
        <v>43031575</v>
      </c>
      <c r="C720" s="2" t="s">
        <v>573</v>
      </c>
      <c r="D720" s="2" t="str">
        <f t="shared" si="10"/>
        <v>Error?</v>
      </c>
    </row>
    <row r="721" spans="1:4" x14ac:dyDescent="0.2">
      <c r="A721" s="5">
        <v>660</v>
      </c>
      <c r="B721" s="138">
        <f>'Expenditures 15-22'!C36</f>
        <v>1865916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1518432</v>
      </c>
      <c r="D723" s="2" t="str">
        <f t="shared" si="10"/>
        <v>Error?</v>
      </c>
    </row>
    <row r="724" spans="1:4" x14ac:dyDescent="0.2">
      <c r="A724" s="5">
        <v>663</v>
      </c>
      <c r="B724" s="138">
        <f>'Expenditures 15-22'!C39</f>
        <v>994192</v>
      </c>
      <c r="D724" s="2" t="str">
        <f t="shared" si="10"/>
        <v>Error?</v>
      </c>
    </row>
    <row r="725" spans="1:4" x14ac:dyDescent="0.2">
      <c r="A725" s="5">
        <v>664</v>
      </c>
      <c r="B725" s="138">
        <f>'Expenditures 15-22'!C40</f>
        <v>1444543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5823083</v>
      </c>
      <c r="C727" s="2" t="s">
        <v>573</v>
      </c>
      <c r="D727" s="2" t="str">
        <f t="shared" si="10"/>
        <v>Error?</v>
      </c>
    </row>
    <row r="728" spans="1:4" x14ac:dyDescent="0.2">
      <c r="A728" s="5">
        <v>667</v>
      </c>
      <c r="B728" s="138">
        <f>'Expenditures 15-22'!C44</f>
        <v>1403855</v>
      </c>
      <c r="D728" s="2" t="str">
        <f t="shared" si="10"/>
        <v>Error?</v>
      </c>
    </row>
    <row r="729" spans="1:4" x14ac:dyDescent="0.2">
      <c r="A729" s="5">
        <v>668</v>
      </c>
      <c r="B729" s="138">
        <f>'Expenditures 15-22'!C45</f>
        <v>3042031</v>
      </c>
      <c r="D729" s="2" t="str">
        <f t="shared" si="10"/>
        <v>Error?</v>
      </c>
    </row>
    <row r="730" spans="1:4" x14ac:dyDescent="0.2">
      <c r="A730" s="5">
        <v>669</v>
      </c>
      <c r="B730" s="138">
        <f>'Expenditures 15-22'!C46</f>
        <v>196176</v>
      </c>
      <c r="D730" s="2" t="str">
        <f t="shared" si="10"/>
        <v>Error?</v>
      </c>
    </row>
    <row r="731" spans="1:4" x14ac:dyDescent="0.2">
      <c r="A731" s="5">
        <v>670</v>
      </c>
      <c r="B731" s="138">
        <f>'Expenditures 15-22'!C47</f>
        <v>4642062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277214</v>
      </c>
      <c r="D733" s="2" t="str">
        <f t="shared" si="10"/>
        <v>Error?</v>
      </c>
    </row>
    <row r="734" spans="1:4" x14ac:dyDescent="0.2">
      <c r="A734" s="5">
        <v>673</v>
      </c>
      <c r="B734" s="138">
        <f>'Expenditures 15-22'!C53</f>
        <v>858887</v>
      </c>
      <c r="C734" s="2" t="s">
        <v>573</v>
      </c>
      <c r="D734" s="2" t="str">
        <f t="shared" si="10"/>
        <v>Error?</v>
      </c>
    </row>
    <row r="735" spans="1:4" x14ac:dyDescent="0.2">
      <c r="A735" s="5">
        <v>674</v>
      </c>
      <c r="B735" s="138">
        <f>'Expenditures 15-22'!C55</f>
        <v>2734379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2734379</v>
      </c>
      <c r="C737" s="2" t="s">
        <v>573</v>
      </c>
      <c r="D737" s="2" t="str">
        <f t="shared" si="10"/>
        <v>Error?</v>
      </c>
    </row>
    <row r="738" spans="1:4" x14ac:dyDescent="0.2">
      <c r="A738" s="5">
        <v>677</v>
      </c>
      <c r="B738" s="138">
        <f>'Expenditures 15-22'!C59</f>
        <v>720752</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310544</v>
      </c>
      <c r="D742" s="2" t="str">
        <f t="shared" si="10"/>
        <v>Error?</v>
      </c>
    </row>
    <row r="743" spans="1:4" x14ac:dyDescent="0.2">
      <c r="A743" s="5">
        <v>682</v>
      </c>
      <c r="B743" s="138">
        <f>'Expenditures 15-22'!C64</f>
        <v>215122</v>
      </c>
      <c r="D743" s="2" t="str">
        <f t="shared" si="10"/>
        <v>Error?</v>
      </c>
    </row>
    <row r="744" spans="1:4" x14ac:dyDescent="0.2">
      <c r="A744" s="10">
        <v>683</v>
      </c>
      <c r="D744" s="2" t="str">
        <f t="shared" si="10"/>
        <v>OK</v>
      </c>
    </row>
    <row r="745" spans="1:4" x14ac:dyDescent="0.2">
      <c r="A745" s="5">
        <v>684</v>
      </c>
      <c r="B745" s="138">
        <f>'Expenditures 15-22'!C65</f>
        <v>1246418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886168</v>
      </c>
      <c r="D748" s="2" t="str">
        <f t="shared" si="10"/>
        <v>Error?</v>
      </c>
    </row>
    <row r="749" spans="1:4" x14ac:dyDescent="0.2">
      <c r="A749" s="5">
        <v>688</v>
      </c>
      <c r="B749" s="138">
        <f>'Expenditures 15-22'!C70</f>
        <v>377459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1263627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16568456</v>
      </c>
      <c r="C755" s="2" t="s">
        <v>573</v>
      </c>
      <c r="D755" s="2" t="str">
        <f t="shared" si="10"/>
        <v>Error?</v>
      </c>
    </row>
    <row r="756" spans="1:4" x14ac:dyDescent="0.2">
      <c r="A756" s="5">
        <v>695</v>
      </c>
      <c r="B756" s="138">
        <f>'Expenditures 15-22'!C75</f>
        <v>138454</v>
      </c>
      <c r="D756" s="2" t="str">
        <f t="shared" si="10"/>
        <v>Error?</v>
      </c>
    </row>
    <row r="757" spans="1:4" x14ac:dyDescent="0.2">
      <c r="A757" s="5">
        <v>696</v>
      </c>
      <c r="B757" s="138">
        <f>'Expenditures 15-22'!C114</f>
        <v>59738485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3753241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1516443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4489</v>
      </c>
      <c r="D776" s="2" t="str">
        <f t="shared" si="11"/>
        <v>Error?</v>
      </c>
    </row>
    <row r="777" spans="1:4" x14ac:dyDescent="0.2">
      <c r="A777" s="5">
        <v>716</v>
      </c>
      <c r="B777" s="138">
        <f>'Expenditures 15-22'!D15</f>
        <v>195</v>
      </c>
      <c r="D777" s="2" t="str">
        <f t="shared" si="11"/>
        <v>Error?</v>
      </c>
    </row>
    <row r="778" spans="1:4" x14ac:dyDescent="0.2">
      <c r="A778" s="5">
        <v>717</v>
      </c>
      <c r="B778" s="138">
        <f>'Expenditures 15-22'!D33</f>
        <v>7288486</v>
      </c>
      <c r="C778" s="2" t="s">
        <v>573</v>
      </c>
      <c r="D778" s="2" t="str">
        <f t="shared" si="11"/>
        <v>Error?</v>
      </c>
    </row>
    <row r="779" spans="1:4" x14ac:dyDescent="0.2">
      <c r="A779" s="5">
        <v>718</v>
      </c>
      <c r="B779" s="138">
        <f>'Expenditures 15-22'!D36</f>
        <v>289331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293838</v>
      </c>
      <c r="D781" s="2" t="str">
        <f t="shared" si="11"/>
        <v>Error?</v>
      </c>
    </row>
    <row r="782" spans="1:4" x14ac:dyDescent="0.2">
      <c r="A782" s="5">
        <v>721</v>
      </c>
      <c r="B782" s="138">
        <f>'Expenditures 15-22'!D39</f>
        <v>147068</v>
      </c>
      <c r="D782" s="2" t="str">
        <f t="shared" si="11"/>
        <v>Error?</v>
      </c>
    </row>
    <row r="783" spans="1:4" x14ac:dyDescent="0.2">
      <c r="A783" s="5">
        <v>722</v>
      </c>
      <c r="B783" s="138">
        <f>'Expenditures 15-22'!D40</f>
        <v>243111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973348</v>
      </c>
      <c r="C785" s="2" t="s">
        <v>573</v>
      </c>
      <c r="D785" s="2" t="str">
        <f t="shared" si="11"/>
        <v>Error?</v>
      </c>
    </row>
    <row r="786" spans="1:4" x14ac:dyDescent="0.2">
      <c r="A786" s="5">
        <v>725</v>
      </c>
      <c r="B786" s="138">
        <f>'Expenditures 15-22'!D44</f>
        <v>255331</v>
      </c>
      <c r="D786" s="2" t="str">
        <f t="shared" si="11"/>
        <v>Error?</v>
      </c>
    </row>
    <row r="787" spans="1:4" x14ac:dyDescent="0.2">
      <c r="A787" s="5">
        <v>726</v>
      </c>
      <c r="B787" s="138">
        <f>'Expenditures 15-22'!D45</f>
        <v>510288</v>
      </c>
      <c r="D787" s="2" t="str">
        <f t="shared" si="11"/>
        <v>Error?</v>
      </c>
    </row>
    <row r="788" spans="1:4" x14ac:dyDescent="0.2">
      <c r="A788" s="5">
        <v>727</v>
      </c>
      <c r="B788" s="138">
        <f>'Expenditures 15-22'!D46</f>
        <v>29724</v>
      </c>
      <c r="D788" s="2" t="str">
        <f t="shared" si="11"/>
        <v>Error?</v>
      </c>
    </row>
    <row r="789" spans="1:4" x14ac:dyDescent="0.2">
      <c r="A789" s="5">
        <v>728</v>
      </c>
      <c r="B789" s="138">
        <f>'Expenditures 15-22'!D47</f>
        <v>795343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33566</v>
      </c>
      <c r="D791" s="2" t="str">
        <f t="shared" si="11"/>
        <v>Error?</v>
      </c>
    </row>
    <row r="792" spans="1:4" x14ac:dyDescent="0.2">
      <c r="A792" s="5">
        <v>731</v>
      </c>
      <c r="B792" s="138">
        <f>'Expenditures 15-22'!D53</f>
        <v>155512</v>
      </c>
      <c r="C792" s="2" t="s">
        <v>573</v>
      </c>
      <c r="D792" s="2" t="str">
        <f t="shared" si="11"/>
        <v>Error?</v>
      </c>
    </row>
    <row r="793" spans="1:4" x14ac:dyDescent="0.2">
      <c r="A793" s="5">
        <v>732</v>
      </c>
      <c r="B793" s="138">
        <f>'Expenditures 15-22'!D55</f>
        <v>536748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536748</v>
      </c>
      <c r="C795" s="2" t="s">
        <v>573</v>
      </c>
      <c r="D795" s="2" t="str">
        <f t="shared" si="11"/>
        <v>Error?</v>
      </c>
    </row>
    <row r="796" spans="1:4" x14ac:dyDescent="0.2">
      <c r="A796" s="5">
        <v>735</v>
      </c>
      <c r="B796" s="138">
        <f>'Expenditures 15-22'!D59</f>
        <v>118396</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5189</v>
      </c>
      <c r="D800" s="2" t="str">
        <f t="shared" si="11"/>
        <v>Error?</v>
      </c>
    </row>
    <row r="801" spans="1:4" x14ac:dyDescent="0.2">
      <c r="A801" s="5">
        <v>740</v>
      </c>
      <c r="B801" s="138">
        <f>'Expenditures 15-22'!D64</f>
        <v>42869</v>
      </c>
      <c r="D801" s="2" t="str">
        <f t="shared" si="11"/>
        <v>Error?</v>
      </c>
    </row>
    <row r="802" spans="1:4" x14ac:dyDescent="0.2">
      <c r="A802" s="10">
        <v>741</v>
      </c>
      <c r="D802" s="2" t="str">
        <f t="shared" si="11"/>
        <v>OK</v>
      </c>
    </row>
    <row r="803" spans="1:4" x14ac:dyDescent="0.2">
      <c r="A803" s="5">
        <v>742</v>
      </c>
      <c r="B803" s="138">
        <f>'Expenditures 15-22'!D65</f>
        <v>166454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171361</v>
      </c>
      <c r="D806" s="2" t="str">
        <f t="shared" si="11"/>
        <v>Error?</v>
      </c>
    </row>
    <row r="807" spans="1:4" x14ac:dyDescent="0.2">
      <c r="A807" s="5">
        <v>746</v>
      </c>
      <c r="B807" s="138">
        <f>'Expenditures 15-22'!D70</f>
        <v>94074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265435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2892840</v>
      </c>
      <c r="C813" s="2" t="s">
        <v>573</v>
      </c>
      <c r="D813" s="2" t="str">
        <f t="shared" si="11"/>
        <v>Error?</v>
      </c>
    </row>
    <row r="814" spans="1:4" x14ac:dyDescent="0.2">
      <c r="A814" s="5">
        <v>753</v>
      </c>
      <c r="B814" s="138">
        <f>'Expenditures 15-22'!D75</f>
        <v>1251</v>
      </c>
      <c r="D814" s="2" t="str">
        <f t="shared" si="11"/>
        <v>Error?</v>
      </c>
    </row>
    <row r="815" spans="1:4" x14ac:dyDescent="0.2">
      <c r="A815" s="5">
        <v>754</v>
      </c>
      <c r="B815" s="138">
        <f>'Expenditures 15-22'!D114</f>
        <v>10182577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53193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1565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10312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289464</v>
      </c>
      <c r="C836" s="2" t="s">
        <v>573</v>
      </c>
      <c r="D836" s="2" t="str">
        <f t="shared" si="12"/>
        <v>Error?</v>
      </c>
    </row>
    <row r="837" spans="1:4" x14ac:dyDescent="0.2">
      <c r="A837" s="5">
        <v>776</v>
      </c>
      <c r="B837" s="138">
        <f>'Expenditures 15-22'!E36</f>
        <v>24570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264018</v>
      </c>
      <c r="D839" s="2" t="str">
        <f t="shared" si="12"/>
        <v>Error?</v>
      </c>
    </row>
    <row r="840" spans="1:4" x14ac:dyDescent="0.2">
      <c r="A840" s="5">
        <v>779</v>
      </c>
      <c r="B840" s="138">
        <f>'Expenditures 15-22'!E39</f>
        <v>1546</v>
      </c>
      <c r="D840" s="2" t="str">
        <f t="shared" si="12"/>
        <v>Error?</v>
      </c>
    </row>
    <row r="841" spans="1:4" x14ac:dyDescent="0.2">
      <c r="A841" s="5">
        <v>780</v>
      </c>
      <c r="B841" s="138">
        <f>'Expenditures 15-22'!E40</f>
        <v>158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290292</v>
      </c>
      <c r="C843" s="2" t="s">
        <v>573</v>
      </c>
      <c r="D843" s="2" t="str">
        <f t="shared" si="12"/>
        <v>Error?</v>
      </c>
    </row>
    <row r="844" spans="1:4" x14ac:dyDescent="0.2">
      <c r="A844" s="5">
        <v>783</v>
      </c>
      <c r="B844" s="138">
        <f>'Expenditures 15-22'!E44</f>
        <v>80311</v>
      </c>
      <c r="D844" s="2" t="str">
        <f t="shared" si="12"/>
        <v>Error?</v>
      </c>
    </row>
    <row r="845" spans="1:4" x14ac:dyDescent="0.2">
      <c r="A845" s="5">
        <v>784</v>
      </c>
      <c r="B845" s="138">
        <f>'Expenditures 15-22'!E45</f>
        <v>152</v>
      </c>
      <c r="D845" s="2" t="str">
        <f t="shared" si="12"/>
        <v>Error?</v>
      </c>
    </row>
    <row r="846" spans="1:4" x14ac:dyDescent="0.2">
      <c r="A846" s="5">
        <v>785</v>
      </c>
      <c r="B846" s="138">
        <f>'Expenditures 15-22'!E46</f>
        <v>95047</v>
      </c>
      <c r="D846" s="2" t="str">
        <f t="shared" si="12"/>
        <v>Error?</v>
      </c>
    </row>
    <row r="847" spans="1:4" x14ac:dyDescent="0.2">
      <c r="A847" s="5">
        <v>786</v>
      </c>
      <c r="B847" s="138">
        <f>'Expenditures 15-22'!E47</f>
        <v>175510</v>
      </c>
      <c r="C847" s="2" t="s">
        <v>573</v>
      </c>
      <c r="D847" s="2" t="str">
        <f t="shared" si="12"/>
        <v>Error?</v>
      </c>
    </row>
    <row r="848" spans="1:4" x14ac:dyDescent="0.2">
      <c r="A848" s="5">
        <v>787</v>
      </c>
      <c r="B848" s="138">
        <f>'Expenditures 15-22'!E49</f>
        <v>216771</v>
      </c>
      <c r="D848" s="2" t="str">
        <f t="shared" si="12"/>
        <v>Error?</v>
      </c>
    </row>
    <row r="849" spans="1:4" x14ac:dyDescent="0.2">
      <c r="A849" s="5">
        <v>788</v>
      </c>
      <c r="B849" s="138">
        <f>'Expenditures 15-22'!E50</f>
        <v>2996</v>
      </c>
      <c r="D849" s="2" t="str">
        <f t="shared" si="12"/>
        <v>Error?</v>
      </c>
    </row>
    <row r="850" spans="1:4" x14ac:dyDescent="0.2">
      <c r="A850" s="5">
        <v>789</v>
      </c>
      <c r="B850" s="138">
        <f>'Expenditures 15-22'!E53</f>
        <v>220511</v>
      </c>
      <c r="C850" s="2" t="s">
        <v>573</v>
      </c>
      <c r="D850" s="2" t="str">
        <f t="shared" si="12"/>
        <v>Error?</v>
      </c>
    </row>
    <row r="851" spans="1:4" x14ac:dyDescent="0.2">
      <c r="A851" s="5">
        <v>790</v>
      </c>
      <c r="B851" s="138">
        <f>'Expenditures 15-22'!E55</f>
        <v>7915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7915</v>
      </c>
      <c r="C853" s="2" t="s">
        <v>573</v>
      </c>
      <c r="D853" s="2" t="str">
        <f t="shared" si="12"/>
        <v>Error?</v>
      </c>
    </row>
    <row r="854" spans="1:4" x14ac:dyDescent="0.2">
      <c r="A854" s="5">
        <v>793</v>
      </c>
      <c r="B854" s="138">
        <f>'Expenditures 15-22'!E59</f>
        <v>103512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191205</v>
      </c>
      <c r="D857" s="2" t="str">
        <f t="shared" si="12"/>
        <v>Error?</v>
      </c>
    </row>
    <row r="858" spans="1:4" x14ac:dyDescent="0.2">
      <c r="A858" s="5">
        <v>797</v>
      </c>
      <c r="B858" s="138">
        <f>'Expenditures 15-22'!E63</f>
        <v>2794201</v>
      </c>
      <c r="D858" s="2" t="str">
        <f t="shared" si="12"/>
        <v>Error?</v>
      </c>
    </row>
    <row r="859" spans="1:4" x14ac:dyDescent="0.2">
      <c r="A859" s="5">
        <v>798</v>
      </c>
      <c r="B859" s="138">
        <f>'Expenditures 15-22'!E64</f>
        <v>5199</v>
      </c>
      <c r="D859" s="2" t="str">
        <f t="shared" si="12"/>
        <v>Error?</v>
      </c>
    </row>
    <row r="860" spans="1:4" x14ac:dyDescent="0.2">
      <c r="A860" s="10">
        <v>799</v>
      </c>
      <c r="D860" s="2" t="str">
        <f t="shared" si="12"/>
        <v>OK</v>
      </c>
    </row>
    <row r="861" spans="1:4" x14ac:dyDescent="0.2">
      <c r="A861" s="5">
        <v>800</v>
      </c>
      <c r="B861" s="138">
        <f>'Expenditures 15-22'!E65</f>
        <v>3094117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1089101</v>
      </c>
      <c r="D864" s="2" t="str">
        <f t="shared" si="12"/>
        <v>Error?</v>
      </c>
    </row>
    <row r="865" spans="1:4" x14ac:dyDescent="0.2">
      <c r="A865" s="5">
        <v>804</v>
      </c>
      <c r="B865" s="138">
        <f>'Expenditures 15-22'!E70</f>
        <v>48166</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1137267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4925612</v>
      </c>
      <c r="C871" s="2" t="s">
        <v>573</v>
      </c>
      <c r="D871" s="2" t="str">
        <f t="shared" si="12"/>
        <v>Error?</v>
      </c>
    </row>
    <row r="872" spans="1:4" x14ac:dyDescent="0.2">
      <c r="A872" s="5">
        <v>811</v>
      </c>
      <c r="B872" s="138">
        <f>'Expenditures 15-22'!E75</f>
        <v>99658</v>
      </c>
      <c r="D872" s="2" t="str">
        <f t="shared" si="12"/>
        <v>Error?</v>
      </c>
    </row>
    <row r="873" spans="1:4" x14ac:dyDescent="0.2">
      <c r="A873" s="5">
        <v>812</v>
      </c>
      <c r="B873" s="138">
        <f>'Expenditures 15-22'!E114</f>
        <v>5554265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837415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65833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685</v>
      </c>
      <c r="D892" s="2" t="str">
        <f t="shared" si="12"/>
        <v>Error?</v>
      </c>
    </row>
    <row r="893" spans="1:4" x14ac:dyDescent="0.2">
      <c r="A893" s="5">
        <v>832</v>
      </c>
      <c r="B893" s="138">
        <f>'Expenditures 15-22'!F15</f>
        <v>273</v>
      </c>
      <c r="D893" s="2" t="str">
        <f t="shared" si="12"/>
        <v>Error?</v>
      </c>
    </row>
    <row r="894" spans="1:4" x14ac:dyDescent="0.2">
      <c r="A894" s="5">
        <v>833</v>
      </c>
      <c r="B894" s="138">
        <f>'Expenditures 15-22'!F33</f>
        <v>1360429</v>
      </c>
      <c r="C894" s="2" t="s">
        <v>573</v>
      </c>
      <c r="D894" s="2" t="str">
        <f t="shared" si="12"/>
        <v>Error?</v>
      </c>
    </row>
    <row r="895" spans="1:4" x14ac:dyDescent="0.2">
      <c r="A895" s="5">
        <v>834</v>
      </c>
      <c r="B895" s="138">
        <f>'Expenditures 15-22'!F36</f>
        <v>5849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13486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1890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21225</v>
      </c>
      <c r="C901" s="2" t="s">
        <v>573</v>
      </c>
      <c r="D901" s="2" t="str">
        <f t="shared" si="13"/>
        <v>Error?</v>
      </c>
    </row>
    <row r="902" spans="1:4" x14ac:dyDescent="0.2">
      <c r="A902" s="5">
        <v>841</v>
      </c>
      <c r="B902" s="138">
        <f>'Expenditures 15-22'!F44</f>
        <v>37056</v>
      </c>
      <c r="D902" s="2" t="str">
        <f t="shared" si="13"/>
        <v>Error?</v>
      </c>
    </row>
    <row r="903" spans="1:4" x14ac:dyDescent="0.2">
      <c r="A903" s="5">
        <v>842</v>
      </c>
      <c r="B903" s="138">
        <f>'Expenditures 15-22'!F45</f>
        <v>132742</v>
      </c>
      <c r="D903" s="2" t="str">
        <f t="shared" si="13"/>
        <v>Error?</v>
      </c>
    </row>
    <row r="904" spans="1:4" x14ac:dyDescent="0.2">
      <c r="A904" s="5">
        <v>843</v>
      </c>
      <c r="B904" s="138">
        <f>'Expenditures 15-22'!F46</f>
        <v>26535</v>
      </c>
      <c r="D904" s="2" t="str">
        <f t="shared" si="13"/>
        <v>Error?</v>
      </c>
    </row>
    <row r="905" spans="1:4" x14ac:dyDescent="0.2">
      <c r="A905" s="5">
        <v>844</v>
      </c>
      <c r="B905" s="138">
        <f>'Expenditures 15-22'!F47</f>
        <v>196333</v>
      </c>
      <c r="C905" s="2" t="s">
        <v>573</v>
      </c>
      <c r="D905" s="2" t="str">
        <f t="shared" si="13"/>
        <v>Error?</v>
      </c>
    </row>
    <row r="906" spans="1:4" x14ac:dyDescent="0.2">
      <c r="A906" s="5">
        <v>845</v>
      </c>
      <c r="B906" s="138">
        <f>'Expenditures 15-22'!F49</f>
        <v>41441</v>
      </c>
      <c r="D906" s="2" t="str">
        <f t="shared" si="13"/>
        <v>Error?</v>
      </c>
    </row>
    <row r="907" spans="1:4" x14ac:dyDescent="0.2">
      <c r="A907" s="5">
        <v>846</v>
      </c>
      <c r="B907" s="138">
        <f>'Expenditures 15-22'!F50</f>
        <v>2751</v>
      </c>
      <c r="D907" s="2" t="str">
        <f t="shared" si="13"/>
        <v>Error?</v>
      </c>
    </row>
    <row r="908" spans="1:4" x14ac:dyDescent="0.2">
      <c r="A908" s="5">
        <v>847</v>
      </c>
      <c r="B908" s="138">
        <f>'Expenditures 15-22'!F53</f>
        <v>51580</v>
      </c>
      <c r="C908" s="2" t="s">
        <v>573</v>
      </c>
      <c r="D908" s="2" t="str">
        <f t="shared" si="13"/>
        <v>Error?</v>
      </c>
    </row>
    <row r="909" spans="1:4" x14ac:dyDescent="0.2">
      <c r="A909" s="5">
        <v>848</v>
      </c>
      <c r="B909" s="138">
        <f>'Expenditures 15-22'!F55</f>
        <v>20456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20456</v>
      </c>
      <c r="C911" s="2" t="s">
        <v>573</v>
      </c>
      <c r="D911" s="2" t="str">
        <f t="shared" si="13"/>
        <v>Error?</v>
      </c>
    </row>
    <row r="912" spans="1:4" x14ac:dyDescent="0.2">
      <c r="A912" s="5">
        <v>851</v>
      </c>
      <c r="B912" s="138">
        <f>'Expenditures 15-22'!F59</f>
        <v>7083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37310</v>
      </c>
      <c r="D916" s="2" t="str">
        <f t="shared" si="13"/>
        <v>Error?</v>
      </c>
    </row>
    <row r="917" spans="1:4" x14ac:dyDescent="0.2">
      <c r="A917" s="5">
        <v>856</v>
      </c>
      <c r="B917" s="138">
        <f>'Expenditures 15-22'!F64</f>
        <v>39604</v>
      </c>
      <c r="D917" s="2" t="str">
        <f t="shared" si="13"/>
        <v>Error?</v>
      </c>
    </row>
    <row r="918" spans="1:4" x14ac:dyDescent="0.2">
      <c r="A918" s="10">
        <v>857</v>
      </c>
      <c r="D918" s="2" t="str">
        <f t="shared" si="13"/>
        <v>OK</v>
      </c>
    </row>
    <row r="919" spans="1:4" x14ac:dyDescent="0.2">
      <c r="A919" s="5">
        <v>858</v>
      </c>
      <c r="B919" s="138">
        <f>'Expenditures 15-22'!F65</f>
        <v>83997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305415</v>
      </c>
      <c r="D922" s="2" t="str">
        <f t="shared" si="13"/>
        <v>Error?</v>
      </c>
    </row>
    <row r="923" spans="1:4" x14ac:dyDescent="0.2">
      <c r="A923" s="5">
        <v>862</v>
      </c>
      <c r="B923" s="138">
        <f>'Expenditures 15-22'!F70</f>
        <v>3377</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308792</v>
      </c>
      <c r="C927" s="2" t="s">
        <v>573</v>
      </c>
      <c r="D927" s="2" t="str">
        <f t="shared" si="13"/>
        <v>Error?</v>
      </c>
    </row>
    <row r="928" spans="1:4" x14ac:dyDescent="0.2">
      <c r="A928" s="5">
        <v>867</v>
      </c>
      <c r="B928" s="138">
        <f>'Expenditures 15-22'!F73</f>
        <v>7276</v>
      </c>
      <c r="D928" s="2" t="str">
        <f t="shared" si="13"/>
        <v>Error?</v>
      </c>
    </row>
    <row r="929" spans="1:4" x14ac:dyDescent="0.2">
      <c r="A929" s="5">
        <v>868</v>
      </c>
      <c r="B929" s="138">
        <f>'Expenditures 15-22'!F74</f>
        <v>689659</v>
      </c>
      <c r="C929" s="2" t="s">
        <v>573</v>
      </c>
      <c r="D929" s="2" t="str">
        <f t="shared" si="13"/>
        <v>Error?</v>
      </c>
    </row>
    <row r="930" spans="1:4" x14ac:dyDescent="0.2">
      <c r="A930" s="5">
        <v>869</v>
      </c>
      <c r="B930" s="138">
        <f>'Expenditures 15-22'!F75</f>
        <v>10465</v>
      </c>
      <c r="D930" s="2" t="str">
        <f t="shared" si="13"/>
        <v>Error?</v>
      </c>
    </row>
    <row r="931" spans="1:4" x14ac:dyDescent="0.2">
      <c r="A931" s="5">
        <v>870</v>
      </c>
      <c r="B931" s="138">
        <f>'Expenditures 15-22'!F114</f>
        <v>2060553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50612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8686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113070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1498</v>
      </c>
      <c r="D965" s="2" t="str">
        <f t="shared" si="14"/>
        <v>Error?</v>
      </c>
    </row>
    <row r="966" spans="1:4" x14ac:dyDescent="0.2">
      <c r="A966" s="5">
        <v>905</v>
      </c>
      <c r="B966" s="138">
        <f>'Expenditures 15-22'!G53</f>
        <v>1498</v>
      </c>
      <c r="C966" s="2" t="s">
        <v>573</v>
      </c>
      <c r="D966" s="2" t="str">
        <f t="shared" si="14"/>
        <v>Error?</v>
      </c>
    </row>
    <row r="967" spans="1:4" x14ac:dyDescent="0.2">
      <c r="A967" s="5">
        <v>906</v>
      </c>
      <c r="B967" s="138">
        <f>'Expenditures 15-22'!G55</f>
        <v>1938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1938</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5315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5315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755807</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755807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764558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877628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39225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6115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1258633</v>
      </c>
      <c r="C1010" s="2" t="s">
        <v>573</v>
      </c>
      <c r="D1010" s="2" t="str">
        <f t="shared" si="14"/>
        <v>Error?</v>
      </c>
    </row>
    <row r="1011" spans="1:4" x14ac:dyDescent="0.2">
      <c r="A1011" s="5">
        <v>950</v>
      </c>
      <c r="B1011" s="138">
        <f>'Expenditures 15-22'!H36</f>
        <v>59</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1450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1509</v>
      </c>
      <c r="C1017" s="2" t="s">
        <v>573</v>
      </c>
      <c r="D1017" s="2" t="str">
        <f t="shared" si="14"/>
        <v>Error?</v>
      </c>
    </row>
    <row r="1018" spans="1:4" x14ac:dyDescent="0.2">
      <c r="A1018" s="5">
        <v>957</v>
      </c>
      <c r="B1018" s="138">
        <f>'Expenditures 15-22'!H44</f>
        <v>68116</v>
      </c>
      <c r="D1018" s="2" t="str">
        <f t="shared" si="14"/>
        <v>Error?</v>
      </c>
    </row>
    <row r="1019" spans="1:4" x14ac:dyDescent="0.2">
      <c r="A1019" s="5">
        <v>958</v>
      </c>
      <c r="B1019" s="138">
        <f>'Expenditures 15-22'!H45</f>
        <v>2253</v>
      </c>
      <c r="D1019" s="2" t="str">
        <f t="shared" si="14"/>
        <v>Error?</v>
      </c>
    </row>
    <row r="1020" spans="1:4" x14ac:dyDescent="0.2">
      <c r="A1020" s="5">
        <v>959</v>
      </c>
      <c r="B1020" s="138">
        <f>'Expenditures 15-22'!H46</f>
        <v>2000</v>
      </c>
      <c r="D1020" s="2" t="str">
        <f t="shared" si="14"/>
        <v>Error?</v>
      </c>
    </row>
    <row r="1021" spans="1:4" x14ac:dyDescent="0.2">
      <c r="A1021" s="5">
        <v>960</v>
      </c>
      <c r="B1021" s="138">
        <f>'Expenditures 15-22'!H47</f>
        <v>72369</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17325</v>
      </c>
      <c r="D1023" s="2" t="str">
        <f t="shared" ref="D1023:D1086" si="15">IF(ISBLANK(B1023),"OK",IF(A1023-B1023=0,"OK","Error?"))</f>
        <v>Error?</v>
      </c>
    </row>
    <row r="1024" spans="1:4" x14ac:dyDescent="0.2">
      <c r="A1024" s="5">
        <v>963</v>
      </c>
      <c r="B1024" s="138">
        <f>'Expenditures 15-22'!H53</f>
        <v>18103</v>
      </c>
      <c r="C1024" s="2" t="s">
        <v>573</v>
      </c>
      <c r="D1024" s="2" t="str">
        <f t="shared" si="15"/>
        <v>Error?</v>
      </c>
    </row>
    <row r="1025" spans="1:4" x14ac:dyDescent="0.2">
      <c r="A1025" s="5">
        <v>964</v>
      </c>
      <c r="B1025" s="138">
        <f>'Expenditures 15-22'!H55</f>
        <v>13307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13307</v>
      </c>
      <c r="C1027" s="2" t="s">
        <v>573</v>
      </c>
      <c r="D1027" s="2" t="str">
        <f t="shared" si="15"/>
        <v>Error?</v>
      </c>
    </row>
    <row r="1028" spans="1:4" x14ac:dyDescent="0.2">
      <c r="A1028" s="5">
        <v>967</v>
      </c>
      <c r="B1028" s="138">
        <f>'Expenditures 15-22'!H59</f>
        <v>9494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9494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5977</v>
      </c>
      <c r="D1038" s="2" t="str">
        <f t="shared" si="15"/>
        <v>Error?</v>
      </c>
    </row>
    <row r="1039" spans="1:4" x14ac:dyDescent="0.2">
      <c r="A1039" s="5">
        <v>978</v>
      </c>
      <c r="B1039" s="138">
        <f>'Expenditures 15-22'!H70</f>
        <v>43222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49199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163981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25498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1448112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30035231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10190229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199145</v>
      </c>
      <c r="C1106" s="2" t="s">
        <v>573</v>
      </c>
      <c r="D1106" s="2" t="str">
        <f t="shared" si="16"/>
        <v>Error?</v>
      </c>
    </row>
    <row r="1107" spans="1:4" x14ac:dyDescent="0.2">
      <c r="A1107" s="5">
        <v>1046</v>
      </c>
      <c r="B1107" s="138">
        <f>'Expenditures 15-22'!K15</f>
        <v>9545</v>
      </c>
      <c r="C1107" s="2" t="s">
        <v>573</v>
      </c>
      <c r="D1107" s="2" t="str">
        <f t="shared" si="16"/>
        <v>Error?</v>
      </c>
    </row>
    <row r="1108" spans="1:4" x14ac:dyDescent="0.2">
      <c r="A1108" s="5">
        <v>1047</v>
      </c>
      <c r="B1108" s="138">
        <f>'Expenditures 15-22'!K33</f>
        <v>53354903</v>
      </c>
      <c r="C1108" s="2" t="s">
        <v>573</v>
      </c>
      <c r="D1108" s="2" t="str">
        <f t="shared" si="16"/>
        <v>Error?</v>
      </c>
    </row>
    <row r="1109" spans="1:4" x14ac:dyDescent="0.2">
      <c r="A1109" s="5">
        <v>1048</v>
      </c>
      <c r="B1109" s="138">
        <f>'Expenditures 15-22'!K36</f>
        <v>2185725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2094967</v>
      </c>
      <c r="C1111" s="2" t="s">
        <v>573</v>
      </c>
      <c r="D1111" s="2" t="str">
        <f t="shared" si="16"/>
        <v>Error?</v>
      </c>
    </row>
    <row r="1112" spans="1:4" x14ac:dyDescent="0.2">
      <c r="A1112" s="5">
        <v>1051</v>
      </c>
      <c r="B1112" s="138">
        <f>'Expenditures 15-22'!K39</f>
        <v>1142806</v>
      </c>
      <c r="C1112" s="2" t="s">
        <v>573</v>
      </c>
      <c r="D1112" s="2" t="str">
        <f t="shared" si="16"/>
        <v>Error?</v>
      </c>
    </row>
    <row r="1113" spans="1:4" x14ac:dyDescent="0.2">
      <c r="A1113" s="5">
        <v>1052</v>
      </c>
      <c r="B1113" s="138">
        <f>'Expenditures 15-22'!K40</f>
        <v>1689702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7113200</v>
      </c>
      <c r="C1115" s="2" t="s">
        <v>573</v>
      </c>
      <c r="D1115" s="2" t="str">
        <f t="shared" si="16"/>
        <v>Error?</v>
      </c>
    </row>
    <row r="1116" spans="1:4" x14ac:dyDescent="0.2">
      <c r="A1116" s="5">
        <v>1055</v>
      </c>
      <c r="B1116" s="138">
        <f>'Expenditures 15-22'!K44</f>
        <v>1844916</v>
      </c>
      <c r="C1116" s="2" t="s">
        <v>573</v>
      </c>
      <c r="D1116" s="2" t="str">
        <f t="shared" si="16"/>
        <v>Error?</v>
      </c>
    </row>
    <row r="1117" spans="1:4" x14ac:dyDescent="0.2">
      <c r="A1117" s="5">
        <v>1056</v>
      </c>
      <c r="B1117" s="138">
        <f>'Expenditures 15-22'!K45</f>
        <v>3687466</v>
      </c>
      <c r="C1117" s="2" t="s">
        <v>573</v>
      </c>
      <c r="D1117" s="2" t="str">
        <f t="shared" si="16"/>
        <v>Error?</v>
      </c>
    </row>
    <row r="1118" spans="1:4" x14ac:dyDescent="0.2">
      <c r="A1118" s="5">
        <v>1057</v>
      </c>
      <c r="B1118" s="138">
        <f>'Expenditures 15-22'!K46</f>
        <v>349482</v>
      </c>
      <c r="C1118" s="2" t="s">
        <v>573</v>
      </c>
      <c r="D1118" s="2" t="str">
        <f t="shared" si="16"/>
        <v>Error?</v>
      </c>
    </row>
    <row r="1119" spans="1:4" x14ac:dyDescent="0.2">
      <c r="A1119" s="5">
        <v>1058</v>
      </c>
      <c r="B1119" s="138">
        <f>'Expenditures 15-22'!K47</f>
        <v>5881864</v>
      </c>
      <c r="C1119" s="2" t="s">
        <v>573</v>
      </c>
      <c r="D1119" s="2" t="str">
        <f t="shared" si="16"/>
        <v>Error?</v>
      </c>
    </row>
    <row r="1120" spans="1:4" x14ac:dyDescent="0.2">
      <c r="A1120" s="5">
        <v>1059</v>
      </c>
      <c r="B1120" s="138">
        <f>'Expenditures 15-22'!K49</f>
        <v>258212</v>
      </c>
      <c r="C1120" s="2" t="s">
        <v>573</v>
      </c>
      <c r="D1120" s="2" t="str">
        <f t="shared" si="16"/>
        <v>Error?</v>
      </c>
    </row>
    <row r="1121" spans="1:4" x14ac:dyDescent="0.2">
      <c r="A1121" s="5">
        <v>1060</v>
      </c>
      <c r="B1121" s="138">
        <f>'Expenditures 15-22'!K50</f>
        <v>402152</v>
      </c>
      <c r="C1121" s="2" t="s">
        <v>573</v>
      </c>
      <c r="D1121" s="2" t="str">
        <f t="shared" si="16"/>
        <v>Error?</v>
      </c>
    </row>
    <row r="1122" spans="1:4" x14ac:dyDescent="0.2">
      <c r="A1122" s="5">
        <v>1061</v>
      </c>
      <c r="B1122" s="138">
        <f>'Expenditures 15-22'!K53</f>
        <v>1372893</v>
      </c>
      <c r="C1122" s="2" t="s">
        <v>573</v>
      </c>
      <c r="D1122" s="2" t="str">
        <f t="shared" si="16"/>
        <v>Error?</v>
      </c>
    </row>
    <row r="1123" spans="1:4" x14ac:dyDescent="0.2">
      <c r="A1123" s="5">
        <v>1062</v>
      </c>
      <c r="B1123" s="138">
        <f>'Expenditures 15-22'!K55</f>
        <v>3380811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3380811</v>
      </c>
      <c r="C1125" s="2" t="s">
        <v>573</v>
      </c>
      <c r="D1125" s="2" t="str">
        <f t="shared" si="16"/>
        <v>Error?</v>
      </c>
    </row>
    <row r="1126" spans="1:4" x14ac:dyDescent="0.2">
      <c r="A1126" s="5">
        <v>1065</v>
      </c>
      <c r="B1126" s="138">
        <f>'Expenditures 15-22'!K59</f>
        <v>959237</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191205</v>
      </c>
      <c r="C1129" s="2" t="s">
        <v>573</v>
      </c>
      <c r="D1129" s="2" t="str">
        <f t="shared" si="16"/>
        <v>Error?</v>
      </c>
    </row>
    <row r="1130" spans="1:4" x14ac:dyDescent="0.2">
      <c r="A1130" s="5">
        <v>1069</v>
      </c>
      <c r="B1130" s="138">
        <f>'Expenditures 15-22'!K63</f>
        <v>3152559</v>
      </c>
      <c r="C1130" s="2" t="s">
        <v>573</v>
      </c>
      <c r="D1130" s="2" t="str">
        <f t="shared" si="16"/>
        <v>Error?</v>
      </c>
    </row>
    <row r="1131" spans="1:4" x14ac:dyDescent="0.2">
      <c r="A1131" s="5">
        <v>1070</v>
      </c>
      <c r="B1131" s="138">
        <f>'Expenditures 15-22'!K64</f>
        <v>307933</v>
      </c>
      <c r="C1131" s="2" t="s">
        <v>573</v>
      </c>
      <c r="D1131" s="2" t="str">
        <f t="shared" si="16"/>
        <v>Error?</v>
      </c>
    </row>
    <row r="1132" spans="1:4" x14ac:dyDescent="0.2">
      <c r="A1132" s="10">
        <v>1071</v>
      </c>
      <c r="D1132" s="2" t="str">
        <f t="shared" si="16"/>
        <v>OK</v>
      </c>
    </row>
    <row r="1133" spans="1:4" x14ac:dyDescent="0.2">
      <c r="A1133" s="5">
        <v>1072</v>
      </c>
      <c r="B1133" s="138">
        <f>'Expenditures 15-22'!K65</f>
        <v>4610934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3215809</v>
      </c>
      <c r="C1136" s="2" t="s">
        <v>573</v>
      </c>
      <c r="D1136" s="2" t="str">
        <f t="shared" si="16"/>
        <v>Error?</v>
      </c>
    </row>
    <row r="1137" spans="1:4" x14ac:dyDescent="0.2">
      <c r="A1137" s="5">
        <v>1076</v>
      </c>
      <c r="B1137" s="138">
        <f>'Expenditures 15-22'!K70</f>
        <v>566298</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3782107</v>
      </c>
      <c r="C1141" s="2" t="s">
        <v>573</v>
      </c>
      <c r="D1141" s="2" t="str">
        <f t="shared" si="16"/>
        <v>Error?</v>
      </c>
    </row>
    <row r="1142" spans="1:4" x14ac:dyDescent="0.2">
      <c r="A1142" s="5">
        <v>1081</v>
      </c>
      <c r="B1142" s="138">
        <f>'Expenditures 15-22'!K73</f>
        <v>7276</v>
      </c>
      <c r="C1142" s="2" t="s">
        <v>573</v>
      </c>
      <c r="D1142" s="2" t="str">
        <f t="shared" si="16"/>
        <v>Error?</v>
      </c>
    </row>
    <row r="1143" spans="1:4" x14ac:dyDescent="0.2">
      <c r="A1143" s="5">
        <v>1082</v>
      </c>
      <c r="B1143" s="138">
        <f>'Expenditures 15-22'!K74</f>
        <v>26149085</v>
      </c>
      <c r="C1143" s="2" t="s">
        <v>573</v>
      </c>
      <c r="D1143" s="2" t="str">
        <f t="shared" si="16"/>
        <v>Error?</v>
      </c>
    </row>
    <row r="1144" spans="1:4" x14ac:dyDescent="0.2">
      <c r="A1144" s="5">
        <v>1083</v>
      </c>
      <c r="B1144" s="138">
        <f>'Expenditures 15-22'!K75</f>
        <v>249828</v>
      </c>
      <c r="C1144" s="2" t="s">
        <v>573</v>
      </c>
      <c r="D1144" s="2" t="str">
        <f t="shared" si="16"/>
        <v>Error?</v>
      </c>
    </row>
    <row r="1145" spans="1:4" x14ac:dyDescent="0.2">
      <c r="A1145" s="5">
        <v>1084</v>
      </c>
      <c r="B1145" s="138">
        <f>'Expenditures 15-22'!K102</f>
        <v>265029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80018845</v>
      </c>
      <c r="C1152" s="2" t="s">
        <v>573</v>
      </c>
      <c r="D1152" s="2" t="str">
        <f t="shared" si="17"/>
        <v>Error?</v>
      </c>
    </row>
    <row r="1153" spans="1:4" x14ac:dyDescent="0.2">
      <c r="A1153" s="5">
        <v>1092</v>
      </c>
      <c r="B1153" s="138">
        <f>'Expenditures 15-22'!K115</f>
        <v>12314294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4506795</v>
      </c>
      <c r="D1221" s="2" t="str">
        <f t="shared" si="18"/>
        <v>Error?</v>
      </c>
    </row>
    <row r="1222" spans="1:4" x14ac:dyDescent="0.2">
      <c r="A1222" s="10">
        <v>1161</v>
      </c>
      <c r="D1222" s="2" t="str">
        <f t="shared" si="18"/>
        <v>OK</v>
      </c>
    </row>
    <row r="1223" spans="1:4" x14ac:dyDescent="0.2">
      <c r="A1223" s="5">
        <v>1162</v>
      </c>
      <c r="B1223" s="138">
        <f>'Expenditures 15-22'!C127</f>
        <v>4506795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4506795</v>
      </c>
      <c r="C1225" s="2" t="s">
        <v>573</v>
      </c>
      <c r="D1225" s="2" t="str">
        <f t="shared" si="18"/>
        <v>Error?</v>
      </c>
    </row>
    <row r="1226" spans="1:4" x14ac:dyDescent="0.2">
      <c r="A1226" s="5">
        <v>1165</v>
      </c>
      <c r="B1226" s="138">
        <f>'Expenditures 15-22'!C151</f>
        <v>4506795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958579</v>
      </c>
      <c r="D1229" s="2" t="str">
        <f t="shared" si="18"/>
        <v>Error?</v>
      </c>
    </row>
    <row r="1230" spans="1:4" x14ac:dyDescent="0.2">
      <c r="A1230" s="10">
        <v>1169</v>
      </c>
      <c r="D1230" s="2" t="str">
        <f t="shared" si="18"/>
        <v>OK</v>
      </c>
    </row>
    <row r="1231" spans="1:4" x14ac:dyDescent="0.2">
      <c r="A1231" s="5">
        <v>1170</v>
      </c>
      <c r="B1231" s="138">
        <f>'Expenditures 15-22'!D127</f>
        <v>958579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958579</v>
      </c>
      <c r="C1233" s="2" t="s">
        <v>573</v>
      </c>
      <c r="D1233" s="2" t="str">
        <f t="shared" si="18"/>
        <v>Error?</v>
      </c>
    </row>
    <row r="1234" spans="1:4" x14ac:dyDescent="0.2">
      <c r="A1234" s="5">
        <v>1173</v>
      </c>
      <c r="B1234" s="138">
        <f>'Expenditures 15-22'!D151</f>
        <v>958579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36031</v>
      </c>
      <c r="D1236" s="2" t="str">
        <f t="shared" si="18"/>
        <v>Error?</v>
      </c>
    </row>
    <row r="1237" spans="1:4" x14ac:dyDescent="0.2">
      <c r="A1237" s="5">
        <v>1176</v>
      </c>
      <c r="B1237" s="138">
        <f>'Expenditures 15-22'!E124</f>
        <v>715684</v>
      </c>
      <c r="D1237" s="2" t="str">
        <f t="shared" si="18"/>
        <v>Error?</v>
      </c>
    </row>
    <row r="1238" spans="1:4" x14ac:dyDescent="0.2">
      <c r="A1238" s="10">
        <v>1177</v>
      </c>
      <c r="D1238" s="2" t="str">
        <f t="shared" si="18"/>
        <v>OK</v>
      </c>
    </row>
    <row r="1239" spans="1:4" x14ac:dyDescent="0.2">
      <c r="A1239" s="5">
        <v>1178</v>
      </c>
      <c r="B1239" s="138">
        <f>'Expenditures 15-22'!E127</f>
        <v>751715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751715</v>
      </c>
      <c r="C1241" s="2" t="s">
        <v>573</v>
      </c>
      <c r="D1241" s="2" t="str">
        <f t="shared" si="18"/>
        <v>Error?</v>
      </c>
    </row>
    <row r="1242" spans="1:4" x14ac:dyDescent="0.2">
      <c r="A1242" s="5">
        <v>1181</v>
      </c>
      <c r="B1242" s="138">
        <f>'Expenditures 15-22'!E151</f>
        <v>751715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27488</v>
      </c>
      <c r="D1244" s="2" t="str">
        <f t="shared" si="18"/>
        <v>Error?</v>
      </c>
    </row>
    <row r="1245" spans="1:4" x14ac:dyDescent="0.2">
      <c r="A1245" s="5">
        <v>1184</v>
      </c>
      <c r="B1245" s="138">
        <f>'Expenditures 15-22'!F124</f>
        <v>1321165</v>
      </c>
      <c r="D1245" s="2" t="str">
        <f t="shared" si="18"/>
        <v>Error?</v>
      </c>
    </row>
    <row r="1246" spans="1:4" x14ac:dyDescent="0.2">
      <c r="A1246" s="10">
        <v>1185</v>
      </c>
      <c r="D1246" s="2" t="str">
        <f t="shared" si="18"/>
        <v>OK</v>
      </c>
    </row>
    <row r="1247" spans="1:4" x14ac:dyDescent="0.2">
      <c r="A1247" s="5">
        <v>1186</v>
      </c>
      <c r="B1247" s="138">
        <f>'Expenditures 15-22'!F127</f>
        <v>1348653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1348653</v>
      </c>
      <c r="C1249" s="2" t="s">
        <v>573</v>
      </c>
      <c r="D1249" s="2" t="str">
        <f t="shared" si="18"/>
        <v>Error?</v>
      </c>
    </row>
    <row r="1250" spans="1:4" x14ac:dyDescent="0.2">
      <c r="A1250" s="5">
        <v>1189</v>
      </c>
      <c r="B1250" s="138">
        <f>'Expenditures 15-22'!F151</f>
        <v>1348653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150829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150829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150829</v>
      </c>
      <c r="C1258" s="2" t="s">
        <v>573</v>
      </c>
      <c r="D1258" s="2" t="str">
        <f t="shared" si="18"/>
        <v>Error?</v>
      </c>
    </row>
    <row r="1259" spans="1:4" x14ac:dyDescent="0.2">
      <c r="A1259" s="5">
        <v>1198</v>
      </c>
      <c r="B1259" s="138">
        <f>'Expenditures 15-22'!G151</f>
        <v>150829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9180</v>
      </c>
      <c r="D1262" s="2" t="str">
        <f t="shared" si="18"/>
        <v>Error?</v>
      </c>
    </row>
    <row r="1263" spans="1:4" x14ac:dyDescent="0.2">
      <c r="A1263" s="10">
        <v>1202</v>
      </c>
      <c r="D1263" s="2" t="str">
        <f t="shared" si="18"/>
        <v>OK</v>
      </c>
    </row>
    <row r="1264" spans="1:4" x14ac:dyDescent="0.2">
      <c r="A1264" s="5">
        <v>1203</v>
      </c>
      <c r="B1264" s="138">
        <f>'Expenditures 15-22'!H127</f>
        <v>9180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9180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9180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63519</v>
      </c>
      <c r="C1275" s="2" t="s">
        <v>573</v>
      </c>
      <c r="D1275" s="2" t="str">
        <f t="shared" si="18"/>
        <v>Error?</v>
      </c>
    </row>
    <row r="1276" spans="1:4" x14ac:dyDescent="0.2">
      <c r="A1276" s="5">
        <v>1215</v>
      </c>
      <c r="B1276" s="138">
        <f>'Expenditures 15-22'!K124</f>
        <v>7669071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7732590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7732590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7732590</v>
      </c>
      <c r="C1288" s="2" t="s">
        <v>573</v>
      </c>
      <c r="D1288" s="2" t="str">
        <f t="shared" si="19"/>
        <v>Error?</v>
      </c>
    </row>
    <row r="1289" spans="1:4" x14ac:dyDescent="0.2">
      <c r="A1289" s="5">
        <v>1228</v>
      </c>
      <c r="B1289" s="138">
        <f>'Expenditures 15-22'!K152</f>
        <v>-67600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1388516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4327546</v>
      </c>
      <c r="D1315" s="2" t="str">
        <f t="shared" si="19"/>
        <v>Error?</v>
      </c>
    </row>
    <row r="1316" spans="1:4" x14ac:dyDescent="0.2">
      <c r="A1316" s="5">
        <v>1255</v>
      </c>
      <c r="B1316" s="138">
        <f>'Expenditures 15-22'!H171</f>
        <v>3265</v>
      </c>
      <c r="D1316" s="2" t="str">
        <f t="shared" si="19"/>
        <v>Error?</v>
      </c>
    </row>
    <row r="1317" spans="1:4" x14ac:dyDescent="0.2">
      <c r="A1317" s="5">
        <v>1256</v>
      </c>
      <c r="B1317" s="138">
        <f>'Expenditures 15-22'!H172</f>
        <v>5719327</v>
      </c>
      <c r="C1317" s="2" t="s">
        <v>573</v>
      </c>
      <c r="D1317" s="2" t="str">
        <f t="shared" si="19"/>
        <v>Error?</v>
      </c>
    </row>
    <row r="1318" spans="1:4" x14ac:dyDescent="0.2">
      <c r="A1318" s="5">
        <v>1257</v>
      </c>
      <c r="B1318" s="138">
        <f>'Expenditures 15-22'!H174</f>
        <v>5719327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1388516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4327546</v>
      </c>
      <c r="C1329" s="2" t="s">
        <v>573</v>
      </c>
      <c r="D1329" s="2" t="str">
        <f t="shared" si="19"/>
        <v>Error?</v>
      </c>
    </row>
    <row r="1330" spans="1:4" x14ac:dyDescent="0.2">
      <c r="A1330" s="5">
        <v>1269</v>
      </c>
      <c r="B1330" s="138">
        <f>'Expenditures 15-22'!K171</f>
        <v>3265</v>
      </c>
      <c r="C1330" s="2" t="s">
        <v>573</v>
      </c>
      <c r="D1330" s="2" t="str">
        <f t="shared" si="19"/>
        <v>Error?</v>
      </c>
    </row>
    <row r="1331" spans="1:4" x14ac:dyDescent="0.2">
      <c r="A1331" s="5">
        <v>1270</v>
      </c>
      <c r="B1331" s="138">
        <f>'Expenditures 15-22'!K172</f>
        <v>5719327</v>
      </c>
      <c r="C1331" s="2" t="s">
        <v>573</v>
      </c>
      <c r="D1331" s="2" t="str">
        <f t="shared" si="19"/>
        <v>Error?</v>
      </c>
    </row>
    <row r="1332" spans="1:4" x14ac:dyDescent="0.2">
      <c r="A1332" s="5">
        <v>1271</v>
      </c>
      <c r="B1332" s="138">
        <f>'Expenditures 15-22'!K174</f>
        <v>5719327</v>
      </c>
      <c r="C1332" s="2" t="s">
        <v>573</v>
      </c>
      <c r="D1332" s="2" t="str">
        <f t="shared" si="19"/>
        <v>Error?</v>
      </c>
    </row>
    <row r="1333" spans="1:4" x14ac:dyDescent="0.2">
      <c r="A1333" s="5">
        <v>1272</v>
      </c>
      <c r="B1333" s="138">
        <f>'Expenditures 15-22'!K175</f>
        <v>-76160</v>
      </c>
      <c r="C1333" s="2" t="s">
        <v>573</v>
      </c>
      <c r="D1333" s="2" t="str">
        <f t="shared" si="19"/>
        <v>Error?</v>
      </c>
    </row>
    <row r="1334" spans="1:4" x14ac:dyDescent="0.2">
      <c r="A1334" s="10">
        <v>1273</v>
      </c>
      <c r="D1334" s="2" t="str">
        <f t="shared" si="19"/>
        <v>OK</v>
      </c>
    </row>
    <row r="1335" spans="1:4" x14ac:dyDescent="0.2">
      <c r="A1335" s="5">
        <v>1274</v>
      </c>
      <c r="B1335" s="138">
        <f>'Expenditures 15-22'!C182</f>
        <v>129788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129788</v>
      </c>
      <c r="C1339" s="2" t="s">
        <v>573</v>
      </c>
      <c r="D1339" s="2" t="str">
        <f t="shared" si="19"/>
        <v>Error?</v>
      </c>
    </row>
    <row r="1340" spans="1:4" x14ac:dyDescent="0.2">
      <c r="A1340" s="5">
        <v>1279</v>
      </c>
      <c r="B1340" s="138">
        <f>'Expenditures 15-22'!C210</f>
        <v>129788</v>
      </c>
      <c r="C1340" s="2" t="s">
        <v>573</v>
      </c>
      <c r="D1340" s="2" t="str">
        <f t="shared" si="19"/>
        <v>Error?</v>
      </c>
    </row>
    <row r="1341" spans="1:4" x14ac:dyDescent="0.2">
      <c r="A1341" s="5">
        <v>1280</v>
      </c>
      <c r="B1341" s="138">
        <f>'Expenditures 15-22'!D182</f>
        <v>8617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8617</v>
      </c>
      <c r="C1345" s="2" t="s">
        <v>573</v>
      </c>
      <c r="D1345" s="2" t="str">
        <f t="shared" si="20"/>
        <v>Error?</v>
      </c>
    </row>
    <row r="1346" spans="1:4" x14ac:dyDescent="0.2">
      <c r="A1346" s="5">
        <v>1285</v>
      </c>
      <c r="B1346" s="138">
        <f>'Expenditures 15-22'!D210</f>
        <v>8617</v>
      </c>
      <c r="C1346" s="2" t="s">
        <v>573</v>
      </c>
      <c r="D1346" s="2" t="str">
        <f t="shared" si="20"/>
        <v>Error?</v>
      </c>
    </row>
    <row r="1347" spans="1:4" x14ac:dyDescent="0.2">
      <c r="A1347" s="5">
        <v>1286</v>
      </c>
      <c r="B1347" s="138">
        <f>'Expenditures 15-22'!E182</f>
        <v>4102850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4102850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4102850</v>
      </c>
      <c r="C1353" s="2" t="s">
        <v>573</v>
      </c>
      <c r="D1353" s="2" t="str">
        <f t="shared" si="20"/>
        <v>Error?</v>
      </c>
    </row>
    <row r="1354" spans="1:4" x14ac:dyDescent="0.2">
      <c r="A1354" s="5">
        <v>1293</v>
      </c>
      <c r="B1354" s="138">
        <f>'Expenditures 15-22'!F182</f>
        <v>179630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179630</v>
      </c>
      <c r="C1358" s="2" t="s">
        <v>573</v>
      </c>
      <c r="D1358" s="2" t="str">
        <f t="shared" si="20"/>
        <v>Error?</v>
      </c>
    </row>
    <row r="1359" spans="1:4" x14ac:dyDescent="0.2">
      <c r="A1359" s="5">
        <v>1298</v>
      </c>
      <c r="B1359" s="138">
        <f>'Expenditures 15-22'!F210</f>
        <v>179630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4420885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4420885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4420885</v>
      </c>
      <c r="C1388" s="2" t="s">
        <v>573</v>
      </c>
      <c r="D1388" s="2" t="str">
        <f t="shared" si="20"/>
        <v>Error?</v>
      </c>
    </row>
    <row r="1389" spans="1:4" x14ac:dyDescent="0.2">
      <c r="A1389" s="5">
        <v>1328</v>
      </c>
      <c r="B1389" s="138">
        <f>'Expenditures 15-22'!K211</f>
        <v>2879629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124350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3315</v>
      </c>
      <c r="D1408" s="2" t="str">
        <f t="shared" si="21"/>
        <v>Error?</v>
      </c>
    </row>
    <row r="1409" spans="1:4" x14ac:dyDescent="0.2">
      <c r="A1409" s="5">
        <v>1348</v>
      </c>
      <c r="B1409" s="138">
        <f>'Expenditures 15-22'!D224</f>
        <v>145</v>
      </c>
      <c r="D1409" s="2" t="str">
        <f t="shared" si="21"/>
        <v>Error?</v>
      </c>
    </row>
    <row r="1410" spans="1:4" x14ac:dyDescent="0.2">
      <c r="A1410" s="5">
        <v>1349</v>
      </c>
      <c r="B1410" s="138">
        <f>'Expenditures 15-22'!D229</f>
        <v>1110660</v>
      </c>
      <c r="C1410" s="2" t="s">
        <v>573</v>
      </c>
      <c r="D1410" s="2" t="str">
        <f t="shared" si="21"/>
        <v>Error?</v>
      </c>
    </row>
    <row r="1411" spans="1:4" x14ac:dyDescent="0.2">
      <c r="A1411" s="5">
        <v>1350</v>
      </c>
      <c r="B1411" s="138">
        <f>'Expenditures 15-22'!D232</f>
        <v>25944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256015</v>
      </c>
      <c r="D1413" s="2" t="str">
        <f t="shared" si="21"/>
        <v>Error?</v>
      </c>
    </row>
    <row r="1414" spans="1:4" x14ac:dyDescent="0.2">
      <c r="A1414" s="5">
        <v>1353</v>
      </c>
      <c r="B1414" s="138">
        <f>'Expenditures 15-22'!D235</f>
        <v>13787</v>
      </c>
      <c r="D1414" s="2" t="str">
        <f t="shared" si="21"/>
        <v>Error?</v>
      </c>
    </row>
    <row r="1415" spans="1:4" x14ac:dyDescent="0.2">
      <c r="A1415" s="5">
        <v>1354</v>
      </c>
      <c r="B1415" s="138">
        <f>'Expenditures 15-22'!D236</f>
        <v>19800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315546</v>
      </c>
      <c r="C1417" s="2" t="s">
        <v>573</v>
      </c>
      <c r="D1417" s="2" t="str">
        <f t="shared" si="21"/>
        <v>Error?</v>
      </c>
    </row>
    <row r="1418" spans="1:4" x14ac:dyDescent="0.2">
      <c r="A1418" s="5">
        <v>1357</v>
      </c>
      <c r="B1418" s="138">
        <f>'Expenditures 15-22'!D240</f>
        <v>46201</v>
      </c>
      <c r="D1418" s="2" t="str">
        <f t="shared" si="21"/>
        <v>Error?</v>
      </c>
    </row>
    <row r="1419" spans="1:4" x14ac:dyDescent="0.2">
      <c r="A1419" s="5">
        <v>1358</v>
      </c>
      <c r="B1419" s="138">
        <f>'Expenditures 15-22'!D241</f>
        <v>104065</v>
      </c>
      <c r="D1419" s="2" t="str">
        <f t="shared" si="21"/>
        <v>Error?</v>
      </c>
    </row>
    <row r="1420" spans="1:4" x14ac:dyDescent="0.2">
      <c r="A1420" s="5">
        <v>1359</v>
      </c>
      <c r="B1420" s="138">
        <f>'Expenditures 15-22'!D242</f>
        <v>2905</v>
      </c>
      <c r="D1420" s="2" t="str">
        <f t="shared" si="21"/>
        <v>Error?</v>
      </c>
    </row>
    <row r="1421" spans="1:4" x14ac:dyDescent="0.2">
      <c r="A1421" s="5">
        <v>1360</v>
      </c>
      <c r="B1421" s="138">
        <f>'Expenditures 15-22'!D243</f>
        <v>153171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17830</v>
      </c>
      <c r="D1423" s="2" t="str">
        <f t="shared" si="21"/>
        <v>Error?</v>
      </c>
    </row>
    <row r="1424" spans="1:4" x14ac:dyDescent="0.2">
      <c r="A1424" s="5">
        <v>1363</v>
      </c>
      <c r="B1424" s="138">
        <f>'Expenditures 15-22'!D257</f>
        <v>51840</v>
      </c>
      <c r="C1424" s="2" t="s">
        <v>573</v>
      </c>
      <c r="D1424" s="2" t="str">
        <f t="shared" si="21"/>
        <v>Error?</v>
      </c>
    </row>
    <row r="1425" spans="1:4" x14ac:dyDescent="0.2">
      <c r="A1425" s="5">
        <v>1364</v>
      </c>
      <c r="B1425" s="138">
        <f>'Expenditures 15-22'!D259</f>
        <v>166228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166228</v>
      </c>
      <c r="C1427" s="2" t="s">
        <v>573</v>
      </c>
      <c r="D1427" s="2" t="str">
        <f t="shared" si="21"/>
        <v>Error?</v>
      </c>
    </row>
    <row r="1428" spans="1:4" x14ac:dyDescent="0.2">
      <c r="A1428" s="5">
        <v>1367</v>
      </c>
      <c r="B1428" s="138">
        <f>'Expenditures 15-22'!D263</f>
        <v>102544</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945449</v>
      </c>
      <c r="D1431" s="2" t="str">
        <f t="shared" si="21"/>
        <v>Error?</v>
      </c>
    </row>
    <row r="1432" spans="1:4" x14ac:dyDescent="0.2">
      <c r="A1432" s="5">
        <v>1371</v>
      </c>
      <c r="B1432" s="138">
        <f>'Expenditures 15-22'!D267</f>
        <v>15319</v>
      </c>
      <c r="D1432" s="2" t="str">
        <f t="shared" si="21"/>
        <v>Error?</v>
      </c>
    </row>
    <row r="1433" spans="1:4" x14ac:dyDescent="0.2">
      <c r="A1433" s="5">
        <v>1372</v>
      </c>
      <c r="B1433" s="138">
        <f>'Expenditures 15-22'!D268</f>
        <v>19316</v>
      </c>
      <c r="D1433" s="2" t="str">
        <f t="shared" si="21"/>
        <v>Error?</v>
      </c>
    </row>
    <row r="1434" spans="1:4" x14ac:dyDescent="0.2">
      <c r="A1434" s="5">
        <v>1373</v>
      </c>
      <c r="B1434" s="138">
        <f>'Expenditures 15-22'!D269</f>
        <v>45561</v>
      </c>
      <c r="D1434" s="2" t="str">
        <f t="shared" si="21"/>
        <v>Error?</v>
      </c>
    </row>
    <row r="1435" spans="1:4" x14ac:dyDescent="0.2">
      <c r="A1435" s="10">
        <v>1374</v>
      </c>
      <c r="D1435" s="2" t="str">
        <f t="shared" si="21"/>
        <v>OK</v>
      </c>
    </row>
    <row r="1436" spans="1:4" x14ac:dyDescent="0.2">
      <c r="A1436" s="5">
        <v>1375</v>
      </c>
      <c r="B1436" s="138">
        <f>'Expenditures 15-22'!D270</f>
        <v>1128189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149174</v>
      </c>
      <c r="D1439" s="2" t="str">
        <f t="shared" si="21"/>
        <v>Error?</v>
      </c>
    </row>
    <row r="1440" spans="1:4" x14ac:dyDescent="0.2">
      <c r="A1440" s="5">
        <v>1379</v>
      </c>
      <c r="B1440" s="138">
        <f>'Expenditures 15-22'!D275</f>
        <v>47374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196548</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2011522</v>
      </c>
      <c r="C1446" s="2" t="s">
        <v>573</v>
      </c>
      <c r="D1446" s="2" t="str">
        <f t="shared" si="21"/>
        <v>Error?</v>
      </c>
    </row>
    <row r="1447" spans="1:4" x14ac:dyDescent="0.2">
      <c r="A1447" s="5">
        <v>1386</v>
      </c>
      <c r="B1447" s="138">
        <f>'Expenditures 15-22'!D280</f>
        <v>18064</v>
      </c>
      <c r="D1447" s="2" t="str">
        <f t="shared" si="21"/>
        <v>Error?</v>
      </c>
    </row>
    <row r="1448" spans="1:4" x14ac:dyDescent="0.2">
      <c r="A1448" s="5">
        <v>1387</v>
      </c>
      <c r="B1448" s="138">
        <f>'Expenditures 15-22'!D295</f>
        <v>3140246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124350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3315</v>
      </c>
      <c r="C1472" s="2" t="s">
        <v>573</v>
      </c>
      <c r="D1472" s="2" t="str">
        <f t="shared" si="22"/>
        <v>Error?</v>
      </c>
    </row>
    <row r="1473" spans="1:4" x14ac:dyDescent="0.2">
      <c r="A1473" s="5">
        <v>1412</v>
      </c>
      <c r="B1473" s="138">
        <f>'Expenditures 15-22'!K224</f>
        <v>145</v>
      </c>
      <c r="C1473" s="2" t="s">
        <v>573</v>
      </c>
      <c r="D1473" s="2" t="str">
        <f t="shared" si="22"/>
        <v>Error?</v>
      </c>
    </row>
    <row r="1474" spans="1:4" x14ac:dyDescent="0.2">
      <c r="A1474" s="5">
        <v>1413</v>
      </c>
      <c r="B1474" s="138">
        <f>'Expenditures 15-22'!K229</f>
        <v>1110660</v>
      </c>
      <c r="C1474" s="2" t="s">
        <v>573</v>
      </c>
      <c r="D1474" s="2" t="str">
        <f t="shared" si="22"/>
        <v>Error?</v>
      </c>
    </row>
    <row r="1475" spans="1:4" x14ac:dyDescent="0.2">
      <c r="A1475" s="5">
        <v>1414</v>
      </c>
      <c r="B1475" s="138">
        <f>'Expenditures 15-22'!K232</f>
        <v>25944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256015</v>
      </c>
      <c r="C1477" s="2" t="s">
        <v>573</v>
      </c>
      <c r="D1477" s="2" t="str">
        <f t="shared" si="22"/>
        <v>Error?</v>
      </c>
    </row>
    <row r="1478" spans="1:4" x14ac:dyDescent="0.2">
      <c r="A1478" s="5">
        <v>1417</v>
      </c>
      <c r="B1478" s="138">
        <f>'Expenditures 15-22'!K235</f>
        <v>13787</v>
      </c>
      <c r="C1478" s="2" t="s">
        <v>573</v>
      </c>
      <c r="D1478" s="2" t="str">
        <f t="shared" si="22"/>
        <v>Error?</v>
      </c>
    </row>
    <row r="1479" spans="1:4" x14ac:dyDescent="0.2">
      <c r="A1479" s="5">
        <v>1418</v>
      </c>
      <c r="B1479" s="138">
        <f>'Expenditures 15-22'!K236</f>
        <v>19800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315546</v>
      </c>
      <c r="C1481" s="2" t="s">
        <v>573</v>
      </c>
      <c r="D1481" s="2" t="str">
        <f t="shared" si="22"/>
        <v>Error?</v>
      </c>
    </row>
    <row r="1482" spans="1:4" x14ac:dyDescent="0.2">
      <c r="A1482" s="5">
        <v>1421</v>
      </c>
      <c r="B1482" s="138">
        <f>'Expenditures 15-22'!K240</f>
        <v>46201</v>
      </c>
      <c r="C1482" s="2" t="s">
        <v>573</v>
      </c>
      <c r="D1482" s="2" t="str">
        <f t="shared" si="22"/>
        <v>Error?</v>
      </c>
    </row>
    <row r="1483" spans="1:4" x14ac:dyDescent="0.2">
      <c r="A1483" s="5">
        <v>1422</v>
      </c>
      <c r="B1483" s="138">
        <f>'Expenditures 15-22'!K241</f>
        <v>104065</v>
      </c>
      <c r="C1483" s="2" t="s">
        <v>573</v>
      </c>
      <c r="D1483" s="2" t="str">
        <f t="shared" si="22"/>
        <v>Error?</v>
      </c>
    </row>
    <row r="1484" spans="1:4" x14ac:dyDescent="0.2">
      <c r="A1484" s="5">
        <v>1423</v>
      </c>
      <c r="B1484" s="138">
        <f>'Expenditures 15-22'!K242</f>
        <v>2905</v>
      </c>
      <c r="C1484" s="2" t="s">
        <v>573</v>
      </c>
      <c r="D1484" s="2" t="str">
        <f t="shared" si="22"/>
        <v>Error?</v>
      </c>
    </row>
    <row r="1485" spans="1:4" x14ac:dyDescent="0.2">
      <c r="A1485" s="5">
        <v>1424</v>
      </c>
      <c r="B1485" s="138">
        <f>'Expenditures 15-22'!K243</f>
        <v>153171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17830</v>
      </c>
      <c r="C1487" s="2" t="s">
        <v>573</v>
      </c>
      <c r="D1487" s="2" t="str">
        <f t="shared" si="22"/>
        <v>Error?</v>
      </c>
    </row>
    <row r="1488" spans="1:4" x14ac:dyDescent="0.2">
      <c r="A1488" s="5">
        <v>1427</v>
      </c>
      <c r="B1488" s="138">
        <f>'Expenditures 15-22'!K257</f>
        <v>51840</v>
      </c>
      <c r="C1488" s="2" t="s">
        <v>573</v>
      </c>
      <c r="D1488" s="2" t="str">
        <f t="shared" si="22"/>
        <v>Error?</v>
      </c>
    </row>
    <row r="1489" spans="1:4" x14ac:dyDescent="0.2">
      <c r="A1489" s="5">
        <v>1428</v>
      </c>
      <c r="B1489" s="138">
        <f>'Expenditures 15-22'!K259</f>
        <v>166228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166228</v>
      </c>
      <c r="C1491" s="2" t="s">
        <v>573</v>
      </c>
      <c r="D1491" s="2" t="str">
        <f t="shared" si="22"/>
        <v>Error?</v>
      </c>
    </row>
    <row r="1492" spans="1:4" x14ac:dyDescent="0.2">
      <c r="A1492" s="5">
        <v>1431</v>
      </c>
      <c r="B1492" s="138">
        <f>'Expenditures 15-22'!K263</f>
        <v>102544</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945449</v>
      </c>
      <c r="C1495" s="2" t="s">
        <v>573</v>
      </c>
      <c r="D1495" s="2" t="str">
        <f t="shared" si="22"/>
        <v>Error?</v>
      </c>
    </row>
    <row r="1496" spans="1:4" x14ac:dyDescent="0.2">
      <c r="A1496" s="5">
        <v>1435</v>
      </c>
      <c r="B1496" s="138">
        <f>'Expenditures 15-22'!K267</f>
        <v>15319</v>
      </c>
      <c r="C1496" s="2" t="s">
        <v>573</v>
      </c>
      <c r="D1496" s="2" t="str">
        <f t="shared" si="22"/>
        <v>Error?</v>
      </c>
    </row>
    <row r="1497" spans="1:4" x14ac:dyDescent="0.2">
      <c r="A1497" s="5">
        <v>1436</v>
      </c>
      <c r="B1497" s="138">
        <f>'Expenditures 15-22'!K268</f>
        <v>19316</v>
      </c>
      <c r="C1497" s="2" t="s">
        <v>573</v>
      </c>
      <c r="D1497" s="2" t="str">
        <f t="shared" si="22"/>
        <v>Error?</v>
      </c>
    </row>
    <row r="1498" spans="1:4" x14ac:dyDescent="0.2">
      <c r="A1498" s="5">
        <v>1437</v>
      </c>
      <c r="B1498" s="138">
        <f>'Expenditures 15-22'!K269</f>
        <v>45561</v>
      </c>
      <c r="C1498" s="2" t="s">
        <v>573</v>
      </c>
      <c r="D1498" s="2" t="str">
        <f t="shared" si="22"/>
        <v>Error?</v>
      </c>
    </row>
    <row r="1499" spans="1:4" x14ac:dyDescent="0.2">
      <c r="A1499" s="10">
        <v>1438</v>
      </c>
      <c r="D1499" s="2" t="str">
        <f t="shared" si="22"/>
        <v>OK</v>
      </c>
    </row>
    <row r="1500" spans="1:4" x14ac:dyDescent="0.2">
      <c r="A1500" s="5">
        <v>1439</v>
      </c>
      <c r="B1500" s="138">
        <f>'Expenditures 15-22'!K270</f>
        <v>1128189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149174</v>
      </c>
      <c r="C1503" s="2" t="s">
        <v>573</v>
      </c>
      <c r="D1503" s="2" t="str">
        <f t="shared" si="22"/>
        <v>Error?</v>
      </c>
    </row>
    <row r="1504" spans="1:4" x14ac:dyDescent="0.2">
      <c r="A1504" s="5">
        <v>1443</v>
      </c>
      <c r="B1504" s="138">
        <f>'Expenditures 15-22'!K275</f>
        <v>47374</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196548</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2011522</v>
      </c>
      <c r="C1510" s="2" t="s">
        <v>573</v>
      </c>
      <c r="D1510" s="2" t="str">
        <f t="shared" si="22"/>
        <v>Error?</v>
      </c>
    </row>
    <row r="1511" spans="1:4" x14ac:dyDescent="0.2">
      <c r="A1511" s="5">
        <v>1450</v>
      </c>
      <c r="B1511" s="138">
        <f>'Expenditures 15-22'!K280</f>
        <v>18064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3140246</v>
      </c>
      <c r="C1517" s="2" t="s">
        <v>573</v>
      </c>
      <c r="D1517" s="2" t="str">
        <f t="shared" si="22"/>
        <v>Error?</v>
      </c>
    </row>
    <row r="1518" spans="1:4" x14ac:dyDescent="0.2">
      <c r="A1518" s="5">
        <v>1457</v>
      </c>
      <c r="B1518" s="138">
        <f>'Expenditures 15-22'!K296</f>
        <v>-95906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17153449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17153449</v>
      </c>
      <c r="C1547" s="2" t="s">
        <v>573</v>
      </c>
      <c r="D1547" s="2" t="str">
        <f t="shared" si="23"/>
        <v>Error?</v>
      </c>
    </row>
    <row r="1548" spans="1:4" x14ac:dyDescent="0.2">
      <c r="A1548" s="5">
        <v>1487</v>
      </c>
      <c r="B1548" s="138">
        <f>'Expenditures 15-22'!G312</f>
        <v>17153449</v>
      </c>
      <c r="C1548" s="2" t="s">
        <v>573</v>
      </c>
      <c r="D1548" s="2" t="str">
        <f t="shared" si="23"/>
        <v>Error?</v>
      </c>
    </row>
    <row r="1549" spans="1:4" x14ac:dyDescent="0.2">
      <c r="A1549" s="5">
        <v>1488</v>
      </c>
      <c r="B1549" s="138">
        <f>'Expenditures 15-22'!H301</f>
        <v>417459</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417459</v>
      </c>
      <c r="C1553" s="2" t="s">
        <v>573</v>
      </c>
      <c r="D1553" s="2" t="str">
        <f t="shared" si="23"/>
        <v>Error?</v>
      </c>
    </row>
    <row r="1554" spans="1:4" x14ac:dyDescent="0.2">
      <c r="A1554" s="5">
        <v>1493</v>
      </c>
      <c r="B1554" s="138">
        <f>'Expenditures 15-22'!H312</f>
        <v>417459</v>
      </c>
      <c r="C1554" s="2" t="s">
        <v>573</v>
      </c>
      <c r="D1554" s="2" t="str">
        <f t="shared" si="23"/>
        <v>Error?</v>
      </c>
    </row>
    <row r="1555" spans="1:4" x14ac:dyDescent="0.2">
      <c r="A1555" s="5">
        <v>1494</v>
      </c>
      <c r="B1555" s="138">
        <f>'Expenditures 15-22'!K301</f>
        <v>17570908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17570908</v>
      </c>
      <c r="C1559" s="2" t="s">
        <v>573</v>
      </c>
      <c r="D1559" s="2" t="str">
        <f t="shared" si="23"/>
        <v>Error?</v>
      </c>
    </row>
    <row r="1560" spans="1:4" x14ac:dyDescent="0.2">
      <c r="A1560" s="5">
        <v>1499</v>
      </c>
      <c r="B1560" s="138">
        <f>'Expenditures 15-22'!K312</f>
        <v>17570908</v>
      </c>
      <c r="C1560" s="2" t="s">
        <v>573</v>
      </c>
      <c r="D1560" s="2" t="str">
        <f t="shared" si="23"/>
        <v>Error?</v>
      </c>
    </row>
    <row r="1561" spans="1:4" x14ac:dyDescent="0.2">
      <c r="A1561" s="5">
        <v>1500</v>
      </c>
      <c r="B1561" s="138">
        <f>'Expenditures 15-22'!K313</f>
        <v>-17109012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13789195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28183626</v>
      </c>
      <c r="C1630" s="2" t="s">
        <v>573</v>
      </c>
      <c r="D1630" s="2" t="str">
        <f t="shared" si="24"/>
        <v>Error?</v>
      </c>
    </row>
    <row r="1631" spans="1:4" x14ac:dyDescent="0.2">
      <c r="A1631" s="5">
        <v>1570</v>
      </c>
      <c r="B1631" s="138">
        <f>'Acct Summary 7-8'!D79</f>
        <v>4717076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3361630</v>
      </c>
      <c r="C1644" s="2" t="s">
        <v>573</v>
      </c>
      <c r="D1644" s="2" t="str">
        <f t="shared" si="24"/>
        <v>Error?</v>
      </c>
    </row>
    <row r="1645" spans="1:4" x14ac:dyDescent="0.2">
      <c r="A1645" s="5">
        <v>1584</v>
      </c>
      <c r="B1645" s="138">
        <f>'Acct Summary 7-8'!E79</f>
        <v>2851126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2962990</v>
      </c>
      <c r="C1658" s="2" t="s">
        <v>573</v>
      </c>
      <c r="D1658" s="2" t="str">
        <f t="shared" si="24"/>
        <v>Error?</v>
      </c>
    </row>
    <row r="1659" spans="1:4" x14ac:dyDescent="0.2">
      <c r="A1659" s="5">
        <v>1598</v>
      </c>
      <c r="B1659" s="138">
        <f>'Acct Summary 7-8'!F79</f>
        <v>1833453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2213082</v>
      </c>
      <c r="C1672" s="2" t="s">
        <v>573</v>
      </c>
      <c r="D1672" s="2" t="str">
        <f t="shared" si="25"/>
        <v>Error?</v>
      </c>
    </row>
    <row r="1673" spans="1:4" x14ac:dyDescent="0.2">
      <c r="A1673" s="5">
        <v>1612</v>
      </c>
      <c r="B1673" s="138">
        <f>'Acct Summary 7-8'!G79</f>
        <v>3099043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3003137</v>
      </c>
      <c r="C1686" s="2" t="s">
        <v>573</v>
      </c>
      <c r="D1686" s="2" t="str">
        <f t="shared" si="25"/>
        <v>Error?</v>
      </c>
    </row>
    <row r="1687" spans="1:4" x14ac:dyDescent="0.2">
      <c r="A1687" s="5">
        <v>1626</v>
      </c>
      <c r="B1687" s="138">
        <f>'Acct Summary 7-8'!H79</f>
        <v>215883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30258197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60364175</v>
      </c>
      <c r="C1744" s="2" t="s">
        <v>573</v>
      </c>
      <c r="D1744" s="2" t="str">
        <f t="shared" si="26"/>
        <v>Error?</v>
      </c>
    </row>
    <row r="1745" spans="1:5" x14ac:dyDescent="0.2">
      <c r="A1745" s="5">
        <v>1684</v>
      </c>
      <c r="B1745" s="138">
        <f>'Tax Sched 23'!B5</f>
        <v>7492291</v>
      </c>
      <c r="C1745" s="2" t="s">
        <v>573</v>
      </c>
      <c r="D1745" s="2" t="str">
        <f t="shared" si="26"/>
        <v>Error?</v>
      </c>
    </row>
    <row r="1746" spans="1:5" x14ac:dyDescent="0.2">
      <c r="A1746" s="5">
        <v>1685</v>
      </c>
      <c r="B1746" s="138">
        <f>'Tax Sched 23'!B6</f>
        <v>5597692</v>
      </c>
      <c r="C1746" s="2" t="s">
        <v>573</v>
      </c>
      <c r="D1746" s="2" t="str">
        <f t="shared" si="26"/>
        <v>Error?</v>
      </c>
    </row>
    <row r="1747" spans="1:5" x14ac:dyDescent="0.2">
      <c r="A1747" s="5">
        <v>1686</v>
      </c>
      <c r="B1747" s="138">
        <f>'Tax Sched 23'!B7</f>
        <v>4657687</v>
      </c>
      <c r="C1747" s="2" t="s">
        <v>573</v>
      </c>
      <c r="D1747" s="2" t="str">
        <f t="shared" si="26"/>
        <v>Error?</v>
      </c>
    </row>
    <row r="1748" spans="1:5" x14ac:dyDescent="0.2">
      <c r="A1748" s="5">
        <v>1687</v>
      </c>
      <c r="B1748" s="138">
        <f>'Tax Sched 23'!B8</f>
        <v>1036259</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783576</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6576848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88282913</v>
      </c>
      <c r="C1759" s="2" t="s">
        <v>573</v>
      </c>
      <c r="D1759" s="2" t="str">
        <f t="shared" si="26"/>
        <v>Error?</v>
      </c>
    </row>
    <row r="1760" spans="1:5" x14ac:dyDescent="0.2">
      <c r="A1760" s="5">
        <v>1699</v>
      </c>
      <c r="B1760" s="138">
        <f>'Tax Sched 23'!D4</f>
        <v>60364175</v>
      </c>
      <c r="C1760" s="2" t="s">
        <v>573</v>
      </c>
      <c r="D1760" s="2" t="str">
        <f t="shared" si="26"/>
        <v>Error?</v>
      </c>
    </row>
    <row r="1761" spans="1:5" x14ac:dyDescent="0.2">
      <c r="A1761" s="5">
        <v>1700</v>
      </c>
      <c r="B1761" s="138">
        <f>'Tax Sched 23'!D5</f>
        <v>7492291</v>
      </c>
      <c r="C1761" s="2" t="s">
        <v>573</v>
      </c>
      <c r="D1761" s="2" t="str">
        <f t="shared" si="26"/>
        <v>Error?</v>
      </c>
    </row>
    <row r="1762" spans="1:5" s="8" customFormat="1" x14ac:dyDescent="0.2">
      <c r="A1762" s="5">
        <v>1701</v>
      </c>
      <c r="B1762" s="138">
        <f>'Tax Sched 23'!D6</f>
        <v>5597692</v>
      </c>
      <c r="C1762" s="2" t="s">
        <v>573</v>
      </c>
      <c r="D1762" s="2" t="str">
        <f t="shared" si="26"/>
        <v>Error?</v>
      </c>
      <c r="E1762" s="9"/>
    </row>
    <row r="1763" spans="1:5" x14ac:dyDescent="0.2">
      <c r="A1763" s="5">
        <v>1702</v>
      </c>
      <c r="B1763" s="138">
        <f>'Tax Sched 23'!D7</f>
        <v>4657687</v>
      </c>
      <c r="C1763" s="2" t="s">
        <v>573</v>
      </c>
      <c r="D1763" s="2" t="str">
        <f t="shared" si="26"/>
        <v>Error?</v>
      </c>
    </row>
    <row r="1764" spans="1:5" x14ac:dyDescent="0.2">
      <c r="A1764" s="5">
        <v>1703</v>
      </c>
      <c r="B1764" s="138">
        <f>'Tax Sched 23'!D8</f>
        <v>1036259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783576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6576848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88282913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64511070</v>
      </c>
      <c r="C1792" s="2" t="s">
        <v>573</v>
      </c>
      <c r="D1792" s="2" t="str">
        <f t="shared" si="27"/>
        <v>Error?</v>
      </c>
    </row>
    <row r="1793" spans="1:4" x14ac:dyDescent="0.2">
      <c r="A1793" s="5">
        <v>1732</v>
      </c>
      <c r="B1793" s="138">
        <f>'Tax Sched 23'!F5</f>
        <v>8034000</v>
      </c>
      <c r="C1793" s="2" t="s">
        <v>573</v>
      </c>
      <c r="D1793" s="2" t="str">
        <f t="shared" si="27"/>
        <v>Error?</v>
      </c>
    </row>
    <row r="1794" spans="1:4" x14ac:dyDescent="0.2">
      <c r="A1794" s="5">
        <v>1733</v>
      </c>
      <c r="B1794" s="138">
        <f>'Tax Sched 23'!F6</f>
        <v>6612767</v>
      </c>
      <c r="C1794" s="2" t="s">
        <v>573</v>
      </c>
      <c r="D1794" s="2" t="str">
        <f t="shared" si="27"/>
        <v>Error?</v>
      </c>
    </row>
    <row r="1795" spans="1:4" x14ac:dyDescent="0.2">
      <c r="A1795" s="5">
        <v>1734</v>
      </c>
      <c r="B1795" s="138">
        <f>'Tax Sched 23'!F7</f>
        <v>4944000</v>
      </c>
      <c r="C1795" s="2" t="s">
        <v>573</v>
      </c>
      <c r="D1795" s="2" t="str">
        <f t="shared" si="27"/>
        <v>Error?</v>
      </c>
    </row>
    <row r="1796" spans="1:4" x14ac:dyDescent="0.2">
      <c r="A1796" s="5">
        <v>1735</v>
      </c>
      <c r="B1796" s="138">
        <f>'Tax Sched 23'!F8</f>
        <v>1133000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721000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7107000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94607837</v>
      </c>
      <c r="C1807" s="2" t="s">
        <v>573</v>
      </c>
      <c r="D1807" s="2" t="str">
        <f t="shared" si="27"/>
        <v>Error?</v>
      </c>
    </row>
    <row r="1808" spans="1:4" x14ac:dyDescent="0.2">
      <c r="A1808" s="5">
        <v>1747</v>
      </c>
      <c r="B1808" s="138">
        <f>'Tax Sched 23'!E4</f>
        <v>64511070</v>
      </c>
      <c r="D1808" s="2" t="str">
        <f t="shared" si="27"/>
        <v>Error?</v>
      </c>
    </row>
    <row r="1809" spans="1:4" x14ac:dyDescent="0.2">
      <c r="A1809" s="5">
        <v>1748</v>
      </c>
      <c r="B1809" s="138">
        <f>'Tax Sched 23'!E5</f>
        <v>8034000</v>
      </c>
      <c r="D1809" s="2" t="str">
        <f t="shared" si="27"/>
        <v>Error?</v>
      </c>
    </row>
    <row r="1810" spans="1:4" x14ac:dyDescent="0.2">
      <c r="A1810" s="5">
        <v>1749</v>
      </c>
      <c r="B1810" s="138">
        <f>'Tax Sched 23'!E6</f>
        <v>6612767</v>
      </c>
      <c r="D1810" s="2" t="str">
        <f t="shared" si="27"/>
        <v>Error?</v>
      </c>
    </row>
    <row r="1811" spans="1:4" x14ac:dyDescent="0.2">
      <c r="A1811" s="5">
        <v>1750</v>
      </c>
      <c r="B1811" s="138">
        <f>'Tax Sched 23'!E7</f>
        <v>4944000</v>
      </c>
      <c r="D1811" s="2" t="str">
        <f t="shared" si="27"/>
        <v>Error?</v>
      </c>
    </row>
    <row r="1812" spans="1:4" x14ac:dyDescent="0.2">
      <c r="A1812" s="5">
        <v>1751</v>
      </c>
      <c r="B1812" s="138">
        <f>'Tax Sched 23'!E8</f>
        <v>1133000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721000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7107000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94607837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31185013</v>
      </c>
      <c r="C1939" s="2" t="s">
        <v>573</v>
      </c>
      <c r="D1939" s="2" t="str">
        <f t="shared" si="29"/>
        <v>Error?</v>
      </c>
    </row>
    <row r="1940" spans="1:5" x14ac:dyDescent="0.2">
      <c r="A1940" s="5">
        <v>1879</v>
      </c>
      <c r="B1940" s="138">
        <f>'Short-Term Long-Term Debt 24'!F49</f>
        <v>46095000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6576848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6576848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6576848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1965066</v>
      </c>
      <c r="D2008" s="2" t="str">
        <f t="shared" si="30"/>
        <v>Error?</v>
      </c>
    </row>
    <row r="2009" spans="1:4" x14ac:dyDescent="0.2">
      <c r="A2009" s="5">
        <v>1948</v>
      </c>
      <c r="B2009" s="138">
        <f>'Cap Outlay Deprec 26'!C8</f>
        <v>97038304</v>
      </c>
      <c r="D2009" s="2" t="str">
        <f t="shared" si="30"/>
        <v>Error?</v>
      </c>
    </row>
    <row r="2010" spans="1:4" x14ac:dyDescent="0.2">
      <c r="A2010" s="5">
        <v>1949</v>
      </c>
      <c r="B2010" s="138">
        <f>'Cap Outlay Deprec 26'!C10</f>
        <v>3764581</v>
      </c>
      <c r="D2010" s="2" t="str">
        <f t="shared" si="30"/>
        <v>Error?</v>
      </c>
    </row>
    <row r="2011" spans="1:4" x14ac:dyDescent="0.2">
      <c r="A2011" s="5">
        <v>1950</v>
      </c>
      <c r="B2011" s="138">
        <f>'Cap Outlay Deprec 26'!C12</f>
        <v>23411426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126179377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13778728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4403178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18181906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1965066</v>
      </c>
      <c r="C2026" s="2" t="s">
        <v>573</v>
      </c>
      <c r="D2026" s="2" t="str">
        <f t="shared" si="30"/>
        <v>Error?</v>
      </c>
    </row>
    <row r="2027" spans="1:4" x14ac:dyDescent="0.2">
      <c r="A2027" s="5">
        <v>1966</v>
      </c>
      <c r="B2027" s="138">
        <f>'Cap Outlay Deprec 26'!F8</f>
        <v>110817032</v>
      </c>
      <c r="C2027" s="2" t="s">
        <v>573</v>
      </c>
      <c r="D2027" s="2" t="str">
        <f t="shared" si="30"/>
        <v>Error?</v>
      </c>
    </row>
    <row r="2028" spans="1:4" x14ac:dyDescent="0.2">
      <c r="A2028" s="5">
        <v>1967</v>
      </c>
      <c r="B2028" s="138">
        <f>'Cap Outlay Deprec 26'!F10</f>
        <v>3764581</v>
      </c>
      <c r="C2028" s="2" t="s">
        <v>573</v>
      </c>
      <c r="D2028" s="2" t="str">
        <f t="shared" si="30"/>
        <v>Error?</v>
      </c>
    </row>
    <row r="2029" spans="1:4" x14ac:dyDescent="0.2">
      <c r="A2029" s="5">
        <v>1968</v>
      </c>
      <c r="B2029" s="138">
        <f>'Cap Outlay Deprec 26'!F12</f>
        <v>27814604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144361283</v>
      </c>
      <c r="C2031" s="2" t="s">
        <v>573</v>
      </c>
      <c r="D2031" s="2" t="str">
        <f t="shared" si="30"/>
        <v>Error?</v>
      </c>
    </row>
    <row r="2032" spans="1:4" x14ac:dyDescent="0.2">
      <c r="A2032" s="10">
        <v>1971</v>
      </c>
      <c r="D2032" s="2" t="str">
        <f t="shared" si="30"/>
        <v>OK</v>
      </c>
    </row>
    <row r="2033" spans="1:4" x14ac:dyDescent="0.2">
      <c r="A2033" s="5">
        <v>1972</v>
      </c>
      <c r="B2033" s="138">
        <f>'Cap Outlay Deprec 26'!H8</f>
        <v>47869068</v>
      </c>
      <c r="D2033" s="2" t="str">
        <f t="shared" si="30"/>
        <v>Error?</v>
      </c>
    </row>
    <row r="2034" spans="1:4" x14ac:dyDescent="0.2">
      <c r="A2034" s="5">
        <v>1973</v>
      </c>
      <c r="B2034" s="138">
        <f>'Cap Outlay Deprec 26'!H10</f>
        <v>3764581</v>
      </c>
      <c r="D2034" s="2" t="str">
        <f t="shared" si="30"/>
        <v>Error?</v>
      </c>
    </row>
    <row r="2035" spans="1:4" x14ac:dyDescent="0.2">
      <c r="A2035" s="5">
        <v>1974</v>
      </c>
      <c r="B2035" s="138">
        <f>'Cap Outlay Deprec 26'!H12</f>
        <v>21878050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73511699</v>
      </c>
      <c r="C2037" s="2" t="s">
        <v>573</v>
      </c>
      <c r="D2037" s="2" t="str">
        <f t="shared" si="30"/>
        <v>Error?</v>
      </c>
    </row>
    <row r="2038" spans="1:4" x14ac:dyDescent="0.2">
      <c r="A2038" s="10">
        <v>1977</v>
      </c>
      <c r="D2038" s="2" t="str">
        <f t="shared" si="30"/>
        <v>OK</v>
      </c>
    </row>
    <row r="2039" spans="1:4" x14ac:dyDescent="0.2">
      <c r="A2039" s="5">
        <v>1978</v>
      </c>
      <c r="B2039" s="138">
        <f>'Cap Outlay Deprec 26'!I8</f>
        <v>2079902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639257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2719159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49948970</v>
      </c>
      <c r="C2051" s="2" t="s">
        <v>573</v>
      </c>
      <c r="D2051" s="2" t="str">
        <f t="shared" si="31"/>
        <v>Error?</v>
      </c>
    </row>
    <row r="2052" spans="1:4" x14ac:dyDescent="0.2">
      <c r="A2052" s="5">
        <v>1991</v>
      </c>
      <c r="B2052" s="138">
        <f>'Cap Outlay Deprec 26'!K10</f>
        <v>3764581</v>
      </c>
      <c r="C2052" s="2" t="s">
        <v>573</v>
      </c>
      <c r="D2052" s="2" t="str">
        <f t="shared" si="31"/>
        <v>Error?</v>
      </c>
    </row>
    <row r="2053" spans="1:4" x14ac:dyDescent="0.2">
      <c r="A2053" s="5">
        <v>1992</v>
      </c>
      <c r="B2053" s="138">
        <f>'Cap Outlay Deprec 26'!K12</f>
        <v>22517307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76230858</v>
      </c>
      <c r="C2055" s="2" t="s">
        <v>573</v>
      </c>
      <c r="D2055" s="2" t="str">
        <f t="shared" si="31"/>
        <v>Error?</v>
      </c>
    </row>
    <row r="2056" spans="1:4" x14ac:dyDescent="0.2">
      <c r="A2056" s="5">
        <v>1995</v>
      </c>
      <c r="B2056" s="138">
        <f>'Cap Outlay Deprec 26'!L5</f>
        <v>1965066</v>
      </c>
      <c r="C2056" s="2" t="s">
        <v>573</v>
      </c>
      <c r="D2056" s="2" t="str">
        <f t="shared" si="31"/>
        <v>Error?</v>
      </c>
    </row>
    <row r="2057" spans="1:4" x14ac:dyDescent="0.2">
      <c r="A2057" s="5">
        <v>1996</v>
      </c>
      <c r="B2057" s="138">
        <f>'Cap Outlay Deprec 26'!L8</f>
        <v>60868062</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5297297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68130425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25498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265029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7108702</v>
      </c>
      <c r="D2435" s="2" t="str">
        <f t="shared" si="37"/>
        <v>Error?</v>
      </c>
    </row>
    <row r="2436" spans="1:4" x14ac:dyDescent="0.2">
      <c r="A2436" s="10">
        <v>2375</v>
      </c>
      <c r="D2436" s="2" t="str">
        <f t="shared" si="37"/>
        <v>OK</v>
      </c>
    </row>
    <row r="2437" spans="1:4" x14ac:dyDescent="0.2">
      <c r="A2437" s="5">
        <v>2376</v>
      </c>
      <c r="B2437" s="138">
        <f>'Assets-Liab 5-6'!D38</f>
        <v>135260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2620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71159284</v>
      </c>
      <c r="C2551" s="2" t="s">
        <v>573</v>
      </c>
      <c r="D2551" s="2" t="str">
        <f t="shared" si="38"/>
        <v>Error?</v>
      </c>
    </row>
    <row r="2552" spans="1:4" x14ac:dyDescent="0.2">
      <c r="A2552" s="10">
        <v>2491</v>
      </c>
      <c r="D2552" s="2" t="str">
        <f t="shared" si="38"/>
        <v>OK</v>
      </c>
    </row>
    <row r="2553" spans="1:4" x14ac:dyDescent="0.2">
      <c r="A2553" s="5">
        <v>2492</v>
      </c>
      <c r="B2553" s="138">
        <f>'Acct Summary 7-8'!C6</f>
        <v>14364948</v>
      </c>
      <c r="C2553" s="2" t="s">
        <v>573</v>
      </c>
      <c r="D2553" s="2" t="str">
        <f t="shared" si="38"/>
        <v>Error?</v>
      </c>
    </row>
    <row r="2554" spans="1:4" x14ac:dyDescent="0.2">
      <c r="A2554" s="5">
        <v>2493</v>
      </c>
      <c r="B2554" s="138">
        <f>'Acct Summary 7-8'!C7</f>
        <v>6808907</v>
      </c>
      <c r="C2554" s="2" t="s">
        <v>573</v>
      </c>
      <c r="D2554" s="2" t="str">
        <f t="shared" si="38"/>
        <v>Error?</v>
      </c>
    </row>
    <row r="2555" spans="1:4" x14ac:dyDescent="0.2">
      <c r="A2555" s="5">
        <v>2494</v>
      </c>
      <c r="B2555" s="138">
        <f>'Acct Summary 7-8'!C8</f>
        <v>92333139</v>
      </c>
      <c r="C2555" s="2" t="s">
        <v>573</v>
      </c>
      <c r="D2555" s="2" t="str">
        <f t="shared" si="38"/>
        <v>Error?</v>
      </c>
    </row>
    <row r="2556" spans="1:4" x14ac:dyDescent="0.2">
      <c r="A2556" s="5">
        <v>2495</v>
      </c>
      <c r="B2556" s="138">
        <f>'Acct Summary 7-8'!C12</f>
        <v>53354903</v>
      </c>
      <c r="C2556" s="2" t="s">
        <v>573</v>
      </c>
      <c r="D2556" s="2" t="str">
        <f t="shared" si="38"/>
        <v>Error?</v>
      </c>
    </row>
    <row r="2557" spans="1:4" x14ac:dyDescent="0.2">
      <c r="A2557" s="5">
        <v>2496</v>
      </c>
      <c r="B2557" s="138">
        <f>'Acct Summary 7-8'!C13</f>
        <v>26149085</v>
      </c>
      <c r="C2557" s="2" t="s">
        <v>573</v>
      </c>
      <c r="D2557" s="2" t="str">
        <f t="shared" si="38"/>
        <v>Error?</v>
      </c>
    </row>
    <row r="2558" spans="1:4" x14ac:dyDescent="0.2">
      <c r="A2558" s="5">
        <v>2497</v>
      </c>
      <c r="B2558" s="138">
        <f>'Acct Summary 7-8'!C14</f>
        <v>249828</v>
      </c>
      <c r="C2558" s="2" t="s">
        <v>573</v>
      </c>
      <c r="D2558" s="2" t="str">
        <f t="shared" si="38"/>
        <v>Error?</v>
      </c>
    </row>
    <row r="2559" spans="1:4" x14ac:dyDescent="0.2">
      <c r="A2559" s="5">
        <v>2498</v>
      </c>
      <c r="B2559" s="138">
        <f>'Acct Summary 7-8'!C15</f>
        <v>265029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80018845</v>
      </c>
      <c r="C2561" s="2" t="s">
        <v>573</v>
      </c>
      <c r="D2561" s="2" t="str">
        <f t="shared" si="39"/>
        <v>Error?</v>
      </c>
    </row>
    <row r="2562" spans="1:4" x14ac:dyDescent="0.2">
      <c r="A2562" s="5">
        <v>2501</v>
      </c>
      <c r="B2562" s="138">
        <f>'Acct Summary 7-8'!C20</f>
        <v>12314294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7664990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7664990</v>
      </c>
      <c r="C2568" s="2" t="s">
        <v>573</v>
      </c>
      <c r="D2568" s="2" t="str">
        <f t="shared" si="39"/>
        <v>Error?</v>
      </c>
    </row>
    <row r="2569" spans="1:4" x14ac:dyDescent="0.2">
      <c r="A2569" s="5">
        <v>2508</v>
      </c>
      <c r="B2569" s="138">
        <f>'Acct Summary 7-8'!D13</f>
        <v>7732590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7732590</v>
      </c>
      <c r="C2573" s="2" t="s">
        <v>573</v>
      </c>
      <c r="D2573" s="2" t="str">
        <f t="shared" si="39"/>
        <v>Error?</v>
      </c>
    </row>
    <row r="2574" spans="1:4" x14ac:dyDescent="0.2">
      <c r="A2574" s="5">
        <v>2513</v>
      </c>
      <c r="B2574" s="138">
        <f>'Acct Summary 7-8'!D20</f>
        <v>-67600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4757015</v>
      </c>
      <c r="C2591" s="2" t="s">
        <v>573</v>
      </c>
      <c r="D2591" s="2" t="str">
        <f t="shared" si="39"/>
        <v>Error?</v>
      </c>
    </row>
    <row r="2592" spans="1:4" x14ac:dyDescent="0.2">
      <c r="A2592" s="10">
        <v>2531</v>
      </c>
      <c r="D2592" s="2" t="str">
        <f t="shared" si="39"/>
        <v>OK</v>
      </c>
    </row>
    <row r="2593" spans="1:4" x14ac:dyDescent="0.2">
      <c r="A2593" s="5">
        <v>2532</v>
      </c>
      <c r="B2593" s="138">
        <f>'Acct Summary 7-8'!F6</f>
        <v>2543499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7300514</v>
      </c>
      <c r="C2595" s="2" t="s">
        <v>573</v>
      </c>
      <c r="D2595" s="2" t="str">
        <f t="shared" si="39"/>
        <v>Error?</v>
      </c>
    </row>
    <row r="2596" spans="1:4" x14ac:dyDescent="0.2">
      <c r="A2596" s="5">
        <v>2535</v>
      </c>
      <c r="B2596" s="138">
        <f>'Acct Summary 7-8'!F13</f>
        <v>4420885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4420885</v>
      </c>
      <c r="C2600" s="2" t="s">
        <v>573</v>
      </c>
      <c r="D2600" s="2" t="str">
        <f t="shared" si="39"/>
        <v>Error?</v>
      </c>
    </row>
    <row r="2601" spans="1:4" x14ac:dyDescent="0.2">
      <c r="A2601" s="5">
        <v>2540</v>
      </c>
      <c r="B2601" s="138">
        <f>'Acct Summary 7-8'!F20</f>
        <v>2879629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3044340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3044340</v>
      </c>
      <c r="C2606" s="2" t="s">
        <v>573</v>
      </c>
      <c r="D2606" s="2" t="str">
        <f t="shared" si="39"/>
        <v>Error?</v>
      </c>
    </row>
    <row r="2607" spans="1:4" x14ac:dyDescent="0.2">
      <c r="A2607" s="5">
        <v>2546</v>
      </c>
      <c r="B2607" s="138">
        <f>'Acct Summary 7-8'!G12</f>
        <v>1110660</v>
      </c>
      <c r="C2607" s="2" t="s">
        <v>573</v>
      </c>
      <c r="D2607" s="2" t="str">
        <f t="shared" si="39"/>
        <v>Error?</v>
      </c>
    </row>
    <row r="2608" spans="1:4" x14ac:dyDescent="0.2">
      <c r="A2608" s="5">
        <v>2547</v>
      </c>
      <c r="B2608" s="138">
        <f>'Acct Summary 7-8'!G13</f>
        <v>2011522</v>
      </c>
      <c r="C2608" s="2" t="s">
        <v>573</v>
      </c>
      <c r="D2608" s="2" t="str">
        <f t="shared" si="39"/>
        <v>Error?</v>
      </c>
    </row>
    <row r="2609" spans="1:4" x14ac:dyDescent="0.2">
      <c r="A2609" s="5">
        <v>2548</v>
      </c>
      <c r="B2609" s="138">
        <f>'Acct Summary 7-8'!G14</f>
        <v>18064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3140246</v>
      </c>
      <c r="C2612" s="2" t="s">
        <v>573</v>
      </c>
      <c r="D2612" s="2" t="str">
        <f t="shared" si="39"/>
        <v>Error?</v>
      </c>
    </row>
    <row r="2613" spans="1:4" x14ac:dyDescent="0.2">
      <c r="A2613" s="5">
        <v>2552</v>
      </c>
      <c r="B2613" s="138">
        <f>'Acct Summary 7-8'!G20</f>
        <v>-95906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5643167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5643167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5719327</v>
      </c>
      <c r="C2634" s="2" t="s">
        <v>573</v>
      </c>
      <c r="D2634" s="2" t="str">
        <f t="shared" si="40"/>
        <v>Error?</v>
      </c>
    </row>
    <row r="2635" spans="1:4" x14ac:dyDescent="0.2">
      <c r="A2635" s="5">
        <v>2574</v>
      </c>
      <c r="B2635" s="138">
        <f>'Acct Summary 7-8'!E17</f>
        <v>5719327</v>
      </c>
      <c r="C2635" s="2" t="s">
        <v>573</v>
      </c>
      <c r="D2635" s="2" t="str">
        <f t="shared" si="40"/>
        <v>Error?</v>
      </c>
    </row>
    <row r="2636" spans="1:4" x14ac:dyDescent="0.2">
      <c r="A2636" s="5">
        <v>2575</v>
      </c>
      <c r="B2636" s="138">
        <f>'Acct Summary 7-8'!E20</f>
        <v>-76160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461896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461896</v>
      </c>
      <c r="C2658" s="2" t="s">
        <v>573</v>
      </c>
      <c r="D2658" s="2" t="str">
        <f t="shared" si="40"/>
        <v>Error?</v>
      </c>
    </row>
    <row r="2659" spans="1:4" x14ac:dyDescent="0.2">
      <c r="A2659" s="5">
        <v>2598</v>
      </c>
      <c r="B2659" s="138">
        <f>'Acct Summary 7-8'!H13</f>
        <v>17570908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17570908</v>
      </c>
      <c r="C2661" s="2" t="s">
        <v>573</v>
      </c>
      <c r="D2661" s="2" t="str">
        <f t="shared" si="40"/>
        <v>Error?</v>
      </c>
    </row>
    <row r="2662" spans="1:4" x14ac:dyDescent="0.2">
      <c r="A2662" s="5">
        <v>2601</v>
      </c>
      <c r="B2662" s="138">
        <f>'Acct Summary 7-8'!H20</f>
        <v>-17109012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581673</v>
      </c>
      <c r="D2718" s="2" t="str">
        <f t="shared" si="41"/>
        <v>Error?</v>
      </c>
    </row>
    <row r="2719" spans="1:4" x14ac:dyDescent="0.2">
      <c r="A2719" s="5">
        <v>2658</v>
      </c>
      <c r="B2719" s="138">
        <f>'Expenditures 15-22'!D51</f>
        <v>121946</v>
      </c>
      <c r="D2719" s="2" t="str">
        <f t="shared" si="41"/>
        <v>Error?</v>
      </c>
    </row>
    <row r="2720" spans="1:4" x14ac:dyDescent="0.2">
      <c r="A2720" s="5">
        <v>2659</v>
      </c>
      <c r="B2720" s="138">
        <f>'Expenditures 15-22'!E51</f>
        <v>744</v>
      </c>
      <c r="D2720" s="2" t="str">
        <f t="shared" si="41"/>
        <v>Error?</v>
      </c>
    </row>
    <row r="2721" spans="1:4" x14ac:dyDescent="0.2">
      <c r="A2721" s="5">
        <v>2660</v>
      </c>
      <c r="B2721" s="138">
        <f>'Expenditures 15-22'!F51</f>
        <v>7388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778</v>
      </c>
      <c r="D2723" s="2" t="str">
        <f t="shared" si="41"/>
        <v>Error?</v>
      </c>
    </row>
    <row r="2724" spans="1:4" x14ac:dyDescent="0.2">
      <c r="A2724" s="5">
        <v>2663</v>
      </c>
      <c r="B2724" s="138">
        <f>'Expenditures 15-22'!K51</f>
        <v>712529</v>
      </c>
      <c r="C2724" s="2" t="s">
        <v>573</v>
      </c>
      <c r="D2724" s="2" t="str">
        <f t="shared" si="41"/>
        <v>Error?</v>
      </c>
    </row>
    <row r="2725" spans="1:4" x14ac:dyDescent="0.2">
      <c r="A2725" s="5">
        <v>2664</v>
      </c>
      <c r="B2725" s="138">
        <f>'Expenditures 15-22'!D247</f>
        <v>34010</v>
      </c>
      <c r="D2725" s="2" t="str">
        <f t="shared" si="41"/>
        <v>Error?</v>
      </c>
    </row>
    <row r="2726" spans="1:4" x14ac:dyDescent="0.2">
      <c r="A2726" s="5">
        <v>2665</v>
      </c>
      <c r="B2726" s="138">
        <f>'Expenditures 15-22'!K247</f>
        <v>34010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239531</v>
      </c>
      <c r="C2789" s="2" t="s">
        <v>573</v>
      </c>
      <c r="D2789" s="2" t="str">
        <f t="shared" si="42"/>
        <v>Error?</v>
      </c>
    </row>
    <row r="2790" spans="1:4" x14ac:dyDescent="0.2">
      <c r="A2790" s="5">
        <v>2729</v>
      </c>
      <c r="B2790" s="138">
        <f>'Expenditures 15-22'!E102</f>
        <v>239531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3790457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406540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3790457</v>
      </c>
      <c r="D2912" s="2" t="str">
        <f t="shared" si="44"/>
        <v>Error?</v>
      </c>
    </row>
    <row r="2913" spans="1:4" x14ac:dyDescent="0.2">
      <c r="A2913" s="5">
        <v>2852</v>
      </c>
      <c r="B2913" s="138">
        <f>'Assets-Liab 5-6'!I41</f>
        <v>3790457</v>
      </c>
      <c r="C2913" s="2" t="s">
        <v>573</v>
      </c>
      <c r="D2913" s="2" t="str">
        <f t="shared" si="44"/>
        <v>Error?</v>
      </c>
    </row>
    <row r="2914" spans="1:4" x14ac:dyDescent="0.2">
      <c r="A2914" s="5">
        <v>2853</v>
      </c>
      <c r="B2914" s="138">
        <f>'Assets-Liab 5-6'!L33</f>
        <v>406540</v>
      </c>
      <c r="D2914" s="2" t="str">
        <f t="shared" si="44"/>
        <v>Error?</v>
      </c>
    </row>
    <row r="2915" spans="1:4" x14ac:dyDescent="0.2">
      <c r="A2915" s="10">
        <v>2854</v>
      </c>
      <c r="D2915" s="2" t="str">
        <f t="shared" si="44"/>
        <v>OK</v>
      </c>
    </row>
    <row r="2916" spans="1:4" x14ac:dyDescent="0.2">
      <c r="A2916" s="5">
        <v>2855</v>
      </c>
      <c r="B2916" s="138">
        <f>'Assets-Liab 5-6'!L34</f>
        <v>406540</v>
      </c>
      <c r="C2916" s="2" t="s">
        <v>573</v>
      </c>
      <c r="D2916" s="2" t="str">
        <f t="shared" si="44"/>
        <v>Error?</v>
      </c>
    </row>
    <row r="2917" spans="1:4" x14ac:dyDescent="0.2">
      <c r="A2917" s="5">
        <v>2856</v>
      </c>
      <c r="B2917" s="138">
        <f>'Assets-Liab 5-6'!L41</f>
        <v>406540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10500</v>
      </c>
      <c r="D2949" s="2" t="str">
        <f t="shared" si="45"/>
        <v>Error?</v>
      </c>
    </row>
    <row r="2950" spans="1:4" x14ac:dyDescent="0.2">
      <c r="A2950" s="5">
        <v>2889</v>
      </c>
      <c r="B2950" s="138">
        <f>'Expenditures 15-22'!E79</f>
        <v>229031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25498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10500</v>
      </c>
      <c r="C2973" s="2" t="s">
        <v>573</v>
      </c>
      <c r="D2973" s="2" t="str">
        <f t="shared" si="45"/>
        <v>Error?</v>
      </c>
    </row>
    <row r="2974" spans="1:4" x14ac:dyDescent="0.2">
      <c r="A2974" s="5">
        <v>2913</v>
      </c>
      <c r="B2974" s="138">
        <f>'Expenditures 15-22'!K79</f>
        <v>254529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3195000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46669</v>
      </c>
      <c r="C3225" s="2" t="s">
        <v>573</v>
      </c>
      <c r="D3225" s="2" t="str">
        <f t="shared" si="49"/>
        <v>Error?</v>
      </c>
    </row>
    <row r="3226" spans="1:4" x14ac:dyDescent="0.2">
      <c r="A3226" s="5">
        <v>3165</v>
      </c>
      <c r="B3226" s="138">
        <f>'Acct Summary 7-8'!I8</f>
        <v>46669</v>
      </c>
      <c r="C3226" s="2" t="s">
        <v>573</v>
      </c>
      <c r="D3226" s="2" t="str">
        <f t="shared" si="49"/>
        <v>Error?</v>
      </c>
    </row>
    <row r="3227" spans="1:4" x14ac:dyDescent="0.2">
      <c r="A3227" s="5">
        <v>3166</v>
      </c>
      <c r="B3227" s="138">
        <f>'Acct Summary 7-8'!I20</f>
        <v>46669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2500000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419863</v>
      </c>
      <c r="C3231" s="2" t="s">
        <v>573</v>
      </c>
      <c r="D3231" s="2" t="str">
        <f t="shared" si="49"/>
        <v>Error?</v>
      </c>
    </row>
    <row r="3232" spans="1:4" x14ac:dyDescent="0.2">
      <c r="A3232" s="5">
        <v>3171</v>
      </c>
      <c r="B3232" s="138">
        <f>'Acct Summary 7-8'!C77</f>
        <v>2080137</v>
      </c>
      <c r="C3232" s="2" t="s">
        <v>573</v>
      </c>
      <c r="D3232" s="2" t="str">
        <f t="shared" si="49"/>
        <v>Error?</v>
      </c>
    </row>
    <row r="3233" spans="1:4" x14ac:dyDescent="0.2">
      <c r="A3233" s="5">
        <v>3172</v>
      </c>
      <c r="B3233" s="138">
        <f>'Acct Summary 7-8'!C78</f>
        <v>14394431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82054</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1369900</v>
      </c>
      <c r="C3237" s="2" t="s">
        <v>573</v>
      </c>
      <c r="D3237" s="2" t="str">
        <f t="shared" si="49"/>
        <v>Error?</v>
      </c>
    </row>
    <row r="3238" spans="1:4" x14ac:dyDescent="0.2">
      <c r="A3238" s="5">
        <v>3177</v>
      </c>
      <c r="B3238" s="138">
        <f>'Acct Summary 7-8'!D77</f>
        <v>-1287846</v>
      </c>
      <c r="C3238" s="2" t="s">
        <v>573</v>
      </c>
      <c r="D3238" s="2" t="str">
        <f t="shared" si="49"/>
        <v>Error?</v>
      </c>
    </row>
    <row r="3239" spans="1:4" x14ac:dyDescent="0.2">
      <c r="A3239" s="5">
        <v>3178</v>
      </c>
      <c r="B3239" s="138">
        <f>'Acct Summary 7-8'!D78</f>
        <v>-1355446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2500000</v>
      </c>
      <c r="C3254" s="2" t="s">
        <v>573</v>
      </c>
      <c r="D3254" s="2" t="str">
        <f t="shared" si="49"/>
        <v>Error?</v>
      </c>
    </row>
    <row r="3255" spans="1:4" x14ac:dyDescent="0.2">
      <c r="A3255" s="5">
        <v>3194</v>
      </c>
      <c r="B3255" s="138">
        <f>'Acct Summary 7-8'!F77</f>
        <v>-2500000</v>
      </c>
      <c r="C3255" s="2" t="s">
        <v>573</v>
      </c>
      <c r="D3255" s="2" t="str">
        <f t="shared" si="49"/>
        <v>Error?</v>
      </c>
    </row>
    <row r="3256" spans="1:4" x14ac:dyDescent="0.2">
      <c r="A3256" s="5">
        <v>3195</v>
      </c>
      <c r="B3256" s="138">
        <f>'Acct Summary 7-8'!F78</f>
        <v>379629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-95906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3734763</v>
      </c>
      <c r="C3274" s="2" t="s">
        <v>573</v>
      </c>
      <c r="D3274" s="2" t="str">
        <f t="shared" si="50"/>
        <v>Error?</v>
      </c>
    </row>
    <row r="3275" spans="1:4" x14ac:dyDescent="0.2">
      <c r="A3275" s="5">
        <v>3214</v>
      </c>
      <c r="B3275" s="138">
        <f>'Acct Summary 7-8'!E75</f>
        <v>3546739</v>
      </c>
      <c r="D3275" s="2" t="str">
        <f t="shared" si="50"/>
        <v>Error?</v>
      </c>
    </row>
    <row r="3276" spans="1:4" x14ac:dyDescent="0.2">
      <c r="A3276" s="5">
        <v>3215</v>
      </c>
      <c r="B3276" s="138">
        <f>'Acct Summary 7-8'!E76</f>
        <v>3546739</v>
      </c>
      <c r="C3276" s="2" t="s">
        <v>573</v>
      </c>
      <c r="D3276" s="2" t="str">
        <f t="shared" si="50"/>
        <v>Error?</v>
      </c>
    </row>
    <row r="3277" spans="1:4" x14ac:dyDescent="0.2">
      <c r="A3277" s="5">
        <v>3216</v>
      </c>
      <c r="B3277" s="138">
        <f>'Acct Summary 7-8'!E77</f>
        <v>188024</v>
      </c>
      <c r="C3277" s="2" t="s">
        <v>573</v>
      </c>
      <c r="D3277" s="2" t="str">
        <f t="shared" si="50"/>
        <v>Error?</v>
      </c>
    </row>
    <row r="3278" spans="1:4" x14ac:dyDescent="0.2">
      <c r="A3278" s="5">
        <v>3217</v>
      </c>
      <c r="B3278" s="138">
        <f>'Acct Summary 7-8'!E78</f>
        <v>111864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47357721</v>
      </c>
      <c r="C3296" s="2" t="s">
        <v>573</v>
      </c>
      <c r="D3296" s="2" t="str">
        <f t="shared" si="50"/>
        <v>Error?</v>
      </c>
    </row>
    <row r="3297" spans="1:4" x14ac:dyDescent="0.2">
      <c r="A3297" s="5">
        <v>3236</v>
      </c>
      <c r="B3297" s="138">
        <f>'Acct Summary 7-8'!H75</f>
        <v>206395</v>
      </c>
      <c r="D3297" s="2" t="str">
        <f t="shared" si="50"/>
        <v>Error?</v>
      </c>
    </row>
    <row r="3298" spans="1:4" x14ac:dyDescent="0.2">
      <c r="A3298" s="5">
        <v>3237</v>
      </c>
      <c r="B3298" s="138">
        <f>'Acct Summary 7-8'!H76</f>
        <v>206395</v>
      </c>
      <c r="C3298" s="2" t="s">
        <v>573</v>
      </c>
      <c r="D3298" s="2" t="str">
        <f t="shared" si="50"/>
        <v>Error?</v>
      </c>
    </row>
    <row r="3299" spans="1:4" x14ac:dyDescent="0.2">
      <c r="A3299" s="5">
        <v>3238</v>
      </c>
      <c r="B3299" s="138">
        <f>'Acct Summary 7-8'!H77</f>
        <v>47151326</v>
      </c>
      <c r="C3299" s="2" t="s">
        <v>573</v>
      </c>
      <c r="D3299" s="2" t="str">
        <f t="shared" si="50"/>
        <v>Error?</v>
      </c>
    </row>
    <row r="3300" spans="1:4" x14ac:dyDescent="0.2">
      <c r="A3300" s="5">
        <v>3239</v>
      </c>
      <c r="B3300" s="138">
        <f>'Acct Summary 7-8'!H78</f>
        <v>30042314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46669</v>
      </c>
      <c r="C3320" s="2" t="s">
        <v>573</v>
      </c>
      <c r="D3320" s="2" t="str">
        <f t="shared" si="50"/>
        <v>Error?</v>
      </c>
    </row>
    <row r="3321" spans="1:4" x14ac:dyDescent="0.2">
      <c r="A3321" s="5">
        <v>3260</v>
      </c>
      <c r="B3321" s="138">
        <f>'Acct Summary 7-8'!I79</f>
        <v>3743788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3790457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7388551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1612954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224394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381305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53772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1211051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10880090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427742</v>
      </c>
      <c r="D3387" s="2" t="str">
        <f t="shared" si="51"/>
        <v>Error?</v>
      </c>
    </row>
    <row r="3388" spans="1:4" x14ac:dyDescent="0.2">
      <c r="A3388" s="5">
        <v>3327</v>
      </c>
      <c r="B3388" s="138">
        <f>'Expenditures 15-22'!D217</f>
        <v>555108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427742</v>
      </c>
      <c r="C3390" s="2" t="s">
        <v>573</v>
      </c>
      <c r="D3390" s="2" t="str">
        <f t="shared" si="51"/>
        <v>Error?</v>
      </c>
    </row>
    <row r="3391" spans="1:4" x14ac:dyDescent="0.2">
      <c r="A3391" s="5">
        <v>3330</v>
      </c>
      <c r="B3391" s="138">
        <f>'Expenditures 15-22'!K217</f>
        <v>555108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40008704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3514867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2951657</v>
      </c>
      <c r="D3417" s="2" t="str">
        <f t="shared" si="52"/>
        <v>Error?</v>
      </c>
    </row>
    <row r="3418" spans="1:4" x14ac:dyDescent="0.2">
      <c r="A3418" s="10">
        <v>3357</v>
      </c>
      <c r="D3418" s="2" t="str">
        <f t="shared" si="52"/>
        <v>OK</v>
      </c>
    </row>
    <row r="3419" spans="1:4" x14ac:dyDescent="0.2">
      <c r="A3419" s="5">
        <v>3358</v>
      </c>
      <c r="B3419" s="138">
        <f>'Assets-Liab 5-6'!F4</f>
        <v>1720341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3098945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39977771</v>
      </c>
      <c r="D3425" s="2" t="str">
        <f t="shared" si="52"/>
        <v>Error?</v>
      </c>
    </row>
    <row r="3426" spans="1:4" x14ac:dyDescent="0.2">
      <c r="A3426" s="10">
        <v>3365</v>
      </c>
      <c r="D3426" s="2" t="str">
        <f t="shared" si="52"/>
        <v>OK</v>
      </c>
    </row>
    <row r="3427" spans="1:4" x14ac:dyDescent="0.2">
      <c r="A3427" s="5">
        <v>3366</v>
      </c>
      <c r="B3427" s="138">
        <f>'Assets-Liab 5-6'!I4</f>
        <v>3780627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406540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1774385</v>
      </c>
      <c r="C3446" s="2" t="s">
        <v>573</v>
      </c>
      <c r="D3446" s="2" t="str">
        <f t="shared" si="52"/>
        <v>Error?</v>
      </c>
    </row>
    <row r="3447" spans="1:4" x14ac:dyDescent="0.2">
      <c r="A3447" s="5">
        <v>3386</v>
      </c>
      <c r="B3447" s="138">
        <f>'Tax Sched 23'!D16</f>
        <v>1774385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1545000</v>
      </c>
      <c r="C3449" s="2" t="s">
        <v>573</v>
      </c>
      <c r="D3449" s="2" t="str">
        <f t="shared" si="52"/>
        <v>Error?</v>
      </c>
    </row>
    <row r="3450" spans="1:4" x14ac:dyDescent="0.2">
      <c r="A3450" s="5">
        <v>3389</v>
      </c>
      <c r="B3450" s="138">
        <f>'Tax Sched 23'!E16</f>
        <v>1545000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82054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66171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67114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67114</v>
      </c>
      <c r="D3567" s="2" t="str">
        <f t="shared" si="54"/>
        <v>Error?</v>
      </c>
    </row>
    <row r="3568" spans="1:4" x14ac:dyDescent="0.2">
      <c r="A3568" s="5">
        <v>3507</v>
      </c>
      <c r="B3568" s="138">
        <f>'Assets-Liab 5-6'!K41</f>
        <v>67114</v>
      </c>
      <c r="C3568" s="2" t="s">
        <v>573</v>
      </c>
      <c r="D3568" s="2" t="str">
        <f t="shared" si="54"/>
        <v>Error?</v>
      </c>
    </row>
    <row r="3569" spans="1:4" x14ac:dyDescent="0.2">
      <c r="A3569" s="5">
        <v>3508</v>
      </c>
      <c r="B3569" s="138">
        <f>'Acct Summary 7-8'!K4</f>
        <v>2177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2177</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2177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2177</v>
      </c>
      <c r="C3588" s="2" t="s">
        <v>573</v>
      </c>
      <c r="D3588" s="2" t="str">
        <f t="shared" si="55"/>
        <v>Error?</v>
      </c>
    </row>
    <row r="3589" spans="1:4" x14ac:dyDescent="0.2">
      <c r="A3589" s="5">
        <v>3528</v>
      </c>
      <c r="B3589" s="138">
        <f>'Acct Summary 7-8'!K79</f>
        <v>64937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67114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2177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558840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36465894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128799033</v>
      </c>
      <c r="C4122" s="2" t="s">
        <v>573</v>
      </c>
      <c r="D4122" s="2" t="str">
        <f t="shared" si="63"/>
        <v>Error?</v>
      </c>
    </row>
    <row r="4123" spans="1:4" x14ac:dyDescent="0.2">
      <c r="A4123" s="5">
        <v>4062</v>
      </c>
      <c r="B4123" s="138">
        <f>'Acct Summary 7-8'!D10</f>
        <v>7664990</v>
      </c>
      <c r="C4123" s="2" t="s">
        <v>573</v>
      </c>
      <c r="D4123" s="2" t="str">
        <f t="shared" si="63"/>
        <v>Error?</v>
      </c>
    </row>
    <row r="4124" spans="1:4" x14ac:dyDescent="0.2">
      <c r="A4124" s="5">
        <v>4063</v>
      </c>
      <c r="B4124" s="138">
        <f>'Acct Summary 7-8'!E10</f>
        <v>5643167</v>
      </c>
      <c r="C4124" s="2" t="s">
        <v>573</v>
      </c>
      <c r="D4124" s="2" t="str">
        <f t="shared" si="63"/>
        <v>Error?</v>
      </c>
    </row>
    <row r="4125" spans="1:4" x14ac:dyDescent="0.2">
      <c r="A4125" s="5">
        <v>4064</v>
      </c>
      <c r="B4125" s="138">
        <f>'Acct Summary 7-8'!F10</f>
        <v>7300514</v>
      </c>
      <c r="C4125" s="2" t="s">
        <v>573</v>
      </c>
      <c r="D4125" s="2" t="str">
        <f t="shared" si="63"/>
        <v>Error?</v>
      </c>
    </row>
    <row r="4126" spans="1:4" x14ac:dyDescent="0.2">
      <c r="A4126" s="5">
        <v>4065</v>
      </c>
      <c r="B4126" s="138">
        <f>'Acct Summary 7-8'!G10</f>
        <v>3044340</v>
      </c>
      <c r="C4126" s="2" t="s">
        <v>573</v>
      </c>
      <c r="D4126" s="2" t="str">
        <f t="shared" si="63"/>
        <v>Error?</v>
      </c>
    </row>
    <row r="4127" spans="1:4" x14ac:dyDescent="0.2">
      <c r="A4127" s="5">
        <v>4066</v>
      </c>
      <c r="B4127" s="138">
        <f>'Acct Summary 7-8'!H10</f>
        <v>461896</v>
      </c>
      <c r="C4127" s="2" t="s">
        <v>573</v>
      </c>
      <c r="D4127" s="2" t="str">
        <f t="shared" si="63"/>
        <v>Error?</v>
      </c>
    </row>
    <row r="4128" spans="1:4" x14ac:dyDescent="0.2">
      <c r="A4128" s="5">
        <v>4067</v>
      </c>
      <c r="B4128" s="138">
        <f>'Acct Summary 7-8'!I10</f>
        <v>46669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2177</v>
      </c>
      <c r="C4130" s="2" t="s">
        <v>573</v>
      </c>
      <c r="D4130" s="2" t="str">
        <f t="shared" si="63"/>
        <v>Error?</v>
      </c>
    </row>
    <row r="4131" spans="1:4" x14ac:dyDescent="0.2">
      <c r="A4131" s="5">
        <v>4070</v>
      </c>
      <c r="B4131" s="138">
        <f>'Acct Summary 7-8'!C18</f>
        <v>36465894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116484739</v>
      </c>
      <c r="C4136" s="2" t="s">
        <v>573</v>
      </c>
      <c r="D4136" s="2" t="str">
        <f t="shared" si="63"/>
        <v>Error?</v>
      </c>
    </row>
    <row r="4137" spans="1:4" x14ac:dyDescent="0.2">
      <c r="A4137" s="5">
        <v>4076</v>
      </c>
      <c r="B4137" s="138">
        <f>'Acct Summary 7-8'!D19</f>
        <v>7732590</v>
      </c>
      <c r="C4137" s="2" t="s">
        <v>573</v>
      </c>
      <c r="D4137" s="2" t="str">
        <f t="shared" si="63"/>
        <v>Error?</v>
      </c>
    </row>
    <row r="4138" spans="1:4" x14ac:dyDescent="0.2">
      <c r="A4138" s="5">
        <v>4077</v>
      </c>
      <c r="B4138" s="138">
        <f>'Acct Summary 7-8'!E19</f>
        <v>5719327</v>
      </c>
      <c r="C4138" s="2" t="s">
        <v>573</v>
      </c>
      <c r="D4138" s="2" t="str">
        <f t="shared" si="63"/>
        <v>Error?</v>
      </c>
    </row>
    <row r="4139" spans="1:4" x14ac:dyDescent="0.2">
      <c r="A4139" s="5">
        <v>4078</v>
      </c>
      <c r="B4139" s="138">
        <f>'Acct Summary 7-8'!F19</f>
        <v>4420885</v>
      </c>
      <c r="C4139" s="2" t="s">
        <v>573</v>
      </c>
      <c r="D4139" s="2" t="str">
        <f t="shared" si="63"/>
        <v>Error?</v>
      </c>
    </row>
    <row r="4140" spans="1:4" x14ac:dyDescent="0.2">
      <c r="A4140" s="5">
        <v>4079</v>
      </c>
      <c r="B4140" s="138">
        <f>'Acct Summary 7-8'!G19</f>
        <v>3140246</v>
      </c>
      <c r="C4140" s="2" t="s">
        <v>573</v>
      </c>
      <c r="D4140" s="2" t="str">
        <f t="shared" si="63"/>
        <v>Error?</v>
      </c>
    </row>
    <row r="4141" spans="1:4" x14ac:dyDescent="0.2">
      <c r="A4141" s="5">
        <v>4080</v>
      </c>
      <c r="B4141" s="138">
        <f>'Acct Summary 7-8'!H19</f>
        <v>17570908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69502467</v>
      </c>
      <c r="C4171" s="2" t="s">
        <v>573</v>
      </c>
      <c r="D4171" s="2" t="str">
        <f t="shared" si="64"/>
        <v>Error?</v>
      </c>
    </row>
    <row r="4172" spans="1:4" x14ac:dyDescent="0.2">
      <c r="A4172" s="5">
        <v>4111</v>
      </c>
      <c r="B4172" s="138">
        <f>'Short-Term Long-Term Debt 24'!J49</f>
        <v>66539477</v>
      </c>
      <c r="C4172" s="2" t="s">
        <v>573</v>
      </c>
      <c r="D4172" s="2" t="str">
        <f t="shared" si="64"/>
        <v>Error?</v>
      </c>
    </row>
    <row r="4173" spans="1:4" x14ac:dyDescent="0.2">
      <c r="A4173" s="5">
        <v>4112</v>
      </c>
      <c r="B4173" s="138">
        <f>'Short-Term Long-Term Debt 24'!H49</f>
        <v>4327546</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-3450000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3597</v>
      </c>
      <c r="C4265" s="2" t="s">
        <v>573</v>
      </c>
      <c r="D4265" s="2" t="str">
        <f t="shared" si="65"/>
        <v>Error?</v>
      </c>
      <c r="E4265" s="128"/>
    </row>
    <row r="4266" spans="1:5" x14ac:dyDescent="0.2">
      <c r="A4266" s="12">
        <v>4205</v>
      </c>
      <c r="B4266" s="138">
        <f>('FP Info 3'!F10)*100000</f>
        <v>447.99999999999994</v>
      </c>
      <c r="C4266" s="2" t="s">
        <v>573</v>
      </c>
      <c r="D4266" s="2" t="str">
        <f t="shared" si="65"/>
        <v>Error?</v>
      </c>
      <c r="E4266" s="128"/>
    </row>
    <row r="4267" spans="1:5" x14ac:dyDescent="0.2">
      <c r="A4267" s="12">
        <v>4206</v>
      </c>
      <c r="B4267" s="138">
        <f>('FP Info 3'!H10)*100000</f>
        <v>275.7</v>
      </c>
      <c r="C4267" s="2" t="s">
        <v>573</v>
      </c>
      <c r="D4267" s="2" t="str">
        <f t="shared" si="65"/>
        <v>Error?</v>
      </c>
      <c r="E4267" s="128"/>
    </row>
    <row r="4268" spans="1:5" x14ac:dyDescent="0.2">
      <c r="A4268" s="12">
        <v>4207</v>
      </c>
      <c r="B4268" s="138">
        <f>('FP Info 3'!J10)*100000</f>
        <v>4321</v>
      </c>
      <c r="C4268" s="2" t="s">
        <v>573</v>
      </c>
      <c r="D4268" s="2" t="str">
        <f t="shared" si="65"/>
        <v>Error?</v>
      </c>
    </row>
    <row r="4269" spans="1:5" x14ac:dyDescent="0.2">
      <c r="A4269" s="12">
        <v>4208</v>
      </c>
      <c r="B4269" s="138">
        <f>'FP Info 3'!J16</f>
        <v>37548795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234562</v>
      </c>
      <c r="D4300" s="2" t="str">
        <f t="shared" si="66"/>
        <v>Error?</v>
      </c>
    </row>
    <row r="4301" spans="1:4" x14ac:dyDescent="0.2">
      <c r="A4301" s="5">
        <v>4240</v>
      </c>
      <c r="B4301" s="138">
        <f>'Rest Tax Levies-Tort Im 25'!G37</f>
        <v>3931</v>
      </c>
      <c r="D4301" s="2" t="str">
        <f t="shared" si="66"/>
        <v>Error?</v>
      </c>
    </row>
    <row r="4302" spans="1:4" x14ac:dyDescent="0.2">
      <c r="A4302" s="5">
        <v>4241</v>
      </c>
      <c r="B4302" s="138">
        <f>'Rest Tax Levies-Tort Im 25'!G38</f>
        <v>385061</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58824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188552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531739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115353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204104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1163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128891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1793481440</v>
      </c>
      <c r="D4995" s="2" t="str">
        <f t="shared" si="77"/>
        <v>Error?</v>
      </c>
    </row>
    <row r="4996" spans="1:4" x14ac:dyDescent="0.2">
      <c r="A4996" s="12">
        <v>4935</v>
      </c>
      <c r="B4996" s="138">
        <f>'FP Info 3'!H31</f>
        <v>123750219.36000001</v>
      </c>
      <c r="D4996" s="2" t="str">
        <f t="shared" si="77"/>
        <v>Error?</v>
      </c>
    </row>
    <row r="4997" spans="1:4" x14ac:dyDescent="0.2">
      <c r="A4997" s="12">
        <v>4936</v>
      </c>
      <c r="B4997" s="138">
        <f>'FP Info 3'!H37</f>
        <v>69502467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2500000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2500000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60364175</v>
      </c>
      <c r="D5061" s="2" t="str">
        <f t="shared" si="78"/>
        <v>Error?</v>
      </c>
    </row>
    <row r="5062" spans="1:4" x14ac:dyDescent="0.2">
      <c r="A5062" s="10">
        <v>5001</v>
      </c>
      <c r="D5062" s="2" t="str">
        <f t="shared" si="78"/>
        <v>OK</v>
      </c>
    </row>
    <row r="5063" spans="1:4" x14ac:dyDescent="0.2">
      <c r="A5063" s="5">
        <v>5002</v>
      </c>
      <c r="B5063" s="138">
        <f>'Revenues 9-14'!C7</f>
        <v>6576848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66941023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977503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977503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6975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6975</v>
      </c>
      <c r="C5087" s="2" t="s">
        <v>573</v>
      </c>
      <c r="D5087" s="2" t="str">
        <f t="shared" si="78"/>
        <v>Error?</v>
      </c>
    </row>
    <row r="5088" spans="1:4" x14ac:dyDescent="0.2">
      <c r="A5088" s="5">
        <v>5027</v>
      </c>
      <c r="B5088" s="138">
        <f>'Revenues 9-14'!C65</f>
        <v>919452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919452</v>
      </c>
      <c r="C5090" s="2" t="s">
        <v>573</v>
      </c>
      <c r="D5090" s="2" t="str">
        <f t="shared" si="78"/>
        <v>Error?</v>
      </c>
    </row>
    <row r="5091" spans="1:4" x14ac:dyDescent="0.2">
      <c r="A5091" s="5">
        <v>5030</v>
      </c>
      <c r="B5091" s="138">
        <f>'Revenues 9-14'!C70</f>
        <v>20360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26472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287652</v>
      </c>
      <c r="C5096" s="2" t="s">
        <v>573</v>
      </c>
      <c r="D5096" s="2" t="str">
        <f t="shared" si="78"/>
        <v>Error?</v>
      </c>
    </row>
    <row r="5097" spans="1:4" x14ac:dyDescent="0.2">
      <c r="A5097" s="5">
        <v>5036</v>
      </c>
      <c r="B5097" s="138">
        <f>'Revenues 9-14'!C77</f>
        <v>10542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33113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43655</v>
      </c>
      <c r="C5102" s="2" t="s">
        <v>573</v>
      </c>
      <c r="D5102" s="2" t="str">
        <f t="shared" si="78"/>
        <v>Error?</v>
      </c>
    </row>
    <row r="5103" spans="1:4" x14ac:dyDescent="0.2">
      <c r="A5103" s="5">
        <v>5042</v>
      </c>
      <c r="B5103" s="138">
        <f>'Revenues 9-14'!C84</f>
        <v>182777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182777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95625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47221</v>
      </c>
      <c r="D5118" s="2" t="str">
        <f t="shared" si="78"/>
        <v>Error?</v>
      </c>
    </row>
    <row r="5119" spans="1:4" x14ac:dyDescent="0.2">
      <c r="A5119" s="5">
        <v>5058</v>
      </c>
      <c r="B5119" s="138">
        <f>'Revenues 9-14'!C107</f>
        <v>39078</v>
      </c>
      <c r="D5119" s="2" t="str">
        <f t="shared" ref="D5119:D5182" si="79">IF(ISBLANK(B5119),"OK",IF(A5119-B5119=0,"OK","Error?"))</f>
        <v>Error?</v>
      </c>
    </row>
    <row r="5120" spans="1:4" x14ac:dyDescent="0.2">
      <c r="A5120" s="5">
        <v>5059</v>
      </c>
      <c r="B5120" s="138">
        <f>'Revenues 9-14'!C108</f>
        <v>1800247</v>
      </c>
      <c r="C5120" s="2" t="s">
        <v>573</v>
      </c>
      <c r="D5120" s="2" t="str">
        <f t="shared" si="79"/>
        <v>Error?</v>
      </c>
    </row>
    <row r="5121" spans="1:4" x14ac:dyDescent="0.2">
      <c r="A5121" s="5">
        <v>5060</v>
      </c>
      <c r="B5121" s="138">
        <f>'Revenues 9-14'!C109</f>
        <v>71159284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12872840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12872840</v>
      </c>
      <c r="C5132" s="2" t="s">
        <v>573</v>
      </c>
      <c r="D5132" s="2" t="str">
        <f t="shared" si="79"/>
        <v>Error?</v>
      </c>
    </row>
    <row r="5133" spans="1:4" x14ac:dyDescent="0.2">
      <c r="A5133" s="5">
        <v>5072</v>
      </c>
      <c r="B5133" s="138">
        <f>'Revenues 9-14'!C125</f>
        <v>73296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63086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136382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75632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1151203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1492108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14364948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2175045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974402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3149447</v>
      </c>
      <c r="C5246" s="2" t="s">
        <v>573</v>
      </c>
      <c r="D5246" s="2" t="str">
        <f t="shared" si="80"/>
        <v>Error?</v>
      </c>
    </row>
    <row r="5247" spans="1:4" x14ac:dyDescent="0.2">
      <c r="A5247" s="5">
        <v>5186</v>
      </c>
      <c r="B5247" s="138">
        <f>'Revenues 9-14'!C200</f>
        <v>1214145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1272969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48218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1236635</v>
      </c>
      <c r="D5278" s="2" t="str">
        <f t="shared" si="81"/>
        <v>Error?</v>
      </c>
    </row>
    <row r="5279" spans="1:4" x14ac:dyDescent="0.2">
      <c r="A5279" s="5">
        <v>5218</v>
      </c>
      <c r="B5279" s="138">
        <f>'Revenues 9-14'!C214</f>
        <v>32920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1317773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28970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6808907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6808907</v>
      </c>
      <c r="C5326" s="2" t="s">
        <v>573</v>
      </c>
      <c r="D5326" s="2" t="str">
        <f t="shared" si="82"/>
        <v>Error?</v>
      </c>
    </row>
    <row r="5327" spans="1:5" x14ac:dyDescent="0.2">
      <c r="A5327" s="5">
        <v>5266</v>
      </c>
      <c r="B5327" s="138">
        <f>'Revenues 9-14'!C268</f>
        <v>92333139</v>
      </c>
      <c r="C5327" s="2" t="s">
        <v>573</v>
      </c>
      <c r="D5327" s="2" t="str">
        <f t="shared" si="82"/>
        <v>Error?</v>
      </c>
    </row>
    <row r="5328" spans="1:5" x14ac:dyDescent="0.2">
      <c r="A5328" s="5">
        <v>5267</v>
      </c>
      <c r="B5328" s="138">
        <f>'Revenues 9-14'!D5</f>
        <v>7492291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7492291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119512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119512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29743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10267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13177</v>
      </c>
      <c r="D5354" s="2" t="str">
        <f t="shared" si="82"/>
        <v>Error?</v>
      </c>
    </row>
    <row r="5355" spans="1:4" x14ac:dyDescent="0.2">
      <c r="A5355" s="5">
        <v>5294</v>
      </c>
      <c r="B5355" s="138">
        <f>'Revenues 9-14'!D108</f>
        <v>53187</v>
      </c>
      <c r="C5355" s="2" t="s">
        <v>573</v>
      </c>
      <c r="D5355" s="2" t="str">
        <f t="shared" si="82"/>
        <v>Error?</v>
      </c>
    </row>
    <row r="5356" spans="1:4" x14ac:dyDescent="0.2">
      <c r="A5356" s="5">
        <v>5295</v>
      </c>
      <c r="B5356" s="138">
        <f>'Revenues 9-14'!D109</f>
        <v>7664990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7664990</v>
      </c>
      <c r="C5508" s="2" t="s">
        <v>573</v>
      </c>
      <c r="D5508" s="2" t="str">
        <f t="shared" si="85"/>
        <v>Error?</v>
      </c>
    </row>
    <row r="5509" spans="1:4" x14ac:dyDescent="0.2">
      <c r="A5509" s="5">
        <v>5448</v>
      </c>
      <c r="B5509" s="138">
        <f>'Revenues 9-14'!E5</f>
        <v>5597692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5597692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45475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45475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5643167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5643167</v>
      </c>
      <c r="C5552" s="2" t="s">
        <v>573</v>
      </c>
      <c r="D5552" s="2" t="str">
        <f t="shared" si="85"/>
        <v>Error?</v>
      </c>
    </row>
    <row r="5553" spans="1:4" x14ac:dyDescent="0.2">
      <c r="A5553" s="5">
        <v>5492</v>
      </c>
      <c r="B5553" s="138">
        <f>'Revenues 9-14'!F5</f>
        <v>4657687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4657687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4395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2733</v>
      </c>
      <c r="D5566" s="2" t="str">
        <f t="shared" si="85"/>
        <v>Error?</v>
      </c>
    </row>
    <row r="5567" spans="1:4" x14ac:dyDescent="0.2">
      <c r="A5567" s="5">
        <v>5506</v>
      </c>
      <c r="B5567" s="138">
        <f>'Revenues 9-14'!F47</f>
        <v>1199</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8327</v>
      </c>
      <c r="C5579" s="2" t="s">
        <v>573</v>
      </c>
      <c r="D5579" s="2" t="str">
        <f t="shared" si="86"/>
        <v>Error?</v>
      </c>
    </row>
    <row r="5580" spans="1:4" x14ac:dyDescent="0.2">
      <c r="A5580" s="5">
        <v>5519</v>
      </c>
      <c r="B5580" s="138">
        <f>'Revenues 9-14'!F65</f>
        <v>91001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91001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4757015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1197168</v>
      </c>
      <c r="D5615" s="2" t="str">
        <f t="shared" si="86"/>
        <v>Error?</v>
      </c>
    </row>
    <row r="5616" spans="1:4" x14ac:dyDescent="0.2">
      <c r="A5616" s="10">
        <v>5555</v>
      </c>
      <c r="D5616" s="2" t="str">
        <f t="shared" si="86"/>
        <v>OK</v>
      </c>
    </row>
    <row r="5617" spans="1:5" x14ac:dyDescent="0.2">
      <c r="A5617" s="5">
        <v>5556</v>
      </c>
      <c r="B5617" s="138">
        <f>'Revenues 9-14'!F153</f>
        <v>1346331</v>
      </c>
      <c r="D5617" s="2" t="str">
        <f t="shared" si="86"/>
        <v>Error?</v>
      </c>
    </row>
    <row r="5618" spans="1:5" x14ac:dyDescent="0.2">
      <c r="A5618" s="5">
        <v>5557</v>
      </c>
      <c r="B5618" s="138">
        <f>'Revenues 9-14'!F155</f>
        <v>2543499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2543499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2543499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7300514</v>
      </c>
      <c r="C5720" s="2" t="s">
        <v>573</v>
      </c>
      <c r="D5720" s="2" t="str">
        <f t="shared" si="88"/>
        <v>Error?</v>
      </c>
    </row>
    <row r="5721" spans="1:4" x14ac:dyDescent="0.2">
      <c r="A5721" s="5">
        <v>5660</v>
      </c>
      <c r="B5721" s="138">
        <f>'Revenues 9-14'!G5</f>
        <v>1036259</v>
      </c>
      <c r="D5721" s="2" t="str">
        <f t="shared" si="88"/>
        <v>Error?</v>
      </c>
    </row>
    <row r="5722" spans="1:4" x14ac:dyDescent="0.2">
      <c r="A5722" s="5">
        <v>5661</v>
      </c>
      <c r="B5722" s="138">
        <f>'Revenues 9-14'!G7</f>
        <v>0</v>
      </c>
      <c r="D5722" s="2" t="str">
        <f t="shared" si="88"/>
        <v>Error?</v>
      </c>
    </row>
    <row r="5723" spans="1:4" x14ac:dyDescent="0.2">
      <c r="A5723" s="5">
        <v>5662</v>
      </c>
      <c r="B5723" s="138">
        <f>'Revenues 9-14'!G8</f>
        <v>1774385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2810644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105550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105550</v>
      </c>
      <c r="C5730" s="2" t="s">
        <v>573</v>
      </c>
      <c r="D5730" s="2" t="str">
        <f t="shared" si="88"/>
        <v>Error?</v>
      </c>
    </row>
    <row r="5731" spans="1:4" x14ac:dyDescent="0.2">
      <c r="A5731" s="5">
        <v>5670</v>
      </c>
      <c r="B5731" s="138">
        <f>'Revenues 9-14'!G65</f>
        <v>124534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124534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3612</v>
      </c>
      <c r="D5736" s="2" t="str">
        <f t="shared" si="88"/>
        <v>Error?</v>
      </c>
    </row>
    <row r="5737" spans="1:4" x14ac:dyDescent="0.2">
      <c r="A5737" s="5">
        <v>5676</v>
      </c>
      <c r="B5737" s="138">
        <f>'Revenues 9-14'!G108</f>
        <v>3612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3044340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461896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461896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461896</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46669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46669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46669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2177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2177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2177</v>
      </c>
      <c r="C6023" s="2" t="s">
        <v>573</v>
      </c>
      <c r="D6023" s="2" t="str">
        <f t="shared" si="93"/>
        <v>Error?</v>
      </c>
    </row>
    <row r="6024" spans="1:5" x14ac:dyDescent="0.2">
      <c r="A6024" s="5">
        <v>5963</v>
      </c>
      <c r="B6024" s="138">
        <f>'Revenues 9-14'!G109</f>
        <v>3044340</v>
      </c>
      <c r="C6024" s="2" t="s">
        <v>573</v>
      </c>
      <c r="D6024" s="2" t="str">
        <f t="shared" si="93"/>
        <v>Error?</v>
      </c>
    </row>
    <row r="6025" spans="1:5" x14ac:dyDescent="0.2">
      <c r="A6025" s="5">
        <v>5964</v>
      </c>
      <c r="B6025" s="138">
        <f>'Revenues 9-14'!H109</f>
        <v>461896</v>
      </c>
      <c r="C6025" s="2" t="s">
        <v>573</v>
      </c>
      <c r="D6025" s="2" t="str">
        <f t="shared" si="93"/>
        <v>Error?</v>
      </c>
    </row>
    <row r="6026" spans="1:5" x14ac:dyDescent="0.2">
      <c r="A6026" s="5">
        <v>5965</v>
      </c>
      <c r="B6026" s="138">
        <f>'Revenues 9-14'!I109</f>
        <v>46669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2177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240820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303535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5509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1699669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510504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190289</v>
      </c>
      <c r="D6099" s="2" t="str">
        <f t="shared" si="94"/>
        <v>Error?</v>
      </c>
      <c r="E6099" s="2" t="s">
        <v>190</v>
      </c>
    </row>
    <row r="6100" spans="1:5" x14ac:dyDescent="0.2">
      <c r="A6100">
        <v>6039</v>
      </c>
      <c r="B6100" s="138">
        <f>'Assets-Liab 5-6'!D9</f>
        <v>26847</v>
      </c>
      <c r="D6100" s="2" t="str">
        <f t="shared" si="94"/>
        <v>Error?</v>
      </c>
      <c r="E6100" s="2" t="s">
        <v>190</v>
      </c>
    </row>
    <row r="6101" spans="1:5" x14ac:dyDescent="0.2">
      <c r="A6101">
        <v>6040</v>
      </c>
      <c r="B6101" s="138">
        <f>'Assets-Liab 5-6'!E9</f>
        <v>10239</v>
      </c>
      <c r="D6101" s="2" t="str">
        <f t="shared" si="94"/>
        <v>Error?</v>
      </c>
      <c r="E6101" s="2" t="s">
        <v>190</v>
      </c>
    </row>
    <row r="6102" spans="1:5" x14ac:dyDescent="0.2">
      <c r="A6102">
        <v>6041</v>
      </c>
      <c r="B6102" s="138">
        <f>'Assets-Liab 5-6'!F9</f>
        <v>21677</v>
      </c>
      <c r="D6102" s="2" t="str">
        <f t="shared" si="94"/>
        <v>Error?</v>
      </c>
      <c r="E6102" s="2" t="s">
        <v>190</v>
      </c>
    </row>
    <row r="6103" spans="1:5" x14ac:dyDescent="0.2">
      <c r="A6103">
        <f>A6102+1</f>
        <v>6042</v>
      </c>
      <c r="B6103" s="138">
        <f>'Assets-Liab 5-6'!G9</f>
        <v>26417</v>
      </c>
      <c r="D6103" s="2" t="str">
        <f t="shared" si="94"/>
        <v>Error?</v>
      </c>
      <c r="E6103" s="2" t="s">
        <v>190</v>
      </c>
    </row>
    <row r="6104" spans="1:5" x14ac:dyDescent="0.2">
      <c r="A6104">
        <v>6043</v>
      </c>
      <c r="B6104" s="138">
        <f>'Assets-Liab 5-6'!H9</f>
        <v>84349</v>
      </c>
      <c r="D6104" s="2" t="str">
        <f t="shared" si="94"/>
        <v>Error?</v>
      </c>
      <c r="E6104" s="2" t="s">
        <v>190</v>
      </c>
    </row>
    <row r="6105" spans="1:5" x14ac:dyDescent="0.2">
      <c r="A6105">
        <v>6044</v>
      </c>
      <c r="B6105" s="138">
        <f>'Assets-Liab 5-6'!I9</f>
        <v>9830</v>
      </c>
      <c r="D6105" s="2" t="str">
        <f t="shared" si="94"/>
        <v>Error?</v>
      </c>
      <c r="E6105" s="2" t="s">
        <v>190</v>
      </c>
    </row>
    <row r="6106" spans="1:5" x14ac:dyDescent="0.2">
      <c r="A6106">
        <v>6045</v>
      </c>
      <c r="B6106" s="138">
        <f>'Assets-Liab 5-6'!J9</f>
        <v>1613</v>
      </c>
      <c r="D6106" s="2" t="str">
        <f t="shared" si="94"/>
        <v>Error?</v>
      </c>
      <c r="E6106" s="2" t="s">
        <v>190</v>
      </c>
    </row>
    <row r="6107" spans="1:5" x14ac:dyDescent="0.2">
      <c r="A6107">
        <v>6046</v>
      </c>
      <c r="B6107" s="138">
        <f>'Assets-Liab 5-6'!K9</f>
        <v>943</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249510</v>
      </c>
      <c r="D6113" s="2" t="str">
        <f t="shared" si="94"/>
        <v>Error?</v>
      </c>
      <c r="E6113" s="2" t="s">
        <v>190</v>
      </c>
    </row>
    <row r="6114" spans="1:5" x14ac:dyDescent="0.2">
      <c r="A6114">
        <v>6053</v>
      </c>
      <c r="B6114" s="138">
        <f>'Assets-Liab 5-6'!D11</f>
        <v>3501</v>
      </c>
      <c r="D6114" s="2" t="str">
        <f t="shared" si="94"/>
        <v>Error?</v>
      </c>
      <c r="E6114" s="2" t="s">
        <v>190</v>
      </c>
    </row>
    <row r="6115" spans="1:5" x14ac:dyDescent="0.2">
      <c r="A6115">
        <v>6054</v>
      </c>
      <c r="B6115" s="138">
        <f>'Assets-Liab 5-6'!E11</f>
        <v>1094</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172</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208740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953143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414274</v>
      </c>
      <c r="D6142" s="2" t="str">
        <f t="shared" si="94"/>
        <v>Error?</v>
      </c>
      <c r="E6142" s="2" t="s">
        <v>190</v>
      </c>
    </row>
    <row r="6143" spans="1:5" x14ac:dyDescent="0.2">
      <c r="A6143">
        <v>6082</v>
      </c>
      <c r="B6143" s="138">
        <f>'Assets-Liab 5-6'!D27</f>
        <v>34505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33785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9804095</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4624244</v>
      </c>
      <c r="D6169" s="2" t="str">
        <f t="shared" si="95"/>
        <v>Error?</v>
      </c>
      <c r="E6169" s="2" t="s">
        <v>190</v>
      </c>
    </row>
    <row r="6170" spans="1:5" x14ac:dyDescent="0.2">
      <c r="A6170">
        <v>6109</v>
      </c>
      <c r="B6170" s="138">
        <f>'Assets-Liab 5-6'!D30</f>
        <v>13740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2442</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344201</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344201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608942</v>
      </c>
      <c r="D6215" s="2" t="str">
        <f t="shared" si="96"/>
        <v>Error?</v>
      </c>
      <c r="E6215" s="2" t="s">
        <v>190</v>
      </c>
    </row>
    <row r="6216" spans="1:5" x14ac:dyDescent="0.2">
      <c r="A6216">
        <v>6155</v>
      </c>
      <c r="B6216" s="138">
        <f>'Assets-Liab 5-6'!J41</f>
        <v>953143</v>
      </c>
      <c r="D6216" s="2" t="str">
        <f t="shared" si="96"/>
        <v>Error?</v>
      </c>
      <c r="E6216" s="2" t="s">
        <v>190</v>
      </c>
    </row>
    <row r="6217" spans="1:5" x14ac:dyDescent="0.2">
      <c r="A6217">
        <v>6156</v>
      </c>
      <c r="B6217" s="138">
        <f>'Assets-Liab 5-6'!J4</f>
        <v>398589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344201</v>
      </c>
      <c r="D6219" s="2" t="str">
        <f t="shared" si="96"/>
        <v>Error?</v>
      </c>
      <c r="E6219" s="2" t="s">
        <v>190</v>
      </c>
    </row>
    <row r="6220" spans="1:5" x14ac:dyDescent="0.2">
      <c r="A6220">
        <v>6159</v>
      </c>
      <c r="B6220" s="138">
        <f>'Acct Summary 7-8'!J4</f>
        <v>810135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810135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810135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623553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623553</v>
      </c>
      <c r="D6229" s="2" t="str">
        <f t="shared" si="96"/>
        <v>Error?</v>
      </c>
      <c r="E6229" s="2" t="s">
        <v>190</v>
      </c>
    </row>
    <row r="6230" spans="1:5" x14ac:dyDescent="0.2">
      <c r="A6230">
        <v>6169</v>
      </c>
      <c r="B6230" s="138">
        <f>'Acct Summary 7-8'!J20</f>
        <v>186582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186582</v>
      </c>
      <c r="D6263" s="2" t="str">
        <f t="shared" si="96"/>
        <v>Error?</v>
      </c>
      <c r="E6263" s="2" t="s">
        <v>190</v>
      </c>
    </row>
    <row r="6264" spans="1:5" x14ac:dyDescent="0.2">
      <c r="A6264">
        <v>6203</v>
      </c>
      <c r="B6264" s="138">
        <f>'Acct Summary 7-8'!J79</f>
        <v>422360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608942</v>
      </c>
      <c r="D6266" s="2" t="str">
        <f t="shared" si="96"/>
        <v>Error?</v>
      </c>
      <c r="E6266" s="2" t="s">
        <v>190</v>
      </c>
    </row>
    <row r="6267" spans="1:5" x14ac:dyDescent="0.2">
      <c r="A6267">
        <v>6206</v>
      </c>
      <c r="B6267" s="138">
        <f>'Acct Summary 7-8'!C82</f>
        <v>14394431</v>
      </c>
      <c r="D6267" s="2" t="str">
        <f t="shared" si="96"/>
        <v>Error?</v>
      </c>
      <c r="E6267" s="2" t="s">
        <v>190</v>
      </c>
    </row>
    <row r="6268" spans="1:5" x14ac:dyDescent="0.2">
      <c r="A6268">
        <v>6207</v>
      </c>
      <c r="B6268" s="138">
        <f>'Acct Summary 7-8'!D82</f>
        <v>-1355446</v>
      </c>
      <c r="D6268" s="2" t="str">
        <f t="shared" si="96"/>
        <v>Error?</v>
      </c>
      <c r="E6268" s="2" t="s">
        <v>190</v>
      </c>
    </row>
    <row r="6269" spans="1:5" x14ac:dyDescent="0.2">
      <c r="A6269">
        <v>6208</v>
      </c>
      <c r="B6269" s="138">
        <f>'Acct Summary 7-8'!E82</f>
        <v>111864</v>
      </c>
      <c r="D6269" s="2" t="str">
        <f t="shared" si="96"/>
        <v>Error?</v>
      </c>
      <c r="E6269" s="2" t="s">
        <v>190</v>
      </c>
    </row>
    <row r="6270" spans="1:5" x14ac:dyDescent="0.2">
      <c r="A6270">
        <v>6209</v>
      </c>
      <c r="B6270" s="138">
        <f>'Acct Summary 7-8'!F82</f>
        <v>379629</v>
      </c>
      <c r="D6270" s="2" t="str">
        <f t="shared" si="96"/>
        <v>Error?</v>
      </c>
      <c r="E6270" s="2" t="s">
        <v>190</v>
      </c>
    </row>
    <row r="6271" spans="1:5" x14ac:dyDescent="0.2">
      <c r="A6271">
        <v>6210</v>
      </c>
      <c r="B6271" s="138">
        <f>'Acct Summary 7-8'!G82</f>
        <v>-95906</v>
      </c>
      <c r="D6271" s="2" t="str">
        <f t="shared" ref="D6271:D6334" si="97">IF(ISBLANK(B6271),"OK",IF(A6271-B6271=0,"OK","Error?"))</f>
        <v>Error?</v>
      </c>
      <c r="E6271" s="2" t="s">
        <v>190</v>
      </c>
    </row>
    <row r="6272" spans="1:5" x14ac:dyDescent="0.2">
      <c r="A6272">
        <v>6211</v>
      </c>
      <c r="B6272" s="138">
        <f>'Acct Summary 7-8'!H82</f>
        <v>30042314</v>
      </c>
      <c r="D6272" s="2" t="str">
        <f t="shared" si="97"/>
        <v>Error?</v>
      </c>
      <c r="E6272" s="2" t="s">
        <v>190</v>
      </c>
    </row>
    <row r="6273" spans="1:5" x14ac:dyDescent="0.2">
      <c r="A6273">
        <v>6212</v>
      </c>
      <c r="B6273" s="138">
        <f>'Acct Summary 7-8'!I82</f>
        <v>46669</v>
      </c>
      <c r="D6273" s="2" t="str">
        <f t="shared" si="97"/>
        <v>Error?</v>
      </c>
      <c r="E6273" s="2" t="s">
        <v>190</v>
      </c>
    </row>
    <row r="6274" spans="1:5" x14ac:dyDescent="0.2">
      <c r="A6274">
        <v>6213</v>
      </c>
      <c r="B6274" s="138">
        <f>'Acct Summary 7-8'!J82</f>
        <v>186582</v>
      </c>
      <c r="D6274" s="2" t="str">
        <f t="shared" si="97"/>
        <v>Error?</v>
      </c>
      <c r="E6274" s="2" t="s">
        <v>190</v>
      </c>
    </row>
    <row r="6275" spans="1:5" x14ac:dyDescent="0.2">
      <c r="A6275">
        <v>6214</v>
      </c>
      <c r="B6275" s="138">
        <f>'Acct Summary 7-8'!K82</f>
        <v>2177</v>
      </c>
      <c r="D6275" s="2" t="str">
        <f t="shared" si="97"/>
        <v>Error?</v>
      </c>
      <c r="E6275" s="2" t="s">
        <v>190</v>
      </c>
    </row>
    <row r="6276" spans="1:5" x14ac:dyDescent="0.2">
      <c r="A6276">
        <v>6215</v>
      </c>
      <c r="B6276" s="138">
        <f>'Acct Summary 7-8'!C83</f>
        <v>0.51073736927959523</v>
      </c>
      <c r="D6276" s="2" t="str">
        <f t="shared" si="97"/>
        <v>Error?</v>
      </c>
      <c r="E6276" s="2" t="s">
        <v>190</v>
      </c>
    </row>
    <row r="6277" spans="1:5" x14ac:dyDescent="0.2">
      <c r="A6277">
        <v>6216</v>
      </c>
      <c r="B6277" s="138">
        <f>'Acct Summary 7-8'!D83</f>
        <v>-0.40321094231072424</v>
      </c>
      <c r="D6277" s="2" t="str">
        <f t="shared" si="97"/>
        <v>Error?</v>
      </c>
      <c r="E6277" s="2" t="s">
        <v>190</v>
      </c>
    </row>
    <row r="6278" spans="1:5" x14ac:dyDescent="0.2">
      <c r="A6278">
        <v>6217</v>
      </c>
      <c r="B6278" s="138">
        <f>'Acct Summary 7-8'!E83</f>
        <v>3.7753755496981088E-2</v>
      </c>
      <c r="D6278" s="2" t="str">
        <f t="shared" si="97"/>
        <v>Error?</v>
      </c>
      <c r="E6278" s="2" t="s">
        <v>190</v>
      </c>
    </row>
    <row r="6279" spans="1:5" x14ac:dyDescent="0.2">
      <c r="A6279">
        <v>6218</v>
      </c>
      <c r="B6279" s="138">
        <f>'Acct Summary 7-8'!F83</f>
        <v>0.17153860543802715</v>
      </c>
      <c r="D6279" s="2" t="str">
        <f t="shared" si="97"/>
        <v>Error?</v>
      </c>
      <c r="E6279" s="2" t="s">
        <v>190</v>
      </c>
    </row>
    <row r="6280" spans="1:5" x14ac:dyDescent="0.2">
      <c r="A6280">
        <v>6219</v>
      </c>
      <c r="B6280" s="138">
        <f>'Acct Summary 7-8'!G83</f>
        <v>-3.1935273016182743E-2</v>
      </c>
      <c r="D6280" s="2" t="str">
        <f t="shared" si="97"/>
        <v>Error?</v>
      </c>
      <c r="E6280" s="2" t="s">
        <v>190</v>
      </c>
    </row>
    <row r="6281" spans="1:5" x14ac:dyDescent="0.2">
      <c r="A6281">
        <v>6220</v>
      </c>
      <c r="B6281" s="138">
        <f>'Acct Summary 7-8'!H83</f>
        <v>0.99286530522621685</v>
      </c>
      <c r="D6281" s="2" t="str">
        <f t="shared" si="97"/>
        <v>Error?</v>
      </c>
      <c r="E6281" s="2" t="s">
        <v>190</v>
      </c>
    </row>
    <row r="6282" spans="1:5" x14ac:dyDescent="0.2">
      <c r="A6282">
        <v>6221</v>
      </c>
      <c r="B6282" s="138">
        <f>'Acct Summary 7-8'!I83</f>
        <v>1.2312235701394317E-2</v>
      </c>
      <c r="D6282" s="2" t="str">
        <f t="shared" si="97"/>
        <v>Error?</v>
      </c>
      <c r="E6282" s="2" t="s">
        <v>190</v>
      </c>
    </row>
    <row r="6283" spans="1:5" x14ac:dyDescent="0.2">
      <c r="A6283">
        <v>6222</v>
      </c>
      <c r="B6283" s="138">
        <f>'Acct Summary 7-8'!J83</f>
        <v>0.30640356552840831</v>
      </c>
      <c r="D6283" s="2" t="str">
        <f t="shared" si="97"/>
        <v>Error?</v>
      </c>
      <c r="E6283" s="2" t="s">
        <v>190</v>
      </c>
    </row>
    <row r="6284" spans="1:5" x14ac:dyDescent="0.2">
      <c r="A6284">
        <v>6223</v>
      </c>
      <c r="B6284" s="138">
        <f>'Acct Summary 7-8'!K83</f>
        <v>3.2437345412283575E-2</v>
      </c>
      <c r="D6284" s="2" t="str">
        <f t="shared" si="97"/>
        <v>Error?</v>
      </c>
      <c r="E6284" s="2" t="s">
        <v>190</v>
      </c>
    </row>
    <row r="6285" spans="1:5" x14ac:dyDescent="0.2">
      <c r="A6285">
        <v>6224</v>
      </c>
      <c r="B6285" s="138">
        <f>'Acct Summary 7-8'!E37</f>
        <v>512546</v>
      </c>
      <c r="D6285" s="2" t="str">
        <f t="shared" si="97"/>
        <v>Error?</v>
      </c>
      <c r="E6285" s="2" t="s">
        <v>190</v>
      </c>
    </row>
    <row r="6286" spans="1:5" x14ac:dyDescent="0.2">
      <c r="A6286">
        <v>6225</v>
      </c>
      <c r="B6286" s="138">
        <f>'Acct Summary 7-8'!E38</f>
        <v>27217</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1250000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783576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783576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8145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8145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18414</v>
      </c>
      <c r="D6329" s="2" t="str">
        <f t="shared" si="97"/>
        <v>Error?</v>
      </c>
      <c r="E6329" s="2" t="s">
        <v>190</v>
      </c>
    </row>
    <row r="6330" spans="1:5" x14ac:dyDescent="0.2">
      <c r="A6330">
        <v>6269</v>
      </c>
      <c r="B6330" s="138">
        <f>'Revenues 9-14'!C100</f>
        <v>1617160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18414</v>
      </c>
      <c r="D6351" s="2" t="str">
        <f t="shared" si="98"/>
        <v>Error?</v>
      </c>
      <c r="E6351" s="2" t="s">
        <v>190</v>
      </c>
    </row>
    <row r="6352" spans="1:5" x14ac:dyDescent="0.2">
      <c r="A6352">
        <v>6291</v>
      </c>
      <c r="B6352" s="138">
        <f>'Revenues 9-14'!J109</f>
        <v>810135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743819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1031944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8063</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5183</v>
      </c>
      <c r="D6852" s="2" t="str">
        <f t="shared" si="106"/>
        <v>Error?</v>
      </c>
    </row>
    <row r="6853" spans="1:4" x14ac:dyDescent="0.2">
      <c r="A6853">
        <v>6792</v>
      </c>
      <c r="B6853" s="138">
        <f>'Expenditures 15-22'!K9</f>
        <v>1008719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13246</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3743</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3743</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247</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247</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66802</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66802</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66068</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66068</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5139</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5139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1980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1980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143979</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157225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6839</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6839</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6839</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623553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6839</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810135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234561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234561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3931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3931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623553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623553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623553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623553</v>
      </c>
      <c r="D7224" s="2" t="str">
        <f t="shared" si="111"/>
        <v>Error?</v>
      </c>
    </row>
    <row r="7225" spans="1:4" x14ac:dyDescent="0.2">
      <c r="A7225">
        <v>7164</v>
      </c>
      <c r="B7225" s="138">
        <f>'Expenditures 15-22'!K343</f>
        <v>186582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211841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74042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2242</v>
      </c>
      <c r="D7250" s="2" t="str">
        <f t="shared" si="112"/>
        <v>Error?</v>
      </c>
    </row>
    <row r="7251" spans="1:4" x14ac:dyDescent="0.2">
      <c r="A7251">
        <f t="shared" si="113"/>
        <v>7190</v>
      </c>
      <c r="B7251" s="138">
        <f>'Expenditures 15-22'!C9</f>
        <v>813337</v>
      </c>
      <c r="D7251" s="2" t="str">
        <f t="shared" si="112"/>
        <v>Error?</v>
      </c>
    </row>
    <row r="7252" spans="1:4" x14ac:dyDescent="0.2">
      <c r="A7252">
        <f t="shared" si="113"/>
        <v>7191</v>
      </c>
      <c r="B7252" s="138">
        <f>'Expenditures 15-22'!D9</f>
        <v>189323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876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2719159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395517</v>
      </c>
      <c r="D7654" s="2" t="str">
        <f t="shared" si="124"/>
        <v>Error?</v>
      </c>
      <c r="E7654" s="2" t="s">
        <v>827</v>
      </c>
    </row>
    <row r="7655" spans="1:5" x14ac:dyDescent="0.2">
      <c r="A7655">
        <v>7594</v>
      </c>
      <c r="B7655" s="138">
        <f>'Acct Summary 7-8'!D56</f>
        <v>117029</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24346</v>
      </c>
      <c r="D7663" s="2" t="str">
        <f t="shared" si="124"/>
        <v>Error?</v>
      </c>
      <c r="E7663" s="2" t="s">
        <v>827</v>
      </c>
    </row>
    <row r="7664" spans="1:5" x14ac:dyDescent="0.2">
      <c r="A7664">
        <v>7603</v>
      </c>
      <c r="B7664" s="138">
        <f>'Acct Summary 7-8'!D60</f>
        <v>2871</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1250000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385061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385061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6576848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521867</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521867</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9896923</v>
      </c>
      <c r="D7797" s="2" t="str">
        <f t="shared" si="127"/>
        <v>Error?</v>
      </c>
      <c r="E7797" s="4" t="s">
        <v>1901</v>
      </c>
    </row>
    <row r="7798" spans="1:5" x14ac:dyDescent="0.2">
      <c r="A7798">
        <v>7737</v>
      </c>
      <c r="B7798" s="138">
        <f>'Contracts Paid in CY 29'!F141</f>
        <v>1050000</v>
      </c>
      <c r="D7798" s="2" t="str">
        <f t="shared" si="127"/>
        <v>Error?</v>
      </c>
      <c r="E7798" s="4" t="s">
        <v>1901</v>
      </c>
    </row>
    <row r="7799" spans="1:5" x14ac:dyDescent="0.2">
      <c r="A7799">
        <v>7738</v>
      </c>
      <c r="B7799" s="138">
        <f>'Contracts Paid in CY 29'!G141</f>
        <v>8846923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1986</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Wheeling CCSD 21</v>
      </c>
      <c r="B7" s="2384"/>
      <c r="C7" s="2384"/>
      <c r="D7" s="2421"/>
      <c r="E7" s="2422">
        <f>COVER!A13</f>
        <v>5016021004</v>
      </c>
      <c r="F7" s="2423"/>
      <c r="G7" s="2390" t="str">
        <f>COVER!T23</f>
        <v>066-003289</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Evoy, Kamschulte, Jacobs &amp; Co. LLP</v>
      </c>
      <c r="H9" s="2397"/>
      <c r="I9" s="2397"/>
      <c r="J9" s="2397"/>
      <c r="K9" s="2397"/>
      <c r="L9" s="2398"/>
    </row>
    <row r="10" spans="1:29" ht="13.5" customHeight="1" x14ac:dyDescent="0.2">
      <c r="A10" s="2380" t="str">
        <f>COVER!A38</f>
        <v>Dr. Michael Connolly</v>
      </c>
      <c r="B10" s="2381"/>
      <c r="C10" s="2381"/>
      <c r="D10" s="2381"/>
      <c r="E10" s="2381"/>
      <c r="F10" s="2382"/>
      <c r="G10" s="2396" t="str">
        <f>COVER!T17</f>
        <v>2122 Yeoman Street</v>
      </c>
      <c r="H10" s="2409"/>
      <c r="I10" s="2409"/>
      <c r="J10" s="2409"/>
      <c r="K10" s="2409"/>
      <c r="L10" s="2410"/>
    </row>
    <row r="11" spans="1:29" ht="13.5" customHeight="1" x14ac:dyDescent="0.2">
      <c r="A11" s="1184" t="s">
        <v>1519</v>
      </c>
      <c r="B11" s="1185"/>
      <c r="C11" s="1186"/>
      <c r="D11" s="1191"/>
      <c r="E11" s="1186"/>
      <c r="F11" s="1190"/>
      <c r="G11" s="2396" t="str">
        <f>COVER!T19</f>
        <v>Waukegan</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jaceto@ekjllp.com</v>
      </c>
      <c r="J13" s="2418"/>
      <c r="K13" s="2418"/>
      <c r="L13" s="2419"/>
    </row>
    <row r="14" spans="1:29" ht="13.5" customHeight="1" x14ac:dyDescent="0.2">
      <c r="A14" s="2396" t="str">
        <f>COVER!A19</f>
        <v>999 West Dundee Road</v>
      </c>
      <c r="B14" s="2409"/>
      <c r="C14" s="2409"/>
      <c r="D14" s="2409"/>
      <c r="E14" s="2409"/>
      <c r="F14" s="2410"/>
      <c r="G14" s="1195" t="s">
        <v>1185</v>
      </c>
      <c r="H14" s="1193"/>
      <c r="I14" s="1193"/>
      <c r="J14" s="1193"/>
      <c r="K14" s="1193"/>
      <c r="L14" s="1194"/>
    </row>
    <row r="15" spans="1:29" ht="13.5" customHeight="1" x14ac:dyDescent="0.2">
      <c r="A15" s="2396" t="str">
        <f>COVER!A21</f>
        <v>Wheeling</v>
      </c>
      <c r="B15" s="2409"/>
      <c r="C15" s="2409"/>
      <c r="D15" s="2409"/>
      <c r="E15" s="2409"/>
      <c r="F15" s="2410"/>
      <c r="G15" s="2406" t="str">
        <f>COVER!T15</f>
        <v>John D. Aceto, Jr., CPA</v>
      </c>
      <c r="H15" s="2407"/>
      <c r="I15" s="2407"/>
      <c r="J15" s="2407"/>
      <c r="K15" s="2407"/>
      <c r="L15" s="2408"/>
    </row>
    <row r="16" spans="1:29" ht="12.2" customHeight="1" x14ac:dyDescent="0.2">
      <c r="A16" s="2386">
        <f>COVER!A25</f>
        <v>60090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847-662-8300</v>
      </c>
      <c r="H18" s="2384"/>
      <c r="I18" s="2384"/>
      <c r="J18" s="2384"/>
      <c r="K18" s="2383" t="str">
        <f>COVER!X21</f>
        <v>847-6628305</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Wheeling CCSD 21</v>
      </c>
      <c r="B1" s="2420"/>
      <c r="C1" s="2420"/>
      <c r="D1" s="2420"/>
    </row>
    <row r="2" spans="1:11" s="1212" customFormat="1" ht="12.75" x14ac:dyDescent="0.2">
      <c r="A2" s="2425">
        <f>'Single Audit Cover'!E7</f>
        <v>5016021004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Wheeling CCSD 21</v>
      </c>
      <c r="B1" s="2428"/>
      <c r="C1" s="2428"/>
      <c r="D1" s="2428"/>
      <c r="E1" s="2428"/>
    </row>
    <row r="2" spans="1:5" x14ac:dyDescent="0.2">
      <c r="A2" s="2429">
        <f>'Single Audit Cover'!E7</f>
        <v>5016021004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6808907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303535</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-531739</v>
      </c>
    </row>
    <row r="19" spans="1:4" ht="13.5" thickBot="1" x14ac:dyDescent="0.25">
      <c r="A19" s="1262" t="s">
        <v>1235</v>
      </c>
      <c r="D19" s="1263">
        <f>SUM(D10:D17)</f>
        <v>6580703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6580703</v>
      </c>
    </row>
    <row r="33" spans="1:4" x14ac:dyDescent="0.2">
      <c r="D33" s="1266"/>
    </row>
    <row r="34" spans="1:4" x14ac:dyDescent="0.2">
      <c r="A34" s="317" t="s">
        <v>1232</v>
      </c>
    </row>
    <row r="35" spans="1:4" x14ac:dyDescent="0.2">
      <c r="A35" s="317" t="s">
        <v>1231</v>
      </c>
      <c r="B35" s="1255" t="s">
        <v>1230</v>
      </c>
      <c r="D35" s="1267">
        <v>6580703</v>
      </c>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6580703</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11" sqref="O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Wheeling CCSD 21</v>
      </c>
      <c r="C1" s="2432"/>
      <c r="D1" s="2432"/>
      <c r="E1" s="2432"/>
      <c r="F1" s="2432"/>
      <c r="G1" s="2432"/>
      <c r="H1" s="2432"/>
      <c r="I1" s="2432"/>
      <c r="J1" s="2432"/>
      <c r="K1" s="2432"/>
      <c r="L1" s="2432"/>
      <c r="M1" s="2432"/>
    </row>
    <row r="2" spans="2:14" ht="15" x14ac:dyDescent="0.2">
      <c r="B2" s="2433">
        <f>'Single Audit Cover'!E7</f>
        <v>5016021004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2095</v>
      </c>
      <c r="C11" s="1335"/>
      <c r="D11" s="1336"/>
      <c r="E11" s="1337"/>
      <c r="F11" s="1337"/>
      <c r="G11" s="1337"/>
      <c r="H11" s="1337"/>
      <c r="I11" s="1337"/>
      <c r="J11" s="1337"/>
      <c r="K11" s="1337"/>
      <c r="L11" s="1337">
        <f>+G11+I11+K11</f>
        <v>0</v>
      </c>
      <c r="M11" s="1337"/>
    </row>
    <row r="12" spans="2:14" ht="20.100000000000001" customHeight="1" x14ac:dyDescent="0.2">
      <c r="B12" s="1334" t="s">
        <v>2096</v>
      </c>
      <c r="C12" s="1338"/>
      <c r="D12" s="1339"/>
      <c r="E12" s="1340"/>
      <c r="F12" s="1340"/>
      <c r="G12" s="1340"/>
      <c r="H12" s="1340"/>
      <c r="I12" s="1340"/>
      <c r="J12" s="1340"/>
      <c r="K12" s="1340"/>
      <c r="L12" s="1337">
        <f t="shared" ref="L12:L27" si="0">+G12+I12+K12</f>
        <v>0</v>
      </c>
      <c r="M12" s="1340"/>
    </row>
    <row r="13" spans="2:14" ht="20.100000000000001" customHeight="1" x14ac:dyDescent="0.2">
      <c r="B13" s="1334" t="s">
        <v>2104</v>
      </c>
      <c r="C13" s="1338"/>
      <c r="D13" s="1339"/>
      <c r="E13" s="1340"/>
      <c r="F13" s="1340"/>
      <c r="G13" s="1340"/>
      <c r="H13" s="1340"/>
      <c r="I13" s="1340"/>
      <c r="J13" s="1340"/>
      <c r="K13" s="1340"/>
      <c r="L13" s="1337">
        <f t="shared" si="0"/>
        <v>0</v>
      </c>
      <c r="M13" s="1340"/>
    </row>
    <row r="14" spans="2:14" ht="20.100000000000001" customHeight="1" x14ac:dyDescent="0.2">
      <c r="B14" s="1334" t="s">
        <v>2097</v>
      </c>
      <c r="C14" s="1338">
        <v>10.555</v>
      </c>
      <c r="D14" s="1339" t="s">
        <v>2106</v>
      </c>
      <c r="E14" s="1340">
        <v>1720168</v>
      </c>
      <c r="F14" s="1340">
        <v>282270</v>
      </c>
      <c r="G14" s="1340">
        <v>1720168</v>
      </c>
      <c r="H14" s="1340"/>
      <c r="I14" s="1340">
        <v>282270</v>
      </c>
      <c r="J14" s="1340"/>
      <c r="K14" s="1340"/>
      <c r="L14" s="1337">
        <f t="shared" si="0"/>
        <v>2002438</v>
      </c>
      <c r="M14" s="1340" t="s">
        <v>2112</v>
      </c>
    </row>
    <row r="15" spans="2:14" ht="20.100000000000001" customHeight="1" x14ac:dyDescent="0.2">
      <c r="B15" s="1334" t="s">
        <v>2097</v>
      </c>
      <c r="C15" s="1338">
        <v>10.555</v>
      </c>
      <c r="D15" s="1339" t="s">
        <v>2107</v>
      </c>
      <c r="E15" s="1340"/>
      <c r="F15" s="1340">
        <v>1892775</v>
      </c>
      <c r="G15" s="1340"/>
      <c r="H15" s="1340"/>
      <c r="I15" s="1340">
        <v>1892775</v>
      </c>
      <c r="J15" s="1340"/>
      <c r="K15" s="1340"/>
      <c r="L15" s="1337">
        <f t="shared" si="0"/>
        <v>1892775</v>
      </c>
      <c r="M15" s="1340" t="s">
        <v>2112</v>
      </c>
    </row>
    <row r="16" spans="2:14" ht="20.100000000000001" customHeight="1" x14ac:dyDescent="0.2">
      <c r="B16" s="1334" t="s">
        <v>2098</v>
      </c>
      <c r="C16" s="1338">
        <v>10.3553</v>
      </c>
      <c r="D16" s="1339" t="s">
        <v>2108</v>
      </c>
      <c r="E16" s="1340">
        <v>786005</v>
      </c>
      <c r="F16" s="1340">
        <v>126118</v>
      </c>
      <c r="G16" s="1340">
        <v>786005</v>
      </c>
      <c r="H16" s="1340"/>
      <c r="I16" s="1340">
        <v>126118</v>
      </c>
      <c r="J16" s="1340"/>
      <c r="K16" s="1340"/>
      <c r="L16" s="1337">
        <f t="shared" si="0"/>
        <v>912123</v>
      </c>
      <c r="M16" s="1340" t="s">
        <v>2112</v>
      </c>
    </row>
    <row r="17" spans="2:14" ht="20.100000000000001" customHeight="1" x14ac:dyDescent="0.2">
      <c r="B17" s="1334" t="s">
        <v>2098</v>
      </c>
      <c r="C17" s="1338">
        <v>10.553000000000001</v>
      </c>
      <c r="D17" s="1339" t="s">
        <v>2109</v>
      </c>
      <c r="E17" s="1340"/>
      <c r="F17" s="1340">
        <v>848284</v>
      </c>
      <c r="G17" s="1340"/>
      <c r="H17" s="1340"/>
      <c r="I17" s="1340">
        <v>848284</v>
      </c>
      <c r="J17" s="1340"/>
      <c r="K17" s="1340"/>
      <c r="L17" s="1337">
        <f t="shared" si="0"/>
        <v>848284</v>
      </c>
      <c r="M17" s="1340" t="s">
        <v>2112</v>
      </c>
    </row>
    <row r="18" spans="2:14" ht="20.100000000000001" customHeight="1" x14ac:dyDescent="0.2">
      <c r="B18" s="1334" t="s">
        <v>2099</v>
      </c>
      <c r="C18" s="1338">
        <v>10.555</v>
      </c>
      <c r="D18" s="1339" t="s">
        <v>2107</v>
      </c>
      <c r="E18" s="1340"/>
      <c r="F18" s="1340">
        <v>47098</v>
      </c>
      <c r="G18" s="1340"/>
      <c r="H18" s="1340"/>
      <c r="I18" s="1340">
        <v>47098</v>
      </c>
      <c r="J18" s="1340"/>
      <c r="K18" s="1340"/>
      <c r="L18" s="1337">
        <f t="shared" si="0"/>
        <v>47098</v>
      </c>
      <c r="M18" s="1340" t="s">
        <v>2112</v>
      </c>
    </row>
    <row r="19" spans="2:14" ht="20.100000000000001" customHeight="1" x14ac:dyDescent="0.2">
      <c r="B19" s="1334" t="s">
        <v>2100</v>
      </c>
      <c r="C19" s="1338">
        <v>10.555</v>
      </c>
      <c r="D19" s="1339" t="s">
        <v>2107</v>
      </c>
      <c r="E19" s="1340"/>
      <c r="F19" s="1340">
        <v>256437</v>
      </c>
      <c r="G19" s="1340"/>
      <c r="H19" s="1340"/>
      <c r="I19" s="1340">
        <v>256437</v>
      </c>
      <c r="J19" s="1340"/>
      <c r="K19" s="1340"/>
      <c r="L19" s="1337">
        <f t="shared" si="0"/>
        <v>256437</v>
      </c>
      <c r="M19" s="1340" t="s">
        <v>2112</v>
      </c>
    </row>
    <row r="20" spans="2:14" ht="20.100000000000001" customHeight="1" x14ac:dyDescent="0.2">
      <c r="B20" s="1334" t="s">
        <v>2101</v>
      </c>
      <c r="C20" s="1338"/>
      <c r="D20" s="1339"/>
      <c r="E20" s="1340">
        <v>2506173</v>
      </c>
      <c r="F20" s="1340">
        <v>3452982</v>
      </c>
      <c r="G20" s="1340">
        <v>2506173</v>
      </c>
      <c r="H20" s="1340"/>
      <c r="I20" s="1340">
        <v>3452982</v>
      </c>
      <c r="J20" s="1340"/>
      <c r="K20" s="1340"/>
      <c r="L20" s="1337">
        <f t="shared" si="0"/>
        <v>5959155</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2102</v>
      </c>
      <c r="C22" s="1338">
        <v>10.558</v>
      </c>
      <c r="D22" s="1339" t="s">
        <v>2110</v>
      </c>
      <c r="E22" s="1340">
        <v>11910</v>
      </c>
      <c r="F22" s="1340"/>
      <c r="G22" s="1340">
        <v>11910</v>
      </c>
      <c r="H22" s="1340"/>
      <c r="I22" s="1340"/>
      <c r="J22" s="1340"/>
      <c r="K22" s="1340"/>
      <c r="L22" s="1337">
        <f t="shared" si="0"/>
        <v>11910</v>
      </c>
      <c r="M22" s="1340" t="s">
        <v>2112</v>
      </c>
    </row>
    <row r="23" spans="2:14" ht="20.100000000000001" customHeight="1" x14ac:dyDescent="0.2">
      <c r="B23" s="1334" t="s">
        <v>2102</v>
      </c>
      <c r="C23" s="1338">
        <v>10.558</v>
      </c>
      <c r="D23" s="1339" t="s">
        <v>2111</v>
      </c>
      <c r="E23" s="1340"/>
      <c r="F23" s="1340">
        <v>0</v>
      </c>
      <c r="G23" s="1340"/>
      <c r="H23" s="1340"/>
      <c r="I23" s="1340">
        <v>0</v>
      </c>
      <c r="J23" s="1340"/>
      <c r="K23" s="1340"/>
      <c r="L23" s="1337">
        <f t="shared" si="0"/>
        <v>0</v>
      </c>
      <c r="M23" s="1340" t="s">
        <v>2112</v>
      </c>
    </row>
    <row r="24" spans="2:14" ht="20.100000000000001" customHeight="1" x14ac:dyDescent="0.2">
      <c r="B24" s="1334" t="s">
        <v>2103</v>
      </c>
      <c r="C24" s="1338"/>
      <c r="D24" s="1339"/>
      <c r="E24" s="1340">
        <v>11910</v>
      </c>
      <c r="F24" s="1340"/>
      <c r="G24" s="1340">
        <v>11910</v>
      </c>
      <c r="H24" s="1340"/>
      <c r="I24" s="1340"/>
      <c r="J24" s="1340"/>
      <c r="K24" s="1340"/>
      <c r="L24" s="1337">
        <f t="shared" si="0"/>
        <v>11910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2105</v>
      </c>
      <c r="C26" s="1338"/>
      <c r="D26" s="1339"/>
      <c r="E26" s="1340">
        <v>2518083</v>
      </c>
      <c r="F26" s="1340">
        <v>3452982</v>
      </c>
      <c r="G26" s="1340">
        <v>2518083</v>
      </c>
      <c r="H26" s="1340"/>
      <c r="I26" s="1340">
        <v>3452982</v>
      </c>
      <c r="J26" s="1340"/>
      <c r="K26" s="1340"/>
      <c r="L26" s="1337">
        <f t="shared" si="0"/>
        <v>5971065</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30" sqref="J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Wheeling CCSD 21</v>
      </c>
      <c r="C1" s="2432"/>
      <c r="D1" s="2432"/>
      <c r="E1" s="2432"/>
      <c r="F1" s="2432"/>
      <c r="G1" s="2432"/>
      <c r="H1" s="2432"/>
      <c r="I1" s="2432"/>
      <c r="J1" s="2432"/>
      <c r="K1" s="2432"/>
      <c r="L1" s="2432"/>
      <c r="M1" s="2432"/>
    </row>
    <row r="2" spans="2:14" ht="15" x14ac:dyDescent="0.2">
      <c r="B2" s="2433">
        <f>'Single Audit Cover'!E7</f>
        <v>5016021004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2113</v>
      </c>
      <c r="C11" s="1335"/>
      <c r="D11" s="1336"/>
      <c r="E11" s="1337"/>
      <c r="F11" s="1337"/>
      <c r="G11" s="1337"/>
      <c r="H11" s="1337"/>
      <c r="I11" s="1337"/>
      <c r="J11" s="1337"/>
      <c r="K11" s="1337"/>
      <c r="L11" s="1337">
        <f>+G11+I11+K11</f>
        <v>0</v>
      </c>
      <c r="M11" s="1337"/>
    </row>
    <row r="12" spans="2:14" ht="20.100000000000001" customHeight="1" x14ac:dyDescent="0.2">
      <c r="B12" s="1334" t="s">
        <v>2114</v>
      </c>
      <c r="C12" s="1338"/>
      <c r="D12" s="1339"/>
      <c r="E12" s="1340"/>
      <c r="F12" s="1340"/>
      <c r="G12" s="1340"/>
      <c r="H12" s="1340"/>
      <c r="I12" s="1340"/>
      <c r="J12" s="1340"/>
      <c r="K12" s="1340"/>
      <c r="L12" s="1337">
        <f t="shared" ref="L12:L27" si="0">+G12+I12+K12</f>
        <v>0</v>
      </c>
      <c r="M12" s="1340"/>
    </row>
    <row r="13" spans="2:14" ht="20.100000000000001" customHeight="1" x14ac:dyDescent="0.2">
      <c r="B13" s="1334" t="s">
        <v>2115</v>
      </c>
      <c r="C13" s="1338">
        <v>93.778000000000006</v>
      </c>
      <c r="D13" s="1339" t="s">
        <v>2117</v>
      </c>
      <c r="E13" s="1340"/>
      <c r="F13" s="1340">
        <v>188552</v>
      </c>
      <c r="G13" s="1340"/>
      <c r="H13" s="1340"/>
      <c r="I13" s="1340">
        <v>196408</v>
      </c>
      <c r="J13" s="1340"/>
      <c r="K13" s="1340"/>
      <c r="L13" s="1337">
        <f t="shared" si="0"/>
        <v>196408</v>
      </c>
      <c r="M13" s="1340" t="s">
        <v>2112</v>
      </c>
    </row>
    <row r="14" spans="2:14" ht="20.100000000000001" customHeight="1" x14ac:dyDescent="0.2">
      <c r="B14" s="1334" t="s">
        <v>2116</v>
      </c>
      <c r="C14" s="1338"/>
      <c r="D14" s="1339"/>
      <c r="E14" s="1340"/>
      <c r="F14" s="1340">
        <v>188552</v>
      </c>
      <c r="G14" s="1340"/>
      <c r="H14" s="1340"/>
      <c r="I14" s="1340">
        <v>196408</v>
      </c>
      <c r="J14" s="1340"/>
      <c r="K14" s="1340"/>
      <c r="L14" s="1337">
        <f t="shared" si="0"/>
        <v>196408</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2118</v>
      </c>
      <c r="C16" s="1338"/>
      <c r="D16" s="1339"/>
      <c r="E16" s="1340"/>
      <c r="F16" s="1340"/>
      <c r="G16" s="1340"/>
      <c r="H16" s="1340"/>
      <c r="I16" s="1340"/>
      <c r="J16" s="1340"/>
      <c r="K16" s="1340"/>
      <c r="L16" s="1337">
        <f t="shared" si="0"/>
        <v>0</v>
      </c>
      <c r="M16" s="1340"/>
    </row>
    <row r="17" spans="2:14" ht="20.100000000000001" customHeight="1" x14ac:dyDescent="0.2">
      <c r="B17" s="1334" t="s">
        <v>2119</v>
      </c>
      <c r="C17" s="1338"/>
      <c r="D17" s="1339"/>
      <c r="E17" s="1340"/>
      <c r="F17" s="1340"/>
      <c r="G17" s="1340"/>
      <c r="H17" s="1340"/>
      <c r="I17" s="1340"/>
      <c r="J17" s="1340"/>
      <c r="K17" s="1340"/>
      <c r="L17" s="1337">
        <f t="shared" si="0"/>
        <v>0</v>
      </c>
      <c r="M17" s="1340"/>
    </row>
    <row r="18" spans="2:14" ht="20.100000000000001" customHeight="1" x14ac:dyDescent="0.2">
      <c r="B18" s="1334" t="s">
        <v>2120</v>
      </c>
      <c r="C18" s="1338" t="s">
        <v>2121</v>
      </c>
      <c r="D18" s="1339" t="s">
        <v>2122</v>
      </c>
      <c r="E18" s="1340"/>
      <c r="F18" s="1340">
        <v>48218</v>
      </c>
      <c r="G18" s="1340"/>
      <c r="H18" s="1340"/>
      <c r="I18" s="1340">
        <v>48218</v>
      </c>
      <c r="J18" s="1340"/>
      <c r="K18" s="1340"/>
      <c r="L18" s="1337">
        <f t="shared" si="0"/>
        <v>48218</v>
      </c>
      <c r="M18" s="1340">
        <v>55764</v>
      </c>
    </row>
    <row r="19" spans="2:14" ht="20.100000000000001" customHeight="1" x14ac:dyDescent="0.2">
      <c r="B19" s="1334" t="s">
        <v>2123</v>
      </c>
      <c r="C19" s="1338" t="s">
        <v>2124</v>
      </c>
      <c r="D19" s="1339" t="s">
        <v>2125</v>
      </c>
      <c r="E19" s="1340">
        <v>1343142</v>
      </c>
      <c r="F19" s="1340">
        <v>1192</v>
      </c>
      <c r="G19" s="1340">
        <v>1343142</v>
      </c>
      <c r="H19" s="1340"/>
      <c r="I19" s="1340">
        <v>1192</v>
      </c>
      <c r="J19" s="1340"/>
      <c r="K19" s="1340"/>
      <c r="L19" s="1337">
        <f t="shared" si="0"/>
        <v>1344334</v>
      </c>
      <c r="M19" s="1340">
        <v>1320423</v>
      </c>
    </row>
    <row r="20" spans="2:14" ht="20.100000000000001" customHeight="1" x14ac:dyDescent="0.2">
      <c r="B20" s="1334" t="s">
        <v>2123</v>
      </c>
      <c r="C20" s="1338" t="s">
        <v>2124</v>
      </c>
      <c r="D20" s="1339" t="s">
        <v>2126</v>
      </c>
      <c r="E20" s="1340"/>
      <c r="F20" s="1340">
        <v>1235443</v>
      </c>
      <c r="G20" s="1340"/>
      <c r="H20" s="1340"/>
      <c r="I20" s="1340">
        <v>1235443</v>
      </c>
      <c r="J20" s="1340"/>
      <c r="K20" s="1340"/>
      <c r="L20" s="1337">
        <f t="shared" si="0"/>
        <v>1235443</v>
      </c>
      <c r="M20" s="1340">
        <v>1358673</v>
      </c>
    </row>
    <row r="21" spans="2:14" ht="20.100000000000001" customHeight="1" x14ac:dyDescent="0.2">
      <c r="B21" s="1334" t="s">
        <v>2127</v>
      </c>
      <c r="C21" s="1338"/>
      <c r="D21" s="1339"/>
      <c r="E21" s="1340">
        <v>1343142</v>
      </c>
      <c r="F21" s="1340">
        <v>1284853</v>
      </c>
      <c r="G21" s="1340">
        <v>1343142</v>
      </c>
      <c r="H21" s="1340"/>
      <c r="I21" s="1340">
        <v>1284853</v>
      </c>
      <c r="J21" s="1340"/>
      <c r="K21" s="1340"/>
      <c r="L21" s="1337">
        <f t="shared" si="0"/>
        <v>2627995</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2096</v>
      </c>
      <c r="C23" s="1338"/>
      <c r="D23" s="1339"/>
      <c r="E23" s="1340"/>
      <c r="F23" s="1340"/>
      <c r="G23" s="1340"/>
      <c r="H23" s="1340"/>
      <c r="I23" s="1340"/>
      <c r="J23" s="1340"/>
      <c r="K23" s="1340"/>
      <c r="L23" s="1337">
        <f t="shared" si="0"/>
        <v>0</v>
      </c>
      <c r="M23" s="1340"/>
    </row>
    <row r="24" spans="2:14" ht="20.100000000000001" customHeight="1" x14ac:dyDescent="0.2">
      <c r="B24" s="1334" t="s">
        <v>2128</v>
      </c>
      <c r="C24" s="1338" t="s">
        <v>2129</v>
      </c>
      <c r="D24" s="1339" t="s">
        <v>2130</v>
      </c>
      <c r="E24" s="1340">
        <v>1477057</v>
      </c>
      <c r="F24" s="1340">
        <v>93471</v>
      </c>
      <c r="G24" s="1340">
        <v>1477057</v>
      </c>
      <c r="H24" s="1340"/>
      <c r="I24" s="1340">
        <v>93471</v>
      </c>
      <c r="J24" s="1340"/>
      <c r="K24" s="1340"/>
      <c r="L24" s="1337">
        <f t="shared" si="0"/>
        <v>1570528</v>
      </c>
      <c r="M24" s="1340">
        <v>1572424</v>
      </c>
    </row>
    <row r="25" spans="2:14" ht="20.100000000000001" customHeight="1" x14ac:dyDescent="0.2">
      <c r="B25" s="1334" t="s">
        <v>2128</v>
      </c>
      <c r="C25" s="1338" t="s">
        <v>2129</v>
      </c>
      <c r="D25" s="1339" t="s">
        <v>2131</v>
      </c>
      <c r="E25" s="1340"/>
      <c r="F25" s="1340">
        <v>1120674</v>
      </c>
      <c r="G25" s="1340"/>
      <c r="H25" s="1340"/>
      <c r="I25" s="1340">
        <v>1120674</v>
      </c>
      <c r="J25" s="1340"/>
      <c r="K25" s="1340"/>
      <c r="L25" s="1337">
        <f t="shared" si="0"/>
        <v>1120674</v>
      </c>
      <c r="M25" s="1340">
        <v>1437241</v>
      </c>
    </row>
    <row r="26" spans="2:14" ht="20.100000000000001" customHeight="1" x14ac:dyDescent="0.2">
      <c r="B26" s="1334" t="s">
        <v>2146</v>
      </c>
      <c r="C26" s="1338" t="s">
        <v>2129</v>
      </c>
      <c r="D26" s="1339" t="s">
        <v>2147</v>
      </c>
      <c r="E26" s="1340"/>
      <c r="F26" s="1340">
        <v>58824</v>
      </c>
      <c r="G26" s="1340"/>
      <c r="H26" s="1340"/>
      <c r="I26" s="1340">
        <v>58824</v>
      </c>
      <c r="J26" s="1340"/>
      <c r="K26" s="1340"/>
      <c r="L26" s="1337">
        <f t="shared" si="0"/>
        <v>58824</v>
      </c>
      <c r="M26" s="1340" t="s">
        <v>2112</v>
      </c>
    </row>
    <row r="27" spans="2:14" ht="20.100000000000001" customHeight="1" x14ac:dyDescent="0.2">
      <c r="B27" s="1334" t="s">
        <v>2132</v>
      </c>
      <c r="C27" s="1338" t="s">
        <v>2124</v>
      </c>
      <c r="D27" s="1339" t="s">
        <v>2133</v>
      </c>
      <c r="E27" s="1340"/>
      <c r="F27" s="1340">
        <v>32920</v>
      </c>
      <c r="G27" s="1340"/>
      <c r="H27" s="1340"/>
      <c r="I27" s="1340">
        <v>32920</v>
      </c>
      <c r="J27" s="1340"/>
      <c r="K27" s="1340"/>
      <c r="L27" s="1337">
        <f t="shared" si="0"/>
        <v>32920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L47" sqref="L4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263737</v>
      </c>
      <c r="G85" s="276">
        <v>246767</v>
      </c>
      <c r="H85" s="276">
        <v>11363</v>
      </c>
      <c r="I85" s="276"/>
      <c r="J85" s="277">
        <f>SUM(E85:I85)</f>
        <v>521867</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521867</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5" sqref="B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Wheeling CCSD 21</v>
      </c>
      <c r="C1" s="2432"/>
      <c r="D1" s="2432"/>
      <c r="E1" s="2432"/>
      <c r="F1" s="2432"/>
      <c r="G1" s="2432"/>
      <c r="H1" s="2432"/>
      <c r="I1" s="2432"/>
      <c r="J1" s="2432"/>
      <c r="K1" s="2432"/>
      <c r="L1" s="2432"/>
      <c r="M1" s="2432"/>
    </row>
    <row r="2" spans="2:14" ht="15" x14ac:dyDescent="0.2">
      <c r="B2" s="2433">
        <f>'Single Audit Cover'!E7</f>
        <v>5016021004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2134</v>
      </c>
      <c r="C11" s="1335"/>
      <c r="D11" s="1336"/>
      <c r="E11" s="1337"/>
      <c r="F11" s="1337"/>
      <c r="G11" s="1337"/>
      <c r="H11" s="1337"/>
      <c r="I11" s="1337"/>
      <c r="J11" s="1337"/>
      <c r="K11" s="1337"/>
      <c r="L11" s="1337">
        <f>+G11+I11+K11</f>
        <v>0</v>
      </c>
      <c r="M11" s="1337"/>
    </row>
    <row r="12" spans="2:14" ht="20.100000000000001" customHeight="1" x14ac:dyDescent="0.2">
      <c r="B12" s="1334" t="s">
        <v>2135</v>
      </c>
      <c r="C12" s="1338" t="s">
        <v>2136</v>
      </c>
      <c r="D12" s="1339" t="s">
        <v>2137</v>
      </c>
      <c r="E12" s="1340">
        <v>10427</v>
      </c>
      <c r="F12" s="1340">
        <v>149</v>
      </c>
      <c r="G12" s="1340">
        <v>10427</v>
      </c>
      <c r="H12" s="1340"/>
      <c r="I12" s="1340">
        <v>149</v>
      </c>
      <c r="J12" s="1340"/>
      <c r="K12" s="1340"/>
      <c r="L12" s="1337">
        <f t="shared" ref="L12:L27" si="0">+G12+I12+K12</f>
        <v>10576</v>
      </c>
      <c r="M12" s="1340">
        <v>60888</v>
      </c>
    </row>
    <row r="13" spans="2:14" ht="20.100000000000001" customHeight="1" x14ac:dyDescent="0.2">
      <c r="B13" s="1334" t="s">
        <v>2135</v>
      </c>
      <c r="C13" s="1338" t="s">
        <v>2136</v>
      </c>
      <c r="D13" s="1339" t="s">
        <v>2138</v>
      </c>
      <c r="E13" s="1340"/>
      <c r="F13" s="1340">
        <v>28821</v>
      </c>
      <c r="G13" s="1340"/>
      <c r="H13" s="1340"/>
      <c r="I13" s="1340">
        <v>28821</v>
      </c>
      <c r="J13" s="1340"/>
      <c r="K13" s="1340"/>
      <c r="L13" s="1337">
        <f t="shared" si="0"/>
        <v>28821</v>
      </c>
      <c r="M13" s="1340">
        <v>21703</v>
      </c>
    </row>
    <row r="14" spans="2:14" ht="20.100000000000001" customHeight="1" x14ac:dyDescent="0.2">
      <c r="B14" s="1334" t="s">
        <v>2169</v>
      </c>
      <c r="C14" s="1338" t="s">
        <v>2136</v>
      </c>
      <c r="D14" s="1339" t="s">
        <v>2139</v>
      </c>
      <c r="E14" s="1340">
        <v>217338</v>
      </c>
      <c r="F14" s="1340">
        <v>85349</v>
      </c>
      <c r="G14" s="1340">
        <v>217338</v>
      </c>
      <c r="H14" s="1340"/>
      <c r="I14" s="1340">
        <v>85349</v>
      </c>
      <c r="J14" s="1340"/>
      <c r="K14" s="1340"/>
      <c r="L14" s="1337">
        <f t="shared" si="0"/>
        <v>302687</v>
      </c>
      <c r="M14" s="1340">
        <v>339116</v>
      </c>
    </row>
    <row r="15" spans="2:14" ht="20.100000000000001" customHeight="1" x14ac:dyDescent="0.2">
      <c r="B15" s="1334" t="s">
        <v>2169</v>
      </c>
      <c r="C15" s="1338" t="s">
        <v>2136</v>
      </c>
      <c r="D15" s="1339" t="s">
        <v>2140</v>
      </c>
      <c r="E15" s="1340"/>
      <c r="F15" s="1340">
        <v>30004</v>
      </c>
      <c r="G15" s="1340"/>
      <c r="H15" s="1340"/>
      <c r="I15" s="1340">
        <v>30004</v>
      </c>
      <c r="J15" s="1340"/>
      <c r="K15" s="1340"/>
      <c r="L15" s="1337">
        <f t="shared" si="0"/>
        <v>30004</v>
      </c>
      <c r="M15" s="1340">
        <v>342619</v>
      </c>
    </row>
    <row r="16" spans="2:14" ht="20.100000000000001" customHeight="1" x14ac:dyDescent="0.2">
      <c r="B16" s="1334" t="s">
        <v>2141</v>
      </c>
      <c r="C16" s="1338" t="s">
        <v>2142</v>
      </c>
      <c r="D16" s="1339" t="s">
        <v>2143</v>
      </c>
      <c r="E16" s="1340">
        <v>127832</v>
      </c>
      <c r="F16" s="1340">
        <v>54717</v>
      </c>
      <c r="G16" s="1340">
        <v>127832</v>
      </c>
      <c r="H16" s="1340"/>
      <c r="I16" s="1340">
        <v>54717</v>
      </c>
      <c r="J16" s="1340"/>
      <c r="K16" s="1340"/>
      <c r="L16" s="1337">
        <f t="shared" si="0"/>
        <v>182549</v>
      </c>
      <c r="M16" s="1340">
        <v>121622</v>
      </c>
    </row>
    <row r="17" spans="2:14" ht="20.100000000000001" customHeight="1" x14ac:dyDescent="0.2">
      <c r="B17" s="1334" t="s">
        <v>2141</v>
      </c>
      <c r="C17" s="1338" t="s">
        <v>2142</v>
      </c>
      <c r="D17" s="1339" t="s">
        <v>2144</v>
      </c>
      <c r="E17" s="1340"/>
      <c r="F17" s="1340">
        <v>149387</v>
      </c>
      <c r="G17" s="1340"/>
      <c r="H17" s="1340"/>
      <c r="I17" s="1340">
        <v>149387</v>
      </c>
      <c r="J17" s="1340"/>
      <c r="K17" s="1340"/>
      <c r="L17" s="1337">
        <f t="shared" si="0"/>
        <v>149387</v>
      </c>
      <c r="M17" s="1340">
        <v>229055</v>
      </c>
    </row>
    <row r="18" spans="2:14" ht="20.100000000000001" customHeight="1" x14ac:dyDescent="0.2">
      <c r="B18" s="1334" t="s">
        <v>2145</v>
      </c>
      <c r="C18" s="1338"/>
      <c r="D18" s="1339"/>
      <c r="E18" s="1340">
        <v>1832654</v>
      </c>
      <c r="F18" s="1340">
        <v>1654316</v>
      </c>
      <c r="G18" s="1340">
        <v>1832654</v>
      </c>
      <c r="H18" s="1340"/>
      <c r="I18" s="1340">
        <v>1654316</v>
      </c>
      <c r="J18" s="1340"/>
      <c r="K18" s="1340"/>
      <c r="L18" s="1337">
        <f t="shared" si="0"/>
        <v>3486970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2148</v>
      </c>
      <c r="C20" s="1338"/>
      <c r="D20" s="1339"/>
      <c r="E20" s="1340">
        <v>3175796</v>
      </c>
      <c r="F20" s="1340">
        <v>2939169</v>
      </c>
      <c r="G20" s="1340">
        <v>3175796</v>
      </c>
      <c r="H20" s="1340"/>
      <c r="I20" s="1340">
        <v>2939169</v>
      </c>
      <c r="J20" s="1340"/>
      <c r="K20" s="1340"/>
      <c r="L20" s="1337">
        <f t="shared" si="0"/>
        <v>6114965</v>
      </c>
      <c r="M20" s="1340"/>
    </row>
    <row r="21" spans="2:14" ht="20.100000000000001" customHeight="1" x14ac:dyDescent="0.2">
      <c r="B21" s="1334" t="s">
        <v>2149</v>
      </c>
      <c r="C21" s="1338"/>
      <c r="D21" s="1339"/>
      <c r="E21" s="1340">
        <v>5693879</v>
      </c>
      <c r="F21" s="1340">
        <v>6580703</v>
      </c>
      <c r="G21" s="1340">
        <v>5693879</v>
      </c>
      <c r="H21" s="1340"/>
      <c r="I21" s="1340">
        <v>6588559</v>
      </c>
      <c r="J21" s="1340"/>
      <c r="K21" s="1340"/>
      <c r="L21" s="1337">
        <f t="shared" si="0"/>
        <v>12282438</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t="s">
        <v>2150</v>
      </c>
      <c r="C23" s="1338" t="s">
        <v>2112</v>
      </c>
      <c r="D23" s="1339" t="s">
        <v>2112</v>
      </c>
      <c r="E23" s="1340">
        <v>0</v>
      </c>
      <c r="F23" s="1340">
        <v>303535</v>
      </c>
      <c r="G23" s="1340">
        <v>0</v>
      </c>
      <c r="H23" s="1340"/>
      <c r="I23" s="1340">
        <v>303535</v>
      </c>
      <c r="J23" s="1340"/>
      <c r="K23" s="1340"/>
      <c r="L23" s="1337">
        <f t="shared" si="0"/>
        <v>303535</v>
      </c>
      <c r="M23" s="1340"/>
    </row>
    <row r="24" spans="2:14" ht="20.100000000000001" customHeight="1" x14ac:dyDescent="0.2">
      <c r="B24" s="1334" t="s">
        <v>2151</v>
      </c>
      <c r="C24" s="1338" t="s">
        <v>2112</v>
      </c>
      <c r="D24" s="1339" t="s">
        <v>2112</v>
      </c>
      <c r="E24" s="1340">
        <v>0</v>
      </c>
      <c r="F24" s="1340">
        <v>0</v>
      </c>
      <c r="G24" s="1340">
        <v>0</v>
      </c>
      <c r="H24" s="1340"/>
      <c r="I24" s="1340">
        <v>0</v>
      </c>
      <c r="J24" s="1340"/>
      <c r="K24" s="1340"/>
      <c r="L24" s="1337">
        <f t="shared" si="0"/>
        <v>0</v>
      </c>
      <c r="M24" s="1340"/>
    </row>
    <row r="25" spans="2:14" ht="20.100000000000001" customHeight="1" x14ac:dyDescent="0.2">
      <c r="B25" s="1334" t="s">
        <v>2152</v>
      </c>
      <c r="C25" s="1338" t="s">
        <v>2112</v>
      </c>
      <c r="D25" s="1339" t="s">
        <v>2112</v>
      </c>
      <c r="E25" s="1340">
        <v>0</v>
      </c>
      <c r="F25" s="1340">
        <v>0</v>
      </c>
      <c r="G25" s="1340">
        <v>0</v>
      </c>
      <c r="H25" s="1340"/>
      <c r="I25" s="1340">
        <v>0</v>
      </c>
      <c r="J25" s="1340"/>
      <c r="K25" s="1340"/>
      <c r="L25" s="1337">
        <f t="shared" si="0"/>
        <v>0</v>
      </c>
      <c r="M25" s="1340"/>
    </row>
    <row r="26" spans="2:14" ht="20.100000000000001" customHeight="1" x14ac:dyDescent="0.2">
      <c r="B26" s="1334" t="s">
        <v>2153</v>
      </c>
      <c r="C26" s="1338" t="s">
        <v>2112</v>
      </c>
      <c r="D26" s="1339" t="s">
        <v>2112</v>
      </c>
      <c r="E26" s="1340">
        <v>0</v>
      </c>
      <c r="F26" s="1340">
        <v>0</v>
      </c>
      <c r="G26" s="1340">
        <v>0</v>
      </c>
      <c r="H26" s="1340"/>
      <c r="I26" s="1340">
        <v>0</v>
      </c>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20" zoomScaleNormal="120" workbookViewId="0">
      <selection activeCell="C31" sqref="C3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Wheeling CCSD 21</v>
      </c>
      <c r="B1" s="2437"/>
      <c r="C1" s="2437"/>
      <c r="D1" s="2437"/>
      <c r="E1" s="2437"/>
      <c r="F1" s="2437"/>
    </row>
    <row r="2" spans="1:7" ht="13.5" customHeight="1" x14ac:dyDescent="0.2">
      <c r="A2" s="2433">
        <f>'Single Audit Cover'!E7</f>
        <v>5016021004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2154</v>
      </c>
      <c r="B7" s="2436"/>
      <c r="C7" s="2436"/>
      <c r="D7" s="2436"/>
      <c r="E7" s="2436"/>
      <c r="F7" s="243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2155</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t="s">
        <v>2156</v>
      </c>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2157</v>
      </c>
      <c r="B32" s="2444"/>
      <c r="C32" s="2444"/>
      <c r="D32" s="2444"/>
      <c r="E32" s="2444"/>
      <c r="F32" s="2444"/>
    </row>
    <row r="33" spans="1:6" ht="13.5" customHeight="1" x14ac:dyDescent="0.2">
      <c r="A33" s="328" t="s">
        <v>1434</v>
      </c>
      <c r="B33" s="328"/>
      <c r="C33" s="1285">
        <v>47098</v>
      </c>
      <c r="D33" s="1903"/>
      <c r="E33" s="1283"/>
    </row>
    <row r="34" spans="1:6" ht="13.5" customHeight="1" x14ac:dyDescent="0.2">
      <c r="A34" s="328" t="s">
        <v>1835</v>
      </c>
      <c r="B34" s="328"/>
      <c r="C34" s="1286">
        <v>256437</v>
      </c>
      <c r="D34" s="1903" t="s">
        <v>1589</v>
      </c>
      <c r="E34" s="2445">
        <f>+C33+C34</f>
        <v>303535</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1" sqref="B1:I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Wheeling CCSD 21</v>
      </c>
      <c r="C1" s="2453"/>
      <c r="D1" s="2453"/>
      <c r="E1" s="2453"/>
      <c r="F1" s="2453"/>
      <c r="G1" s="2453"/>
      <c r="H1" s="2453"/>
      <c r="I1" s="2453"/>
      <c r="J1" s="1406"/>
    </row>
    <row r="2" spans="2:10" s="317" customFormat="1" ht="12.75" customHeight="1" x14ac:dyDescent="0.2">
      <c r="B2" s="2454">
        <f>'Single Audit Cover'!E7</f>
        <v>5016021004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t="s">
        <v>1164</v>
      </c>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t="s">
        <v>2158</v>
      </c>
      <c r="E29" s="2459"/>
      <c r="F29" s="2459"/>
      <c r="G29" s="2459"/>
      <c r="H29" s="2459"/>
      <c r="I29" s="245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0" t="s">
        <v>1748</v>
      </c>
      <c r="D37" s="2461"/>
      <c r="E37" s="2461"/>
      <c r="F37" s="2462"/>
      <c r="G37" s="2460" t="s">
        <v>1592</v>
      </c>
      <c r="H37" s="2461"/>
      <c r="I37" s="2462"/>
    </row>
    <row r="38" spans="2:9" ht="16.5" customHeight="1" x14ac:dyDescent="0.2">
      <c r="B38" s="1428">
        <v>10.555</v>
      </c>
      <c r="C38" s="2448" t="s">
        <v>2159</v>
      </c>
      <c r="D38" s="2449"/>
      <c r="E38" s="2449"/>
      <c r="F38" s="2450"/>
      <c r="G38" s="2463">
        <v>2175045</v>
      </c>
      <c r="H38" s="2464"/>
      <c r="I38" s="2465"/>
    </row>
    <row r="39" spans="2:9" ht="16.5" customHeight="1" x14ac:dyDescent="0.2">
      <c r="B39" s="1428">
        <v>10.553000000000001</v>
      </c>
      <c r="C39" s="2448" t="s">
        <v>2160</v>
      </c>
      <c r="D39" s="2449"/>
      <c r="E39" s="2449"/>
      <c r="F39" s="2450"/>
      <c r="G39" s="2451">
        <v>974402</v>
      </c>
      <c r="H39" s="2451"/>
      <c r="I39" s="2451"/>
    </row>
    <row r="40" spans="2:9" ht="16.5" customHeight="1" x14ac:dyDescent="0.2">
      <c r="B40" s="1428">
        <v>10.555</v>
      </c>
      <c r="C40" s="2448" t="s">
        <v>2161</v>
      </c>
      <c r="D40" s="2449"/>
      <c r="E40" s="2449"/>
      <c r="F40" s="2450"/>
      <c r="G40" s="2451">
        <v>47098</v>
      </c>
      <c r="H40" s="2451"/>
      <c r="I40" s="2451"/>
    </row>
    <row r="41" spans="2:9" ht="16.5" customHeight="1" x14ac:dyDescent="0.2">
      <c r="B41" s="1428">
        <v>10.555</v>
      </c>
      <c r="C41" s="2448" t="s">
        <v>2162</v>
      </c>
      <c r="D41" s="2449"/>
      <c r="E41" s="2449"/>
      <c r="F41" s="2450"/>
      <c r="G41" s="2451">
        <v>256437</v>
      </c>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3452982</v>
      </c>
      <c r="H43" s="2469"/>
      <c r="I43" s="2469"/>
    </row>
    <row r="44" spans="2:9" ht="12.75" customHeight="1" x14ac:dyDescent="0.2"/>
    <row r="45" spans="2:9" ht="12.75" customHeight="1" x14ac:dyDescent="0.2">
      <c r="B45" s="1419" t="s">
        <v>1838</v>
      </c>
      <c r="D45" s="2470">
        <v>6588559</v>
      </c>
      <c r="E45" s="2471"/>
    </row>
    <row r="46" spans="2:9" ht="5.25" customHeight="1" x14ac:dyDescent="0.2">
      <c r="B46" s="1429"/>
      <c r="D46" s="1430"/>
      <c r="E46" s="1431"/>
    </row>
    <row r="47" spans="2:9" ht="12.75" customHeight="1" x14ac:dyDescent="0.2">
      <c r="B47" s="1297" t="s">
        <v>1594</v>
      </c>
      <c r="C47" s="1297"/>
      <c r="D47" s="1432">
        <f>+G43/D45</f>
        <v>0.52408758880356088</v>
      </c>
      <c r="E47" s="1433"/>
      <c r="F47" s="1434"/>
      <c r="I47" s="1435"/>
    </row>
    <row r="48" spans="2:9" ht="9.9499999999999993" customHeight="1" x14ac:dyDescent="0.2"/>
    <row r="49" spans="1:9" x14ac:dyDescent="0.2">
      <c r="B49" s="1365" t="s">
        <v>1273</v>
      </c>
      <c r="C49" s="1279"/>
      <c r="D49" s="1279"/>
      <c r="E49" s="2472">
        <v>750000</v>
      </c>
      <c r="F49" s="2472"/>
      <c r="G49" s="2472"/>
      <c r="H49" s="322"/>
    </row>
    <row r="51" spans="1:9" ht="13.5" customHeight="1" x14ac:dyDescent="0.2">
      <c r="B51" s="1365" t="s">
        <v>1272</v>
      </c>
      <c r="C51" s="1279"/>
      <c r="E51" s="1422" t="s">
        <v>2061</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Wheeling CCSD 21</v>
      </c>
      <c r="C1" s="2452"/>
      <c r="D1" s="2452"/>
      <c r="E1" s="2452"/>
      <c r="F1" s="2452"/>
      <c r="G1" s="2452"/>
      <c r="H1" s="2452"/>
      <c r="I1" s="2452"/>
      <c r="J1" s="2452"/>
      <c r="K1" s="2452"/>
      <c r="L1" s="1371"/>
      <c r="M1" s="1371"/>
    </row>
    <row r="2" spans="1:13" ht="12" customHeight="1" x14ac:dyDescent="0.2">
      <c r="B2" s="2454">
        <f>'Single Audit Cover'!E7</f>
        <v>5016021004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2156</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Wheeling CCSD 21</v>
      </c>
      <c r="C1" s="2479"/>
      <c r="D1" s="2479"/>
      <c r="E1" s="2479"/>
      <c r="F1" s="2479"/>
      <c r="G1" s="2479"/>
      <c r="H1" s="2479"/>
      <c r="I1" s="2479"/>
      <c r="J1" s="2479"/>
      <c r="K1" s="2479"/>
      <c r="L1" s="1449"/>
    </row>
    <row r="2" spans="1:12" ht="12.75" customHeight="1" x14ac:dyDescent="0.2">
      <c r="B2" s="2480">
        <f>'Single Audit Cover'!E7</f>
        <v>5016021004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2156</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Wheeling CCSD 21</v>
      </c>
      <c r="C1" s="2452"/>
      <c r="D1" s="2452"/>
      <c r="E1" s="1469"/>
    </row>
    <row r="2" spans="2:5" s="1279" customFormat="1" ht="12.75" customHeight="1" x14ac:dyDescent="0.2">
      <c r="B2" s="2454">
        <f>'Single Audit Cover'!E7</f>
        <v>5016021004</v>
      </c>
      <c r="C2" s="2454"/>
      <c r="D2" s="2454"/>
      <c r="E2" s="1470"/>
    </row>
    <row r="3" spans="2:5" ht="12.75" customHeight="1" x14ac:dyDescent="0.2">
      <c r="B3" s="2475" t="s">
        <v>1763</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2156</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1793481440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3.5970000000000002E-2</v>
      </c>
      <c r="E10" s="356" t="s">
        <v>1005</v>
      </c>
      <c r="F10" s="355">
        <v>4.4799999999999996E-3</v>
      </c>
      <c r="G10" s="356" t="s">
        <v>1005</v>
      </c>
      <c r="H10" s="355">
        <v>2.7569999999999999E-3</v>
      </c>
      <c r="I10" s="356" t="s">
        <v>1006</v>
      </c>
      <c r="J10" s="1732">
        <f>ROUND(D10+F10+H10,5)</f>
        <v>4.3209999999999998E-2</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107345312</v>
      </c>
      <c r="E16" s="356"/>
      <c r="F16" s="1733">
        <f>SUM('Acct Summary 7-8'!C17,'Acct Summary 7-8'!D17,'Acct Summary 7-8'!F17)</f>
        <v>92172320</v>
      </c>
      <c r="G16" s="356"/>
      <c r="H16" s="1733">
        <f>SUM(D16-F16)</f>
        <v>15172992</v>
      </c>
      <c r="I16" s="222"/>
      <c r="J16" s="1733">
        <f>SUM('Acct Summary 7-8'!C81,'Acct Summary 7-8'!D81,'Acct Summary 7-8'!F81,'Acct Summary 7-8'!I81)</f>
        <v>37548795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123750219.36000001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69502467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Wheeling CCSD 21</v>
      </c>
      <c r="E7" s="391"/>
      <c r="G7" s="252"/>
      <c r="H7" s="387"/>
      <c r="I7" s="387"/>
      <c r="J7" s="387"/>
      <c r="K7" s="387"/>
      <c r="L7" s="329"/>
      <c r="M7" s="329"/>
      <c r="N7" s="329"/>
      <c r="O7" s="329"/>
      <c r="P7" s="329"/>
    </row>
    <row r="8" spans="1:18" ht="12.75" x14ac:dyDescent="0.2">
      <c r="A8" s="329"/>
      <c r="B8" s="329"/>
      <c r="C8" s="389" t="s">
        <v>1125</v>
      </c>
      <c r="D8" s="392">
        <f>COVER!A13</f>
        <v>5016021004</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37548795</v>
      </c>
      <c r="I12" s="404"/>
      <c r="J12" s="404"/>
      <c r="K12" s="405">
        <f>TRUNC((H12/H13*100000),5)/100000</f>
        <v>0.35156221139999999</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106805549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-539763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92172320</v>
      </c>
      <c r="I17" s="404"/>
      <c r="J17" s="416"/>
      <c r="K17" s="405">
        <f>TRUNC((H17/H18*100000),5)/100000</f>
        <v>0.86299186570000008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106805549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-539763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49024539</v>
      </c>
      <c r="I24" s="422"/>
      <c r="J24" s="422"/>
      <c r="K24" s="423">
        <f>TRUNC(((H24/H25*100000)/100000),2)</f>
        <v>191.47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256034.22222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65871883.06904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69502467</v>
      </c>
      <c r="I32" s="420"/>
      <c r="J32" s="420"/>
      <c r="K32" s="423">
        <f>TRUNC(100-((((H32/H33*100))*100)/100),2)</f>
        <v>43.83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123750219.36000001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f>40006139+2565</f>
        <v>40008704</v>
      </c>
      <c r="D4" s="466">
        <v>3514867</v>
      </c>
      <c r="E4" s="466">
        <v>2951657</v>
      </c>
      <c r="F4" s="466">
        <v>1720341</v>
      </c>
      <c r="G4" s="466">
        <v>3098945</v>
      </c>
      <c r="H4" s="466">
        <v>39977771</v>
      </c>
      <c r="I4" s="466">
        <v>3780627</v>
      </c>
      <c r="J4" s="467">
        <v>398589</v>
      </c>
      <c r="K4" s="466">
        <v>66171</v>
      </c>
      <c r="L4" s="466">
        <f>299415+107125</f>
        <v>406540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f>34569422+173282</f>
        <v>34742704</v>
      </c>
      <c r="D6" s="466">
        <v>3878856</v>
      </c>
      <c r="E6" s="466">
        <v>3191765</v>
      </c>
      <c r="F6" s="466">
        <v>2384404</v>
      </c>
      <c r="G6" s="471">
        <v>1291403</v>
      </c>
      <c r="H6" s="471"/>
      <c r="I6" s="466"/>
      <c r="J6" s="474">
        <v>344201</v>
      </c>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1699669</v>
      </c>
      <c r="D8" s="467"/>
      <c r="E8" s="467"/>
      <c r="F8" s="467">
        <v>510504</v>
      </c>
      <c r="G8" s="478"/>
      <c r="H8" s="467"/>
      <c r="I8" s="474"/>
      <c r="J8" s="474"/>
      <c r="K8" s="479"/>
      <c r="L8" s="480"/>
      <c r="M8" s="468"/>
      <c r="N8" s="469"/>
    </row>
    <row r="9" spans="1:14" ht="13.5" customHeight="1" x14ac:dyDescent="0.2">
      <c r="A9" s="473" t="s">
        <v>270</v>
      </c>
      <c r="B9" s="470">
        <v>160</v>
      </c>
      <c r="C9" s="476">
        <v>190289</v>
      </c>
      <c r="D9" s="467">
        <v>26847</v>
      </c>
      <c r="E9" s="467">
        <v>10239</v>
      </c>
      <c r="F9" s="467">
        <v>21677</v>
      </c>
      <c r="G9" s="467">
        <v>26417</v>
      </c>
      <c r="H9" s="478">
        <v>84349</v>
      </c>
      <c r="I9" s="467">
        <v>9830</v>
      </c>
      <c r="J9" s="467">
        <v>1613</v>
      </c>
      <c r="K9" s="467">
        <v>943</v>
      </c>
      <c r="L9" s="467"/>
      <c r="M9" s="468"/>
      <c r="N9" s="469"/>
    </row>
    <row r="10" spans="1:14" ht="13.5" customHeight="1" x14ac:dyDescent="0.2">
      <c r="A10" s="473" t="s">
        <v>991</v>
      </c>
      <c r="B10" s="470">
        <v>170</v>
      </c>
      <c r="C10" s="465">
        <v>43386</v>
      </c>
      <c r="D10" s="466"/>
      <c r="E10" s="467"/>
      <c r="F10" s="466"/>
      <c r="G10" s="478"/>
      <c r="H10" s="481"/>
      <c r="I10" s="467"/>
      <c r="J10" s="467"/>
      <c r="K10" s="481"/>
      <c r="L10" s="481"/>
      <c r="M10" s="469"/>
      <c r="N10" s="469"/>
    </row>
    <row r="11" spans="1:14" ht="13.5" customHeight="1" x14ac:dyDescent="0.2">
      <c r="A11" s="473" t="s">
        <v>271</v>
      </c>
      <c r="B11" s="470">
        <v>180</v>
      </c>
      <c r="C11" s="476">
        <v>249510</v>
      </c>
      <c r="D11" s="467">
        <v>3501</v>
      </c>
      <c r="E11" s="467">
        <v>1094</v>
      </c>
      <c r="F11" s="467"/>
      <c r="G11" s="467"/>
      <c r="H11" s="467">
        <v>172</v>
      </c>
      <c r="I11" s="478"/>
      <c r="J11" s="478">
        <v>208740</v>
      </c>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76934262</v>
      </c>
      <c r="D13" s="1737">
        <f t="shared" ref="D13:L13" si="0">SUM(D4:D12)</f>
        <v>7424071</v>
      </c>
      <c r="E13" s="1737">
        <f t="shared" si="0"/>
        <v>6154755</v>
      </c>
      <c r="F13" s="1737">
        <f t="shared" si="0"/>
        <v>4636926</v>
      </c>
      <c r="G13" s="1737">
        <f t="shared" si="0"/>
        <v>4416765</v>
      </c>
      <c r="H13" s="1737">
        <f t="shared" si="0"/>
        <v>40062292</v>
      </c>
      <c r="I13" s="1737">
        <f t="shared" si="0"/>
        <v>3790457</v>
      </c>
      <c r="J13" s="1737">
        <f t="shared" si="0"/>
        <v>953143</v>
      </c>
      <c r="K13" s="1737">
        <f t="shared" si="0"/>
        <v>67114</v>
      </c>
      <c r="L13" s="1737">
        <f t="shared" si="0"/>
        <v>406540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1965066</v>
      </c>
      <c r="N16" s="484"/>
    </row>
    <row r="17" spans="1:14" s="485" customFormat="1" ht="12.75" customHeight="1" x14ac:dyDescent="0.2">
      <c r="A17" s="482" t="s">
        <v>1403</v>
      </c>
      <c r="B17" s="483">
        <v>230</v>
      </c>
      <c r="C17" s="477"/>
      <c r="D17" s="477"/>
      <c r="E17" s="477"/>
      <c r="F17" s="477"/>
      <c r="G17" s="477"/>
      <c r="H17" s="477"/>
      <c r="I17" s="477"/>
      <c r="J17" s="477"/>
      <c r="K17" s="477"/>
      <c r="L17" s="477"/>
      <c r="M17" s="467">
        <v>110817032</v>
      </c>
      <c r="N17" s="484"/>
    </row>
    <row r="18" spans="1:14" s="485" customFormat="1" ht="12.75" customHeight="1" x14ac:dyDescent="0.2">
      <c r="A18" s="482" t="s">
        <v>1404</v>
      </c>
      <c r="B18" s="483">
        <v>240</v>
      </c>
      <c r="C18" s="477"/>
      <c r="D18" s="477"/>
      <c r="E18" s="477"/>
      <c r="F18" s="477"/>
      <c r="G18" s="477"/>
      <c r="H18" s="477"/>
      <c r="I18" s="477"/>
      <c r="J18" s="477"/>
      <c r="K18" s="477"/>
      <c r="L18" s="477"/>
      <c r="M18" s="467">
        <v>3764581</v>
      </c>
      <c r="N18" s="484"/>
    </row>
    <row r="19" spans="1:14" s="485" customFormat="1" ht="12.75" customHeight="1" x14ac:dyDescent="0.2">
      <c r="A19" s="482" t="s">
        <v>1405</v>
      </c>
      <c r="B19" s="483">
        <v>250</v>
      </c>
      <c r="C19" s="477"/>
      <c r="D19" s="477"/>
      <c r="E19" s="477"/>
      <c r="F19" s="477"/>
      <c r="G19" s="477"/>
      <c r="H19" s="477"/>
      <c r="I19" s="477"/>
      <c r="J19" s="477"/>
      <c r="K19" s="477"/>
      <c r="L19" s="477"/>
      <c r="M19" s="467">
        <v>27814604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2962990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66539477</v>
      </c>
    </row>
    <row r="23" spans="1:14" ht="13.5" customHeight="1" thickBot="1" x14ac:dyDescent="0.25">
      <c r="A23" s="1736" t="s">
        <v>643</v>
      </c>
      <c r="B23" s="1741"/>
      <c r="C23" s="468"/>
      <c r="D23" s="468"/>
      <c r="E23" s="468"/>
      <c r="F23" s="468"/>
      <c r="G23" s="468"/>
      <c r="H23" s="468"/>
      <c r="I23" s="468"/>
      <c r="J23" s="468"/>
      <c r="K23" s="468"/>
      <c r="L23" s="468"/>
      <c r="M23" s="1688">
        <f>SUM(M15:M22)</f>
        <v>144361283</v>
      </c>
      <c r="N23" s="1688">
        <f>SUM(N21:N22)</f>
        <v>69502467</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414274</v>
      </c>
      <c r="D27" s="467">
        <v>34505</v>
      </c>
      <c r="E27" s="467"/>
      <c r="F27" s="467">
        <v>33785</v>
      </c>
      <c r="G27" s="467"/>
      <c r="H27" s="467">
        <v>9804095</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f>4082758+260541+280945</f>
        <v>4624244</v>
      </c>
      <c r="D30" s="474">
        <v>13740</v>
      </c>
      <c r="E30" s="467"/>
      <c r="F30" s="467">
        <f>2442</f>
        <v>2442</v>
      </c>
      <c r="G30" s="467"/>
      <c r="H30" s="467"/>
      <c r="I30" s="467"/>
      <c r="J30" s="467"/>
      <c r="K30" s="478"/>
      <c r="L30" s="468"/>
      <c r="M30" s="468"/>
      <c r="N30" s="468"/>
    </row>
    <row r="31" spans="1:14" ht="13.5" customHeight="1" x14ac:dyDescent="0.2">
      <c r="A31" s="473" t="s">
        <v>651</v>
      </c>
      <c r="B31" s="470">
        <v>480</v>
      </c>
      <c r="C31" s="466">
        <f>2031042+7111654</f>
        <v>9142696</v>
      </c>
      <c r="D31" s="467">
        <f>135340</f>
        <v>135340</v>
      </c>
      <c r="E31" s="467"/>
      <c r="F31" s="466">
        <v>3213</v>
      </c>
      <c r="G31" s="467">
        <v>122225</v>
      </c>
      <c r="H31" s="467"/>
      <c r="I31" s="467"/>
      <c r="J31" s="467"/>
      <c r="K31" s="467"/>
      <c r="L31" s="468"/>
      <c r="M31" s="468"/>
      <c r="N31" s="468"/>
    </row>
    <row r="32" spans="1:14" ht="13.5" customHeight="1" x14ac:dyDescent="0.2">
      <c r="A32" s="490" t="s">
        <v>652</v>
      </c>
      <c r="B32" s="491">
        <v>490</v>
      </c>
      <c r="C32" s="492">
        <v>34569422</v>
      </c>
      <c r="D32" s="492">
        <v>3878856</v>
      </c>
      <c r="E32" s="474">
        <v>3191765</v>
      </c>
      <c r="F32" s="474">
        <v>2384404</v>
      </c>
      <c r="G32" s="474">
        <v>1291403</v>
      </c>
      <c r="H32" s="474"/>
      <c r="I32" s="474"/>
      <c r="J32" s="474">
        <v>344201</v>
      </c>
      <c r="K32" s="479"/>
      <c r="L32" s="468"/>
      <c r="M32" s="468"/>
      <c r="N32" s="468"/>
    </row>
    <row r="33" spans="1:14" ht="13.5" customHeight="1" x14ac:dyDescent="0.2">
      <c r="A33" s="493" t="s">
        <v>303</v>
      </c>
      <c r="B33" s="491">
        <v>493</v>
      </c>
      <c r="C33" s="467"/>
      <c r="D33" s="467"/>
      <c r="E33" s="467"/>
      <c r="F33" s="467"/>
      <c r="G33" s="467"/>
      <c r="H33" s="467"/>
      <c r="I33" s="467"/>
      <c r="J33" s="467"/>
      <c r="K33" s="467"/>
      <c r="L33" s="467">
        <v>406540</v>
      </c>
      <c r="M33" s="468"/>
      <c r="N33" s="469"/>
    </row>
    <row r="34" spans="1:14" ht="13.5" customHeight="1" thickBot="1" x14ac:dyDescent="0.25">
      <c r="A34" s="1738" t="s">
        <v>654</v>
      </c>
      <c r="B34" s="1739"/>
      <c r="C34" s="1740">
        <f>SUM(C25:C33)</f>
        <v>48750636</v>
      </c>
      <c r="D34" s="1740">
        <f t="shared" ref="D34:K34" si="1">SUM(D25:D33)</f>
        <v>4062441</v>
      </c>
      <c r="E34" s="1740">
        <f t="shared" si="1"/>
        <v>3191765</v>
      </c>
      <c r="F34" s="1740">
        <f t="shared" si="1"/>
        <v>2423844</v>
      </c>
      <c r="G34" s="1740">
        <f t="shared" si="1"/>
        <v>1413628</v>
      </c>
      <c r="H34" s="1740">
        <f t="shared" si="1"/>
        <v>9804095</v>
      </c>
      <c r="I34" s="1740">
        <f t="shared" si="1"/>
        <v>0</v>
      </c>
      <c r="J34" s="1740">
        <f t="shared" si="1"/>
        <v>344201</v>
      </c>
      <c r="K34" s="1740">
        <f t="shared" si="1"/>
        <v>0</v>
      </c>
      <c r="L34" s="1721">
        <f>SUM(L33)</f>
        <v>406540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69502467</v>
      </c>
    </row>
    <row r="37" spans="1:14" ht="13.5" thickBot="1" x14ac:dyDescent="0.25">
      <c r="A37" s="1736" t="s">
        <v>653</v>
      </c>
      <c r="B37" s="1741"/>
      <c r="C37" s="477"/>
      <c r="D37" s="477"/>
      <c r="E37" s="477"/>
      <c r="F37" s="477"/>
      <c r="G37" s="477"/>
      <c r="H37" s="477"/>
      <c r="I37" s="477"/>
      <c r="J37" s="477"/>
      <c r="K37" s="477"/>
      <c r="L37" s="480"/>
      <c r="M37" s="468"/>
      <c r="N37" s="1688">
        <f>SUM(N36:N36)</f>
        <v>69502467</v>
      </c>
    </row>
    <row r="38" spans="1:14" s="329" customFormat="1" ht="13.5" customHeight="1" thickTop="1" x14ac:dyDescent="0.2">
      <c r="A38" s="496" t="s">
        <v>420</v>
      </c>
      <c r="B38" s="483">
        <v>714</v>
      </c>
      <c r="C38" s="466">
        <v>7108702</v>
      </c>
      <c r="D38" s="466">
        <v>135260</v>
      </c>
      <c r="E38" s="466"/>
      <c r="F38" s="466">
        <v>2620</v>
      </c>
      <c r="G38" s="466"/>
      <c r="H38" s="466"/>
      <c r="I38" s="466"/>
      <c r="J38" s="467"/>
      <c r="K38" s="466"/>
      <c r="L38" s="481"/>
      <c r="M38" s="497"/>
      <c r="N38" s="497"/>
    </row>
    <row r="39" spans="1:14" s="329" customFormat="1" ht="13.5" customHeight="1" x14ac:dyDescent="0.2">
      <c r="A39" s="496" t="s">
        <v>342</v>
      </c>
      <c r="B39" s="483">
        <v>730</v>
      </c>
      <c r="C39" s="466">
        <v>21074924</v>
      </c>
      <c r="D39" s="466">
        <f>3361630-135260</f>
        <v>3226370</v>
      </c>
      <c r="E39" s="466">
        <v>2962990</v>
      </c>
      <c r="F39" s="466">
        <f>2213082-2620</f>
        <v>2210462</v>
      </c>
      <c r="G39" s="466">
        <v>3003137</v>
      </c>
      <c r="H39" s="466">
        <v>30258197</v>
      </c>
      <c r="I39" s="466">
        <v>3790457</v>
      </c>
      <c r="J39" s="467">
        <v>608942</v>
      </c>
      <c r="K39" s="466">
        <v>67114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144361283</v>
      </c>
      <c r="N40" s="497"/>
    </row>
    <row r="41" spans="1:14" ht="13.5" customHeight="1" thickBot="1" x14ac:dyDescent="0.25">
      <c r="A41" s="1736" t="s">
        <v>655</v>
      </c>
      <c r="B41" s="1706"/>
      <c r="C41" s="1688">
        <f>(SUM(C34,C37,C38,C39))</f>
        <v>76934262</v>
      </c>
      <c r="D41" s="1688">
        <f t="shared" ref="D41:L41" si="2">SUM(D34,D37,D38:D39)</f>
        <v>7424071</v>
      </c>
      <c r="E41" s="1688">
        <f t="shared" si="2"/>
        <v>6154755</v>
      </c>
      <c r="F41" s="1688">
        <f t="shared" si="2"/>
        <v>4636926</v>
      </c>
      <c r="G41" s="1688">
        <f t="shared" si="2"/>
        <v>4416765</v>
      </c>
      <c r="H41" s="1688">
        <f t="shared" si="2"/>
        <v>40062292</v>
      </c>
      <c r="I41" s="1688">
        <f t="shared" si="2"/>
        <v>3790457</v>
      </c>
      <c r="J41" s="1688">
        <f t="shared" si="2"/>
        <v>953143</v>
      </c>
      <c r="K41" s="1688">
        <f t="shared" si="2"/>
        <v>67114</v>
      </c>
      <c r="L41" s="1688">
        <f t="shared" si="2"/>
        <v>406540</v>
      </c>
      <c r="M41" s="1688">
        <f>SUM(M40)</f>
        <v>144361283</v>
      </c>
      <c r="N41" s="1688">
        <f>SUM(N37)</f>
        <v>69502467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3"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71159284</v>
      </c>
      <c r="D4" s="1742">
        <f>'Revenues 9-14'!D109</f>
        <v>7664990</v>
      </c>
      <c r="E4" s="1742">
        <f>'Revenues 9-14'!E109</f>
        <v>5643167</v>
      </c>
      <c r="F4" s="1742">
        <f>'Revenues 9-14'!F109</f>
        <v>4757015</v>
      </c>
      <c r="G4" s="1742">
        <f>'Revenues 9-14'!G109</f>
        <v>3044340</v>
      </c>
      <c r="H4" s="1742">
        <f>'Revenues 9-14'!H109</f>
        <v>461896</v>
      </c>
      <c r="I4" s="1742">
        <f>'Revenues 9-14'!I109</f>
        <v>46669</v>
      </c>
      <c r="J4" s="1742">
        <f>'Revenues 9-14'!J109</f>
        <v>810135</v>
      </c>
      <c r="K4" s="1742">
        <f>'Revenues 9-14'!K109</f>
        <v>2177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14364948</v>
      </c>
      <c r="D6" s="1743">
        <f>'Revenues 9-14'!D170</f>
        <v>0</v>
      </c>
      <c r="E6" s="1743">
        <f>'Revenues 9-14'!E170</f>
        <v>0</v>
      </c>
      <c r="F6" s="1743">
        <f>'Revenues 9-14'!F170</f>
        <v>2543499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6808907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92333139</v>
      </c>
      <c r="D8" s="1688">
        <f t="shared" ref="D8:K8" si="0">SUM(D4:D7)</f>
        <v>7664990</v>
      </c>
      <c r="E8" s="1688">
        <f t="shared" si="0"/>
        <v>5643167</v>
      </c>
      <c r="F8" s="1688">
        <f t="shared" si="0"/>
        <v>7300514</v>
      </c>
      <c r="G8" s="1688">
        <f t="shared" si="0"/>
        <v>3044340</v>
      </c>
      <c r="H8" s="1688">
        <f t="shared" si="0"/>
        <v>461896</v>
      </c>
      <c r="I8" s="1688">
        <f t="shared" si="0"/>
        <v>46669</v>
      </c>
      <c r="J8" s="1688">
        <f t="shared" si="0"/>
        <v>810135</v>
      </c>
      <c r="K8" s="1688">
        <f t="shared" si="0"/>
        <v>2177</v>
      </c>
      <c r="L8" s="347"/>
    </row>
    <row r="9" spans="1:13" ht="15.75" thickTop="1" x14ac:dyDescent="0.2">
      <c r="A9" s="514" t="s">
        <v>1653</v>
      </c>
      <c r="B9" s="515">
        <v>3998</v>
      </c>
      <c r="C9" s="481">
        <v>36465894</v>
      </c>
      <c r="D9" s="516"/>
      <c r="E9" s="481"/>
      <c r="F9" s="481"/>
      <c r="G9" s="517"/>
      <c r="H9" s="481"/>
      <c r="I9" s="509" t="s">
        <v>1169</v>
      </c>
      <c r="J9" s="478"/>
      <c r="K9" s="481"/>
      <c r="L9" s="347"/>
    </row>
    <row r="10" spans="1:13" s="519" customFormat="1" ht="13.5" thickBot="1" x14ac:dyDescent="0.25">
      <c r="A10" s="1736" t="s">
        <v>1173</v>
      </c>
      <c r="B10" s="1709"/>
      <c r="C10" s="1688">
        <f>SUM(C8:C9)</f>
        <v>128799033</v>
      </c>
      <c r="D10" s="1688">
        <f t="shared" ref="D10:K10" si="1">SUM(D8:D9)</f>
        <v>7664990</v>
      </c>
      <c r="E10" s="1688">
        <f t="shared" si="1"/>
        <v>5643167</v>
      </c>
      <c r="F10" s="1688">
        <f t="shared" si="1"/>
        <v>7300514</v>
      </c>
      <c r="G10" s="1688">
        <f t="shared" si="1"/>
        <v>3044340</v>
      </c>
      <c r="H10" s="1688">
        <f t="shared" si="1"/>
        <v>461896</v>
      </c>
      <c r="I10" s="1688">
        <f t="shared" si="1"/>
        <v>46669</v>
      </c>
      <c r="J10" s="1688">
        <f t="shared" si="1"/>
        <v>810135</v>
      </c>
      <c r="K10" s="1688">
        <f t="shared" si="1"/>
        <v>2177</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53354903</v>
      </c>
      <c r="D12" s="520" t="s">
        <v>1169</v>
      </c>
      <c r="E12" s="468" t="s">
        <v>1169</v>
      </c>
      <c r="F12" s="468" t="s">
        <v>1169</v>
      </c>
      <c r="G12" s="1742">
        <f>'Expenditures 15-22'!K229</f>
        <v>1110660</v>
      </c>
      <c r="H12" s="521"/>
      <c r="I12" s="468" t="s">
        <v>1169</v>
      </c>
      <c r="J12" s="468" t="s">
        <v>1169</v>
      </c>
      <c r="K12" s="521" t="s">
        <v>1169</v>
      </c>
      <c r="L12" s="347"/>
    </row>
    <row r="13" spans="1:13" ht="15.75" customHeight="1" x14ac:dyDescent="0.2">
      <c r="A13" s="1576" t="s">
        <v>457</v>
      </c>
      <c r="B13" s="1578">
        <v>2000</v>
      </c>
      <c r="C13" s="1743">
        <f>'Expenditures 15-22'!K74</f>
        <v>26149085</v>
      </c>
      <c r="D13" s="1743">
        <f>'Expenditures 15-22'!K129</f>
        <v>7732590</v>
      </c>
      <c r="E13" s="469" t="s">
        <v>1169</v>
      </c>
      <c r="F13" s="1743">
        <f>'Expenditures 15-22'!K184</f>
        <v>4420885</v>
      </c>
      <c r="G13" s="1743">
        <f>'Expenditures 15-22'!K279</f>
        <v>2011522</v>
      </c>
      <c r="H13" s="1743">
        <f>'Expenditures 15-22'!K303</f>
        <v>17570908</v>
      </c>
      <c r="I13" s="468" t="s">
        <v>1169</v>
      </c>
      <c r="J13" s="1743">
        <f>'Expenditures 15-22'!K330</f>
        <v>623553</v>
      </c>
      <c r="K13" s="1747">
        <f>'Expenditures 15-22'!K352</f>
        <v>0</v>
      </c>
      <c r="L13" s="347"/>
    </row>
    <row r="14" spans="1:13" ht="15.75" customHeight="1" x14ac:dyDescent="0.2">
      <c r="A14" s="1576" t="s">
        <v>449</v>
      </c>
      <c r="B14" s="1578">
        <v>3000</v>
      </c>
      <c r="C14" s="1743">
        <f>'Expenditures 15-22'!K75</f>
        <v>249828</v>
      </c>
      <c r="D14" s="1743">
        <f>'Expenditures 15-22'!K130</f>
        <v>0</v>
      </c>
      <c r="E14" s="520" t="s">
        <v>1169</v>
      </c>
      <c r="F14" s="1743">
        <f>'Expenditures 15-22'!K185</f>
        <v>0</v>
      </c>
      <c r="G14" s="1743">
        <f>'Expenditures 15-22'!K280</f>
        <v>18064</v>
      </c>
      <c r="H14" s="512"/>
      <c r="I14" s="468" t="s">
        <v>1169</v>
      </c>
      <c r="J14" s="468" t="s">
        <v>1169</v>
      </c>
      <c r="K14" s="512" t="s">
        <v>1169</v>
      </c>
      <c r="L14" s="347"/>
    </row>
    <row r="15" spans="1:13" ht="15.75" customHeight="1" x14ac:dyDescent="0.2">
      <c r="A15" s="1576" t="s">
        <v>107</v>
      </c>
      <c r="B15" s="1578">
        <v>4000</v>
      </c>
      <c r="C15" s="1743">
        <f>'Expenditures 15-22'!K102</f>
        <v>265029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5719327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80018845</v>
      </c>
      <c r="D17" s="1688">
        <f t="shared" si="2"/>
        <v>7732590</v>
      </c>
      <c r="E17" s="1688">
        <f t="shared" si="2"/>
        <v>5719327</v>
      </c>
      <c r="F17" s="1688">
        <f t="shared" si="2"/>
        <v>4420885</v>
      </c>
      <c r="G17" s="1688">
        <f t="shared" si="2"/>
        <v>3140246</v>
      </c>
      <c r="H17" s="1688">
        <f t="shared" si="2"/>
        <v>17570908</v>
      </c>
      <c r="I17" s="468"/>
      <c r="J17" s="1688">
        <f>SUM(J12:J16)</f>
        <v>623553</v>
      </c>
      <c r="K17" s="1688">
        <f>SUM(K12:K16)</f>
        <v>0</v>
      </c>
      <c r="L17" s="347"/>
    </row>
    <row r="18" spans="1:12" ht="15" customHeight="1" thickTop="1" x14ac:dyDescent="0.2">
      <c r="A18" s="1744" t="s">
        <v>1654</v>
      </c>
      <c r="B18" s="1745">
        <v>4180</v>
      </c>
      <c r="C18" s="1742">
        <f t="shared" ref="C18:H18" si="3">C9</f>
        <v>36465894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116484739</v>
      </c>
      <c r="D19" s="1688">
        <f t="shared" si="4"/>
        <v>7732590</v>
      </c>
      <c r="E19" s="1688">
        <f t="shared" si="4"/>
        <v>5719327</v>
      </c>
      <c r="F19" s="1688">
        <f t="shared" si="4"/>
        <v>4420885</v>
      </c>
      <c r="G19" s="1688">
        <f t="shared" si="4"/>
        <v>3140246</v>
      </c>
      <c r="H19" s="1688">
        <f t="shared" si="4"/>
        <v>17570908</v>
      </c>
      <c r="I19" s="468"/>
      <c r="J19" s="1688">
        <f>SUM(J17:J18)</f>
        <v>623553</v>
      </c>
      <c r="K19" s="1688">
        <f>SUM(K17:K18)</f>
        <v>0</v>
      </c>
      <c r="L19" s="347"/>
    </row>
    <row r="20" spans="1:12" ht="16.5" thickTop="1" thickBot="1" x14ac:dyDescent="0.25">
      <c r="A20" s="2125" t="s">
        <v>1655</v>
      </c>
      <c r="B20" s="2126"/>
      <c r="C20" s="1746">
        <f>C8-C17</f>
        <v>12314294</v>
      </c>
      <c r="D20" s="1746">
        <f t="shared" ref="D20:K20" si="5">D8-D17</f>
        <v>-67600</v>
      </c>
      <c r="E20" s="1746">
        <f t="shared" si="5"/>
        <v>-76160</v>
      </c>
      <c r="F20" s="1746">
        <f t="shared" si="5"/>
        <v>2879629</v>
      </c>
      <c r="G20" s="1746">
        <f t="shared" si="5"/>
        <v>-95906</v>
      </c>
      <c r="H20" s="1746">
        <f t="shared" si="5"/>
        <v>-17109012</v>
      </c>
      <c r="I20" s="1746">
        <f t="shared" si="5"/>
        <v>46669</v>
      </c>
      <c r="J20" s="1746">
        <f t="shared" si="5"/>
        <v>186582</v>
      </c>
      <c r="K20" s="1746">
        <f t="shared" si="5"/>
        <v>2177</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2500000</v>
      </c>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v>3195000</v>
      </c>
      <c r="F33" s="467"/>
      <c r="G33" s="477"/>
      <c r="H33" s="467">
        <v>42900000</v>
      </c>
      <c r="I33" s="467"/>
      <c r="J33" s="467"/>
      <c r="K33" s="467"/>
      <c r="L33" s="524"/>
    </row>
    <row r="34" spans="1:12" s="485" customFormat="1" x14ac:dyDescent="0.2">
      <c r="A34" s="1489" t="s">
        <v>1001</v>
      </c>
      <c r="B34" s="525">
        <v>7220</v>
      </c>
      <c r="C34" s="467"/>
      <c r="D34" s="467"/>
      <c r="E34" s="467"/>
      <c r="F34" s="467"/>
      <c r="G34" s="477"/>
      <c r="H34" s="478">
        <f>3207721</f>
        <v>3207721</v>
      </c>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v>82054</v>
      </c>
      <c r="E36" s="467"/>
      <c r="F36" s="467"/>
      <c r="G36" s="467"/>
      <c r="H36" s="467"/>
      <c r="I36" s="475"/>
      <c r="J36" s="467"/>
      <c r="K36" s="467"/>
      <c r="L36" s="524"/>
    </row>
    <row r="37" spans="1:12" s="485" customFormat="1" x14ac:dyDescent="0.2">
      <c r="A37" s="1489" t="s">
        <v>441</v>
      </c>
      <c r="B37" s="525">
        <v>7400</v>
      </c>
      <c r="C37" s="475"/>
      <c r="D37" s="475"/>
      <c r="E37" s="1743">
        <f>SUM(C54:D57,H54:H57)</f>
        <v>512546</v>
      </c>
      <c r="F37" s="475"/>
      <c r="G37" s="475"/>
      <c r="H37" s="475"/>
      <c r="I37" s="477"/>
      <c r="J37" s="475"/>
      <c r="K37" s="475"/>
      <c r="L37" s="524"/>
    </row>
    <row r="38" spans="1:12" s="485" customFormat="1" x14ac:dyDescent="0.2">
      <c r="A38" s="1489" t="s">
        <v>442</v>
      </c>
      <c r="B38" s="525">
        <v>7500</v>
      </c>
      <c r="C38" s="477"/>
      <c r="D38" s="477"/>
      <c r="E38" s="1743">
        <f>SUM(C58:D61,H58:H61)</f>
        <v>27217</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1250000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2500000</v>
      </c>
      <c r="D44" s="1703">
        <f t="shared" ref="D44:K44" si="6">SUM(D24:D43)</f>
        <v>82054</v>
      </c>
      <c r="E44" s="1703">
        <f t="shared" si="6"/>
        <v>3734763</v>
      </c>
      <c r="F44" s="1703">
        <f t="shared" si="6"/>
        <v>0</v>
      </c>
      <c r="G44" s="1703">
        <f t="shared" si="6"/>
        <v>0</v>
      </c>
      <c r="H44" s="1703">
        <f t="shared" si="6"/>
        <v>47357721</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v>2500000</v>
      </c>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395517</v>
      </c>
      <c r="D56" s="531">
        <v>117029</v>
      </c>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24346</v>
      </c>
      <c r="D60" s="531">
        <v>2871</v>
      </c>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1250000</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f>10448+3490690+45601</f>
        <v>3546739</v>
      </c>
      <c r="F75" s="532"/>
      <c r="G75" s="532"/>
      <c r="H75" s="532">
        <v>206395</v>
      </c>
      <c r="I75" s="530"/>
      <c r="J75" s="530"/>
      <c r="K75" s="532"/>
      <c r="L75" s="524"/>
    </row>
    <row r="76" spans="1:12" s="485" customFormat="1" ht="14.25" thickTop="1" thickBot="1" x14ac:dyDescent="0.25">
      <c r="A76" s="2115" t="s">
        <v>440</v>
      </c>
      <c r="B76" s="2116"/>
      <c r="C76" s="1703">
        <f t="shared" ref="C76:K76" si="7">SUM(C47:C75)</f>
        <v>419863</v>
      </c>
      <c r="D76" s="1703">
        <f t="shared" si="7"/>
        <v>1369900</v>
      </c>
      <c r="E76" s="1703">
        <f t="shared" si="7"/>
        <v>3546739</v>
      </c>
      <c r="F76" s="1703">
        <f t="shared" si="7"/>
        <v>2500000</v>
      </c>
      <c r="G76" s="1703">
        <f t="shared" si="7"/>
        <v>0</v>
      </c>
      <c r="H76" s="1703">
        <f t="shared" si="7"/>
        <v>206395</v>
      </c>
      <c r="I76" s="1703">
        <f t="shared" si="7"/>
        <v>0</v>
      </c>
      <c r="J76" s="1703">
        <f t="shared" si="7"/>
        <v>0</v>
      </c>
      <c r="K76" s="1703">
        <f t="shared" si="7"/>
        <v>0</v>
      </c>
      <c r="L76" s="524"/>
    </row>
    <row r="77" spans="1:12" ht="14.25" thickTop="1" thickBot="1" x14ac:dyDescent="0.25">
      <c r="A77" s="2117" t="s">
        <v>1177</v>
      </c>
      <c r="B77" s="2118"/>
      <c r="C77" s="1703">
        <f t="shared" ref="C77:K77" si="8">C44-C76</f>
        <v>2080137</v>
      </c>
      <c r="D77" s="1703">
        <f t="shared" si="8"/>
        <v>-1287846</v>
      </c>
      <c r="E77" s="1703">
        <f t="shared" si="8"/>
        <v>188024</v>
      </c>
      <c r="F77" s="1703">
        <f t="shared" si="8"/>
        <v>-2500000</v>
      </c>
      <c r="G77" s="1703">
        <f t="shared" si="8"/>
        <v>0</v>
      </c>
      <c r="H77" s="1703">
        <f t="shared" si="8"/>
        <v>47151326</v>
      </c>
      <c r="I77" s="1703">
        <f t="shared" si="8"/>
        <v>0</v>
      </c>
      <c r="J77" s="1703">
        <f t="shared" si="8"/>
        <v>0</v>
      </c>
      <c r="K77" s="1703">
        <f t="shared" si="8"/>
        <v>0</v>
      </c>
      <c r="L77" s="347"/>
    </row>
    <row r="78" spans="1:12" ht="21.75" customHeight="1" thickTop="1" thickBot="1" x14ac:dyDescent="0.25">
      <c r="A78" s="2121" t="s">
        <v>597</v>
      </c>
      <c r="B78" s="2122"/>
      <c r="C78" s="1702">
        <f t="shared" ref="C78:K78" si="9">C20+C77</f>
        <v>14394431</v>
      </c>
      <c r="D78" s="1702">
        <f t="shared" si="9"/>
        <v>-1355446</v>
      </c>
      <c r="E78" s="1702">
        <f t="shared" si="9"/>
        <v>111864</v>
      </c>
      <c r="F78" s="1702">
        <f t="shared" si="9"/>
        <v>379629</v>
      </c>
      <c r="G78" s="1702">
        <f t="shared" si="9"/>
        <v>-95906</v>
      </c>
      <c r="H78" s="1702">
        <f t="shared" si="9"/>
        <v>30042314</v>
      </c>
      <c r="I78" s="1702">
        <f t="shared" si="9"/>
        <v>46669</v>
      </c>
      <c r="J78" s="1702">
        <f t="shared" si="9"/>
        <v>186582</v>
      </c>
      <c r="K78" s="1702">
        <f t="shared" si="9"/>
        <v>2177</v>
      </c>
      <c r="L78" s="533"/>
    </row>
    <row r="79" spans="1:12" ht="13.5" thickTop="1" x14ac:dyDescent="0.2">
      <c r="A79" s="1494" t="s">
        <v>1946</v>
      </c>
      <c r="B79" s="534"/>
      <c r="C79" s="478">
        <v>13789195</v>
      </c>
      <c r="D79" s="535">
        <v>4717076</v>
      </c>
      <c r="E79" s="535">
        <v>2851126</v>
      </c>
      <c r="F79" s="535">
        <v>1833453</v>
      </c>
      <c r="G79" s="535">
        <v>3099043</v>
      </c>
      <c r="H79" s="535">
        <v>215883</v>
      </c>
      <c r="I79" s="535">
        <v>3743788</v>
      </c>
      <c r="J79" s="535">
        <v>422360</v>
      </c>
      <c r="K79" s="535">
        <v>64937</v>
      </c>
      <c r="L79" s="347"/>
    </row>
    <row r="80" spans="1:12" x14ac:dyDescent="0.2">
      <c r="A80" s="2127" t="s">
        <v>1792</v>
      </c>
      <c r="B80" s="2128"/>
      <c r="C80" s="467"/>
      <c r="D80" s="467"/>
      <c r="E80" s="467"/>
      <c r="F80" s="467"/>
      <c r="G80" s="467"/>
      <c r="H80" s="467"/>
      <c r="I80" s="467"/>
      <c r="J80" s="467"/>
      <c r="K80" s="467"/>
      <c r="L80" s="347"/>
    </row>
    <row r="81" spans="1:12" ht="13.5" thickBot="1" x14ac:dyDescent="0.25">
      <c r="A81" s="2119" t="s">
        <v>1947</v>
      </c>
      <c r="B81" s="2120"/>
      <c r="C81" s="1688">
        <f>(SUM(C78:C80))</f>
        <v>28183626</v>
      </c>
      <c r="D81" s="1688">
        <f>SUM(D78:D80)</f>
        <v>3361630</v>
      </c>
      <c r="E81" s="1688">
        <f t="shared" ref="E81:K81" si="10">SUM(E78:E80)</f>
        <v>2962990</v>
      </c>
      <c r="F81" s="1688">
        <f t="shared" si="10"/>
        <v>2213082</v>
      </c>
      <c r="G81" s="1688">
        <f t="shared" si="10"/>
        <v>3003137</v>
      </c>
      <c r="H81" s="1688">
        <f t="shared" si="10"/>
        <v>30258197</v>
      </c>
      <c r="I81" s="1688">
        <f t="shared" si="10"/>
        <v>3790457</v>
      </c>
      <c r="J81" s="1688">
        <f t="shared" si="10"/>
        <v>608942</v>
      </c>
      <c r="K81" s="1688">
        <f t="shared" si="10"/>
        <v>67114</v>
      </c>
      <c r="L81" s="347"/>
    </row>
    <row r="82" spans="1:12" ht="0.75" customHeight="1" thickTop="1" thickBot="1" x14ac:dyDescent="0.25">
      <c r="A82" s="536" t="s">
        <v>343</v>
      </c>
      <c r="B82" s="537"/>
      <c r="C82" s="538">
        <f>(C81-C79)</f>
        <v>14394431</v>
      </c>
      <c r="D82" s="538">
        <f t="shared" ref="D82:K82" si="11">(D81-D79)</f>
        <v>-1355446</v>
      </c>
      <c r="E82" s="538">
        <f t="shared" si="11"/>
        <v>111864</v>
      </c>
      <c r="F82" s="538">
        <f t="shared" si="11"/>
        <v>379629</v>
      </c>
      <c r="G82" s="538">
        <f t="shared" si="11"/>
        <v>-95906</v>
      </c>
      <c r="H82" s="538">
        <f t="shared" si="11"/>
        <v>30042314</v>
      </c>
      <c r="I82" s="538">
        <f t="shared" si="11"/>
        <v>46669</v>
      </c>
      <c r="J82" s="538">
        <f t="shared" si="11"/>
        <v>186582</v>
      </c>
      <c r="K82" s="538">
        <f t="shared" si="11"/>
        <v>2177</v>
      </c>
    </row>
    <row r="83" spans="1:12" ht="14.25" hidden="1" thickTop="1" thickBot="1" x14ac:dyDescent="0.25">
      <c r="A83" s="539" t="s">
        <v>344</v>
      </c>
      <c r="B83" s="464"/>
      <c r="C83" s="540">
        <f>C82/C81</f>
        <v>0.51073736927959523</v>
      </c>
      <c r="D83" s="540">
        <f t="shared" ref="D83:K83" si="12">D82/D81</f>
        <v>-0.40321094231072424</v>
      </c>
      <c r="E83" s="540">
        <f t="shared" si="12"/>
        <v>3.7753755496981088E-2</v>
      </c>
      <c r="F83" s="540">
        <f t="shared" si="12"/>
        <v>0.17153860543802715</v>
      </c>
      <c r="G83" s="540">
        <f t="shared" si="12"/>
        <v>-3.1935273016182743E-2</v>
      </c>
      <c r="H83" s="540">
        <f t="shared" si="12"/>
        <v>0.99286530522621685</v>
      </c>
      <c r="I83" s="540">
        <f t="shared" si="12"/>
        <v>1.2312235701394317E-2</v>
      </c>
      <c r="J83" s="540">
        <f t="shared" si="12"/>
        <v>0.30640356552840831</v>
      </c>
      <c r="K83" s="540">
        <f t="shared" si="12"/>
        <v>3.2437345412283575E-2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1799</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60364175</v>
      </c>
      <c r="D5" s="481">
        <v>7492291</v>
      </c>
      <c r="E5" s="466">
        <v>5597692</v>
      </c>
      <c r="F5" s="548">
        <v>4657687</v>
      </c>
      <c r="G5" s="466">
        <v>1036259</v>
      </c>
      <c r="H5" s="466"/>
      <c r="I5" s="466"/>
      <c r="J5" s="467">
        <v>783576</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6576848</v>
      </c>
      <c r="D7" s="466"/>
      <c r="E7" s="468"/>
      <c r="F7" s="467"/>
      <c r="G7" s="467"/>
      <c r="H7" s="467"/>
      <c r="I7" s="468"/>
      <c r="J7" s="468"/>
      <c r="K7" s="468"/>
    </row>
    <row r="8" spans="1:12" x14ac:dyDescent="0.2">
      <c r="A8" s="463" t="s">
        <v>413</v>
      </c>
      <c r="B8" s="470">
        <v>1150</v>
      </c>
      <c r="C8" s="475"/>
      <c r="D8" s="475"/>
      <c r="E8" s="477"/>
      <c r="F8" s="477"/>
      <c r="G8" s="481">
        <v>1774385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66941023</v>
      </c>
      <c r="D12" s="1707">
        <f t="shared" si="0"/>
        <v>7492291</v>
      </c>
      <c r="E12" s="1707">
        <f t="shared" si="0"/>
        <v>5597692</v>
      </c>
      <c r="F12" s="1707">
        <f t="shared" si="0"/>
        <v>4657687</v>
      </c>
      <c r="G12" s="1707">
        <f t="shared" si="0"/>
        <v>2810644</v>
      </c>
      <c r="H12" s="1707">
        <f t="shared" si="0"/>
        <v>0</v>
      </c>
      <c r="I12" s="1707">
        <f t="shared" si="0"/>
        <v>0</v>
      </c>
      <c r="J12" s="1707">
        <f t="shared" si="0"/>
        <v>783576</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977503</v>
      </c>
      <c r="D16" s="466"/>
      <c r="E16" s="466"/>
      <c r="F16" s="466"/>
      <c r="G16" s="466">
        <v>105550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977503</v>
      </c>
      <c r="D18" s="1710">
        <f t="shared" ref="D18:K18" si="1">SUM(D14:D17)</f>
        <v>0</v>
      </c>
      <c r="E18" s="1710">
        <f t="shared" si="1"/>
        <v>0</v>
      </c>
      <c r="F18" s="1710">
        <f t="shared" si="1"/>
        <v>0</v>
      </c>
      <c r="G18" s="1710">
        <f t="shared" si="1"/>
        <v>105550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6975</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6975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4395</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2733</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1199</v>
      </c>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8327</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919452</v>
      </c>
      <c r="D65" s="466">
        <v>119512</v>
      </c>
      <c r="E65" s="466">
        <v>45475</v>
      </c>
      <c r="F65" s="467">
        <v>91001</v>
      </c>
      <c r="G65" s="466">
        <v>124534</v>
      </c>
      <c r="H65" s="466">
        <v>461896</v>
      </c>
      <c r="I65" s="466">
        <v>46669</v>
      </c>
      <c r="J65" s="467">
        <v>8145</v>
      </c>
      <c r="K65" s="466">
        <v>2177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919452</v>
      </c>
      <c r="D67" s="1688">
        <f t="shared" ref="D67:K67" si="2">SUM(D65:D66)</f>
        <v>119512</v>
      </c>
      <c r="E67" s="1688">
        <f t="shared" si="2"/>
        <v>45475</v>
      </c>
      <c r="F67" s="1688">
        <f t="shared" si="2"/>
        <v>91001</v>
      </c>
      <c r="G67" s="1688">
        <f t="shared" si="2"/>
        <v>124534</v>
      </c>
      <c r="H67" s="1688">
        <f t="shared" si="2"/>
        <v>461896</v>
      </c>
      <c r="I67" s="1688">
        <f t="shared" si="2"/>
        <v>46669</v>
      </c>
      <c r="J67" s="1688">
        <f t="shared" si="2"/>
        <v>8145</v>
      </c>
      <c r="K67" s="1688">
        <f t="shared" si="2"/>
        <v>2177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240820</v>
      </c>
      <c r="D69" s="468"/>
      <c r="E69" s="468"/>
      <c r="F69" s="468"/>
      <c r="G69" s="468"/>
      <c r="H69" s="468"/>
      <c r="I69" s="468"/>
      <c r="J69" s="468"/>
      <c r="K69" s="468"/>
    </row>
    <row r="70" spans="1:11" ht="12.75" customHeight="1" x14ac:dyDescent="0.2">
      <c r="A70" s="463" t="s">
        <v>997</v>
      </c>
      <c r="B70" s="470">
        <v>1612</v>
      </c>
      <c r="C70" s="551">
        <v>20360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26472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287652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10542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33113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43655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182777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182777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29743</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95625</v>
      </c>
      <c r="D99" s="466">
        <v>10267</v>
      </c>
      <c r="E99" s="466"/>
      <c r="F99" s="466"/>
      <c r="G99" s="466"/>
      <c r="H99" s="466"/>
      <c r="I99" s="468"/>
      <c r="J99" s="467">
        <v>18414</v>
      </c>
      <c r="K99" s="466"/>
    </row>
    <row r="100" spans="1:12" ht="12.75" customHeight="1" x14ac:dyDescent="0.2">
      <c r="A100" s="463" t="s">
        <v>245</v>
      </c>
      <c r="B100" s="470">
        <v>1960</v>
      </c>
      <c r="C100" s="489">
        <v>1617160</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1163</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47221</v>
      </c>
      <c r="D106" s="489"/>
      <c r="E106" s="467"/>
      <c r="F106" s="467"/>
      <c r="G106" s="467"/>
      <c r="H106" s="467"/>
      <c r="I106" s="521"/>
      <c r="J106" s="467"/>
      <c r="K106" s="467"/>
    </row>
    <row r="107" spans="1:12" ht="12.75" customHeight="1" x14ac:dyDescent="0.2">
      <c r="A107" s="463" t="s">
        <v>78</v>
      </c>
      <c r="B107" s="470">
        <v>1999</v>
      </c>
      <c r="C107" s="551">
        <v>39078</v>
      </c>
      <c r="D107" s="466">
        <v>13177</v>
      </c>
      <c r="E107" s="466"/>
      <c r="F107" s="466"/>
      <c r="G107" s="466">
        <v>3612</v>
      </c>
      <c r="H107" s="466"/>
      <c r="I107" s="466"/>
      <c r="J107" s="467"/>
      <c r="K107" s="466"/>
    </row>
    <row r="108" spans="1:12" ht="12.75" customHeight="1" thickBot="1" x14ac:dyDescent="0.25">
      <c r="A108" s="1708" t="s">
        <v>487</v>
      </c>
      <c r="B108" s="1712"/>
      <c r="C108" s="1707">
        <f>SUM(C95:C107)</f>
        <v>1800247</v>
      </c>
      <c r="D108" s="1707">
        <f t="shared" ref="D108:K108" si="3">SUM(D95:D107)</f>
        <v>53187</v>
      </c>
      <c r="E108" s="1707">
        <f t="shared" si="3"/>
        <v>0</v>
      </c>
      <c r="F108" s="1707">
        <f t="shared" si="3"/>
        <v>0</v>
      </c>
      <c r="G108" s="1707">
        <f t="shared" si="3"/>
        <v>3612</v>
      </c>
      <c r="H108" s="1707">
        <f t="shared" si="3"/>
        <v>0</v>
      </c>
      <c r="I108" s="1707">
        <f t="shared" si="3"/>
        <v>0</v>
      </c>
      <c r="J108" s="1707">
        <f t="shared" si="3"/>
        <v>18414</v>
      </c>
      <c r="K108" s="1688">
        <f t="shared" si="3"/>
        <v>0</v>
      </c>
    </row>
    <row r="109" spans="1:12" ht="14.25" thickTop="1" thickBot="1" x14ac:dyDescent="0.25">
      <c r="A109" s="1713" t="s">
        <v>248</v>
      </c>
      <c r="B109" s="1714" t="s">
        <v>570</v>
      </c>
      <c r="C109" s="1715">
        <f t="shared" ref="C109:K109" si="4">SUM(C12,C18,C40,C63,C67,C75,C82,C93,C108,)</f>
        <v>71159284</v>
      </c>
      <c r="D109" s="1715">
        <f t="shared" si="4"/>
        <v>7664990</v>
      </c>
      <c r="E109" s="1715">
        <f t="shared" si="4"/>
        <v>5643167</v>
      </c>
      <c r="F109" s="1715">
        <f t="shared" si="4"/>
        <v>4757015</v>
      </c>
      <c r="G109" s="1715">
        <f t="shared" si="4"/>
        <v>3044340</v>
      </c>
      <c r="H109" s="1715">
        <f t="shared" si="4"/>
        <v>461896</v>
      </c>
      <c r="I109" s="1715">
        <f t="shared" si="4"/>
        <v>46669</v>
      </c>
      <c r="J109" s="1715">
        <f t="shared" si="4"/>
        <v>810135</v>
      </c>
      <c r="K109" s="1702">
        <f t="shared" si="4"/>
        <v>2177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12872840</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12872840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73296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63086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136382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75632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1197168</v>
      </c>
      <c r="G152" s="467"/>
      <c r="H152" s="468"/>
      <c r="I152" s="468"/>
      <c r="J152" s="468"/>
      <c r="K152" s="468"/>
    </row>
    <row r="153" spans="1:11" ht="12.75" customHeight="1" x14ac:dyDescent="0.2">
      <c r="A153" s="463" t="s">
        <v>1057</v>
      </c>
      <c r="B153" s="562">
        <v>3510</v>
      </c>
      <c r="C153" s="551"/>
      <c r="D153" s="466"/>
      <c r="E153" s="561"/>
      <c r="F153" s="466">
        <v>1346331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2543499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1151203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128891</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1492108</v>
      </c>
      <c r="D169" s="1722">
        <f t="shared" si="6"/>
        <v>0</v>
      </c>
      <c r="E169" s="1722">
        <f t="shared" si="6"/>
        <v>0</v>
      </c>
      <c r="F169" s="1722">
        <f t="shared" si="6"/>
        <v>2543499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14364948</v>
      </c>
      <c r="D170" s="1715">
        <f t="shared" si="7"/>
        <v>0</v>
      </c>
      <c r="E170" s="1715">
        <f t="shared" si="7"/>
        <v>0</v>
      </c>
      <c r="F170" s="1715">
        <f t="shared" si="7"/>
        <v>2543499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1800</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2175045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974402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3149447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1214145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58824</v>
      </c>
      <c r="D203" s="466"/>
      <c r="E203" s="468"/>
      <c r="F203" s="466"/>
      <c r="G203" s="466"/>
      <c r="H203" s="468"/>
      <c r="I203" s="468"/>
      <c r="J203" s="468"/>
      <c r="K203" s="468"/>
    </row>
    <row r="204" spans="1:11" ht="12.75" customHeight="1" thickBot="1" x14ac:dyDescent="0.25">
      <c r="A204" s="1708" t="s">
        <v>400</v>
      </c>
      <c r="B204" s="1709"/>
      <c r="C204" s="1707">
        <f>SUM(C200:C203)</f>
        <v>1272969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48218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1236635</v>
      </c>
      <c r="D213" s="466"/>
      <c r="E213" s="468"/>
      <c r="F213" s="466"/>
      <c r="G213" s="466"/>
      <c r="H213" s="468"/>
      <c r="I213" s="468"/>
      <c r="J213" s="468"/>
      <c r="K213" s="468"/>
    </row>
    <row r="214" spans="1:11" ht="12.75" customHeight="1" x14ac:dyDescent="0.2">
      <c r="A214" s="463" t="s">
        <v>1054</v>
      </c>
      <c r="B214" s="470">
        <v>4625</v>
      </c>
      <c r="C214" s="551">
        <v>32920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1317773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28970</v>
      </c>
      <c r="D255" s="468"/>
      <c r="E255" s="468"/>
      <c r="F255" s="578"/>
      <c r="G255" s="573"/>
      <c r="H255" s="468"/>
      <c r="I255" s="468"/>
      <c r="J255" s="468"/>
      <c r="K255" s="468"/>
    </row>
    <row r="256" spans="1:11" ht="12.75" customHeight="1" thickTop="1" thickBot="1" x14ac:dyDescent="0.25">
      <c r="A256" s="463" t="s">
        <v>1457</v>
      </c>
      <c r="B256" s="470">
        <v>4909</v>
      </c>
      <c r="C256" s="576">
        <v>115353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204104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188552</v>
      </c>
      <c r="D263" s="576"/>
      <c r="E263" s="468"/>
      <c r="F263" s="576"/>
      <c r="G263" s="576"/>
      <c r="H263" s="468"/>
      <c r="I263" s="468"/>
      <c r="J263" s="468"/>
      <c r="K263" s="468"/>
    </row>
    <row r="264" spans="1:11" ht="12.75" customHeight="1" thickTop="1" thickBot="1" x14ac:dyDescent="0.25">
      <c r="A264" s="463" t="s">
        <v>377</v>
      </c>
      <c r="B264" s="470">
        <v>4992</v>
      </c>
      <c r="C264" s="575">
        <v>531739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6808907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6808907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92333139</v>
      </c>
      <c r="D268" s="1715">
        <f t="shared" si="12"/>
        <v>7664990</v>
      </c>
      <c r="E268" s="1715">
        <f t="shared" si="12"/>
        <v>5643167</v>
      </c>
      <c r="F268" s="1715">
        <f t="shared" si="12"/>
        <v>7300514</v>
      </c>
      <c r="G268" s="1715">
        <f t="shared" si="12"/>
        <v>3044340</v>
      </c>
      <c r="H268" s="1715">
        <f t="shared" si="12"/>
        <v>461896</v>
      </c>
      <c r="I268" s="1715">
        <f t="shared" si="12"/>
        <v>46669</v>
      </c>
      <c r="J268" s="1715">
        <f t="shared" si="12"/>
        <v>810135</v>
      </c>
      <c r="K268" s="1702">
        <f t="shared" si="12"/>
        <v>2177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D6" sqref="D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25289782+11763</f>
        <v>25301545</v>
      </c>
      <c r="D5" s="466">
        <f>4324665+322-850125-1+270545-2565+10400</f>
        <v>3753241</v>
      </c>
      <c r="E5" s="466">
        <v>53193</v>
      </c>
      <c r="F5" s="466">
        <v>837415</v>
      </c>
      <c r="G5" s="466">
        <v>50612</v>
      </c>
      <c r="H5" s="466">
        <v>39225</v>
      </c>
      <c r="I5" s="467"/>
      <c r="J5" s="467"/>
      <c r="K5" s="1671">
        <f>SUM(C5:J5)</f>
        <v>30035231</v>
      </c>
      <c r="L5" s="466">
        <v>32423208</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743819</v>
      </c>
      <c r="D7" s="467">
        <v>211841</v>
      </c>
      <c r="E7" s="467"/>
      <c r="F7" s="467">
        <v>74042</v>
      </c>
      <c r="G7" s="467"/>
      <c r="H7" s="467">
        <v>2242</v>
      </c>
      <c r="I7" s="467"/>
      <c r="J7" s="467"/>
      <c r="K7" s="1671">
        <f t="shared" ref="K7:K32" si="0">SUM(C7:J7)</f>
        <v>1031944</v>
      </c>
      <c r="L7" s="466">
        <v>690625</v>
      </c>
    </row>
    <row r="8" spans="1:14" x14ac:dyDescent="0.2">
      <c r="A8" s="1504" t="s">
        <v>164</v>
      </c>
      <c r="B8" s="614">
        <v>1200</v>
      </c>
      <c r="C8" s="466">
        <v>7388551</v>
      </c>
      <c r="D8" s="466">
        <v>1612954</v>
      </c>
      <c r="E8" s="466">
        <v>224394</v>
      </c>
      <c r="F8" s="466">
        <v>381305</v>
      </c>
      <c r="G8" s="466">
        <v>53772</v>
      </c>
      <c r="H8" s="466">
        <v>1211051</v>
      </c>
      <c r="I8" s="467"/>
      <c r="J8" s="467">
        <v>8063</v>
      </c>
      <c r="K8" s="1671">
        <f t="shared" si="0"/>
        <v>10880090</v>
      </c>
      <c r="L8" s="466">
        <v>12073931</v>
      </c>
    </row>
    <row r="9" spans="1:14" x14ac:dyDescent="0.2">
      <c r="A9" s="1504" t="s">
        <v>721</v>
      </c>
      <c r="B9" s="614" t="s">
        <v>968</v>
      </c>
      <c r="C9" s="467">
        <v>813337</v>
      </c>
      <c r="D9" s="467">
        <v>189323</v>
      </c>
      <c r="E9" s="467"/>
      <c r="F9" s="467">
        <v>876</v>
      </c>
      <c r="G9" s="467"/>
      <c r="H9" s="467"/>
      <c r="I9" s="467"/>
      <c r="J9" s="467">
        <v>5183</v>
      </c>
      <c r="K9" s="1671">
        <f t="shared" si="0"/>
        <v>1008719</v>
      </c>
      <c r="L9" s="466">
        <v>1084447</v>
      </c>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168858</v>
      </c>
      <c r="D14" s="466">
        <v>4489</v>
      </c>
      <c r="E14" s="466">
        <v>10312</v>
      </c>
      <c r="F14" s="466">
        <v>685</v>
      </c>
      <c r="G14" s="466">
        <v>8686</v>
      </c>
      <c r="H14" s="466">
        <v>6115</v>
      </c>
      <c r="I14" s="467"/>
      <c r="J14" s="467"/>
      <c r="K14" s="1671">
        <f t="shared" si="0"/>
        <v>199145</v>
      </c>
      <c r="L14" s="466">
        <v>165267</v>
      </c>
    </row>
    <row r="15" spans="1:14" x14ac:dyDescent="0.2">
      <c r="A15" s="1504" t="s">
        <v>964</v>
      </c>
      <c r="B15" s="614">
        <v>1600</v>
      </c>
      <c r="C15" s="466">
        <v>9077</v>
      </c>
      <c r="D15" s="466">
        <v>195</v>
      </c>
      <c r="E15" s="466"/>
      <c r="F15" s="466">
        <v>273</v>
      </c>
      <c r="G15" s="466"/>
      <c r="H15" s="466"/>
      <c r="I15" s="467"/>
      <c r="J15" s="467"/>
      <c r="K15" s="1671">
        <f t="shared" si="0"/>
        <v>9545</v>
      </c>
      <c r="L15" s="466">
        <v>309475</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f>8499500+106888</f>
        <v>8606388</v>
      </c>
      <c r="D18" s="466">
        <f>1485411+31032</f>
        <v>1516443</v>
      </c>
      <c r="E18" s="466">
        <v>1565</v>
      </c>
      <c r="F18" s="466">
        <f>65057+776</f>
        <v>65833</v>
      </c>
      <c r="G18" s="466"/>
      <c r="H18" s="466"/>
      <c r="I18" s="467"/>
      <c r="J18" s="467"/>
      <c r="K18" s="1671">
        <f t="shared" si="0"/>
        <v>10190229</v>
      </c>
      <c r="L18" s="466">
        <v>10511333</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43031575</v>
      </c>
      <c r="D33" s="1670">
        <f t="shared" ref="D33:L33" si="1">SUM(D5:D32)</f>
        <v>7288486</v>
      </c>
      <c r="E33" s="1670">
        <f t="shared" si="1"/>
        <v>289464</v>
      </c>
      <c r="F33" s="1670">
        <f t="shared" si="1"/>
        <v>1360429</v>
      </c>
      <c r="G33" s="1670">
        <f t="shared" si="1"/>
        <v>113070</v>
      </c>
      <c r="H33" s="1670">
        <f t="shared" si="1"/>
        <v>1258633</v>
      </c>
      <c r="I33" s="1670">
        <f t="shared" si="1"/>
        <v>0</v>
      </c>
      <c r="J33" s="1670">
        <f t="shared" si="1"/>
        <v>13246</v>
      </c>
      <c r="K33" s="1670">
        <f t="shared" si="1"/>
        <v>53354903</v>
      </c>
      <c r="L33" s="1670">
        <f t="shared" si="1"/>
        <v>57258286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1865916</v>
      </c>
      <c r="D36" s="481">
        <v>289331</v>
      </c>
      <c r="E36" s="481">
        <v>24570</v>
      </c>
      <c r="F36" s="481">
        <v>5849</v>
      </c>
      <c r="G36" s="481"/>
      <c r="H36" s="481">
        <v>59</v>
      </c>
      <c r="I36" s="467"/>
      <c r="J36" s="467"/>
      <c r="K36" s="1671">
        <f t="shared" ref="K36:K41" si="2">SUM(C36:J36)</f>
        <v>2185725</v>
      </c>
      <c r="L36" s="466">
        <v>2450754</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1518432</v>
      </c>
      <c r="D38" s="466">
        <v>293838</v>
      </c>
      <c r="E38" s="466">
        <v>264018</v>
      </c>
      <c r="F38" s="466">
        <v>13486</v>
      </c>
      <c r="G38" s="466"/>
      <c r="H38" s="466">
        <v>1450</v>
      </c>
      <c r="I38" s="467"/>
      <c r="J38" s="467">
        <v>3743</v>
      </c>
      <c r="K38" s="1671">
        <f t="shared" si="2"/>
        <v>2094967</v>
      </c>
      <c r="L38" s="466">
        <v>2100447</v>
      </c>
    </row>
    <row r="39" spans="1:14" x14ac:dyDescent="0.2">
      <c r="A39" s="1504" t="s">
        <v>199</v>
      </c>
      <c r="B39" s="614">
        <v>2140</v>
      </c>
      <c r="C39" s="466">
        <v>994192</v>
      </c>
      <c r="D39" s="466">
        <v>147068</v>
      </c>
      <c r="E39" s="466">
        <v>1546</v>
      </c>
      <c r="F39" s="466"/>
      <c r="G39" s="466"/>
      <c r="H39" s="466"/>
      <c r="I39" s="467"/>
      <c r="J39" s="467"/>
      <c r="K39" s="1671">
        <f t="shared" si="2"/>
        <v>1142806</v>
      </c>
      <c r="L39" s="466">
        <v>1119076</v>
      </c>
    </row>
    <row r="40" spans="1:14" x14ac:dyDescent="0.2">
      <c r="A40" s="1504" t="s">
        <v>200</v>
      </c>
      <c r="B40" s="614">
        <v>2150</v>
      </c>
      <c r="C40" s="466">
        <v>1444543</v>
      </c>
      <c r="D40" s="466">
        <v>243111</v>
      </c>
      <c r="E40" s="466">
        <v>158</v>
      </c>
      <c r="F40" s="466">
        <v>1890</v>
      </c>
      <c r="G40" s="466"/>
      <c r="H40" s="466"/>
      <c r="I40" s="467"/>
      <c r="J40" s="467"/>
      <c r="K40" s="1671">
        <f t="shared" si="2"/>
        <v>1689702</v>
      </c>
      <c r="L40" s="466">
        <v>1768291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5823083</v>
      </c>
      <c r="D42" s="1670">
        <f t="shared" ref="D42:L42" si="3">SUM(D36:D41)</f>
        <v>973348</v>
      </c>
      <c r="E42" s="1670">
        <f t="shared" si="3"/>
        <v>290292</v>
      </c>
      <c r="F42" s="1670">
        <f t="shared" si="3"/>
        <v>21225</v>
      </c>
      <c r="G42" s="1670">
        <f t="shared" si="3"/>
        <v>0</v>
      </c>
      <c r="H42" s="1670">
        <f t="shared" si="3"/>
        <v>1509</v>
      </c>
      <c r="I42" s="1670">
        <f t="shared" si="3"/>
        <v>0</v>
      </c>
      <c r="J42" s="1670">
        <f t="shared" si="3"/>
        <v>3743</v>
      </c>
      <c r="K42" s="1670">
        <f t="shared" si="3"/>
        <v>7113200</v>
      </c>
      <c r="L42" s="1670">
        <f t="shared" si="3"/>
        <v>7438568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1403855</v>
      </c>
      <c r="D44" s="481">
        <v>255331</v>
      </c>
      <c r="E44" s="481">
        <v>80311</v>
      </c>
      <c r="F44" s="481">
        <v>37056</v>
      </c>
      <c r="G44" s="481"/>
      <c r="H44" s="481">
        <v>68116</v>
      </c>
      <c r="I44" s="467"/>
      <c r="J44" s="467">
        <v>247</v>
      </c>
      <c r="K44" s="1672">
        <f>SUM(C44:J44)</f>
        <v>1844916</v>
      </c>
      <c r="L44" s="481">
        <v>1811665</v>
      </c>
    </row>
    <row r="45" spans="1:14" x14ac:dyDescent="0.2">
      <c r="A45" s="1504" t="s">
        <v>815</v>
      </c>
      <c r="B45" s="614">
        <v>2220</v>
      </c>
      <c r="C45" s="466">
        <v>3042031</v>
      </c>
      <c r="D45" s="466">
        <v>510288</v>
      </c>
      <c r="E45" s="466">
        <v>152</v>
      </c>
      <c r="F45" s="466">
        <v>132742</v>
      </c>
      <c r="G45" s="466"/>
      <c r="H45" s="466">
        <v>2253</v>
      </c>
      <c r="I45" s="467"/>
      <c r="J45" s="467"/>
      <c r="K45" s="1672">
        <f>SUM(C45:J45)</f>
        <v>3687466</v>
      </c>
      <c r="L45" s="466">
        <v>3845027</v>
      </c>
    </row>
    <row r="46" spans="1:14" x14ac:dyDescent="0.2">
      <c r="A46" s="1504" t="s">
        <v>816</v>
      </c>
      <c r="B46" s="614">
        <v>2230</v>
      </c>
      <c r="C46" s="466">
        <v>196176</v>
      </c>
      <c r="D46" s="466">
        <v>29724</v>
      </c>
      <c r="E46" s="466">
        <v>95047</v>
      </c>
      <c r="F46" s="466">
        <v>26535</v>
      </c>
      <c r="G46" s="466"/>
      <c r="H46" s="466">
        <v>2000</v>
      </c>
      <c r="I46" s="467"/>
      <c r="J46" s="467"/>
      <c r="K46" s="1672">
        <f>SUM(C46:J46)</f>
        <v>349482</v>
      </c>
      <c r="L46" s="466">
        <v>383074</v>
      </c>
    </row>
    <row r="47" spans="1:14" ht="12.75" customHeight="1" thickBot="1" x14ac:dyDescent="0.25">
      <c r="A47" s="1668" t="s">
        <v>561</v>
      </c>
      <c r="B47" s="1669" t="s">
        <v>32</v>
      </c>
      <c r="C47" s="1670">
        <f>SUM(C44:C46)</f>
        <v>4642062</v>
      </c>
      <c r="D47" s="1670">
        <f t="shared" ref="D47:K47" si="4">SUM(D44:D46)</f>
        <v>795343</v>
      </c>
      <c r="E47" s="1670">
        <f t="shared" si="4"/>
        <v>175510</v>
      </c>
      <c r="F47" s="1670">
        <f t="shared" si="4"/>
        <v>196333</v>
      </c>
      <c r="G47" s="1670">
        <f t="shared" si="4"/>
        <v>0</v>
      </c>
      <c r="H47" s="1670">
        <f t="shared" si="4"/>
        <v>72369</v>
      </c>
      <c r="I47" s="1670">
        <f t="shared" si="4"/>
        <v>0</v>
      </c>
      <c r="J47" s="1670">
        <f t="shared" si="4"/>
        <v>247</v>
      </c>
      <c r="K47" s="1670">
        <f t="shared" si="4"/>
        <v>5881864</v>
      </c>
      <c r="L47" s="1670">
        <f>SUM(L44:L46)</f>
        <v>6039766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213819+2952</f>
        <v>216771</v>
      </c>
      <c r="F49" s="481">
        <v>41441</v>
      </c>
      <c r="G49" s="481"/>
      <c r="H49" s="481"/>
      <c r="I49" s="467"/>
      <c r="J49" s="467"/>
      <c r="K49" s="1672">
        <f>SUM(C49:J49)</f>
        <v>258212</v>
      </c>
      <c r="L49" s="481">
        <v>282500</v>
      </c>
    </row>
    <row r="50" spans="1:14" x14ac:dyDescent="0.2">
      <c r="A50" s="1504" t="s">
        <v>818</v>
      </c>
      <c r="B50" s="614">
        <v>2320</v>
      </c>
      <c r="C50" s="466">
        <v>277214</v>
      </c>
      <c r="D50" s="466">
        <v>33566</v>
      </c>
      <c r="E50" s="466">
        <v>2996</v>
      </c>
      <c r="F50" s="466">
        <v>2751</v>
      </c>
      <c r="G50" s="466">
        <v>1498</v>
      </c>
      <c r="H50" s="466">
        <v>17325</v>
      </c>
      <c r="I50" s="467"/>
      <c r="J50" s="467">
        <v>66802</v>
      </c>
      <c r="K50" s="1672">
        <f>SUM(C50:J50)</f>
        <v>402152</v>
      </c>
      <c r="L50" s="466">
        <v>255352</v>
      </c>
    </row>
    <row r="51" spans="1:14" x14ac:dyDescent="0.2">
      <c r="A51" s="1504" t="s">
        <v>42</v>
      </c>
      <c r="B51" s="614">
        <v>2330</v>
      </c>
      <c r="C51" s="466">
        <v>581673</v>
      </c>
      <c r="D51" s="466">
        <v>121946</v>
      </c>
      <c r="E51" s="466">
        <v>744</v>
      </c>
      <c r="F51" s="466">
        <v>7388</v>
      </c>
      <c r="G51" s="466"/>
      <c r="H51" s="466">
        <v>778</v>
      </c>
      <c r="I51" s="467"/>
      <c r="J51" s="467"/>
      <c r="K51" s="1672">
        <f>SUM(C51:J51)</f>
        <v>712529</v>
      </c>
      <c r="L51" s="466">
        <v>810407</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858887</v>
      </c>
      <c r="D53" s="1670">
        <f t="shared" ref="D53:L53" si="5">SUM(D49:D52)</f>
        <v>155512</v>
      </c>
      <c r="E53" s="1670">
        <f t="shared" si="5"/>
        <v>220511</v>
      </c>
      <c r="F53" s="1670">
        <f t="shared" si="5"/>
        <v>51580</v>
      </c>
      <c r="G53" s="1670">
        <f t="shared" si="5"/>
        <v>1498</v>
      </c>
      <c r="H53" s="1670">
        <f t="shared" si="5"/>
        <v>18103</v>
      </c>
      <c r="I53" s="1670">
        <f t="shared" si="5"/>
        <v>0</v>
      </c>
      <c r="J53" s="1670">
        <f t="shared" si="5"/>
        <v>66802</v>
      </c>
      <c r="K53" s="1670">
        <f t="shared" si="5"/>
        <v>1372893</v>
      </c>
      <c r="L53" s="1670">
        <f t="shared" si="5"/>
        <v>1348259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2734379</v>
      </c>
      <c r="D55" s="481">
        <v>536748</v>
      </c>
      <c r="E55" s="481">
        <v>7915</v>
      </c>
      <c r="F55" s="481">
        <v>20456</v>
      </c>
      <c r="G55" s="481">
        <v>1938</v>
      </c>
      <c r="H55" s="481">
        <v>13307</v>
      </c>
      <c r="I55" s="467"/>
      <c r="J55" s="467">
        <v>66068</v>
      </c>
      <c r="K55" s="1672">
        <f>SUM(C55:J55)</f>
        <v>3380811</v>
      </c>
      <c r="L55" s="481">
        <v>3559838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2734379</v>
      </c>
      <c r="D57" s="1674">
        <f t="shared" ref="D57:K57" si="6">SUM(D55:D56)</f>
        <v>536748</v>
      </c>
      <c r="E57" s="1674">
        <f t="shared" si="6"/>
        <v>7915</v>
      </c>
      <c r="F57" s="1674">
        <f t="shared" si="6"/>
        <v>20456</v>
      </c>
      <c r="G57" s="1674">
        <f t="shared" si="6"/>
        <v>1938</v>
      </c>
      <c r="H57" s="1674">
        <f t="shared" si="6"/>
        <v>13307</v>
      </c>
      <c r="I57" s="1674">
        <f t="shared" si="6"/>
        <v>0</v>
      </c>
      <c r="J57" s="1674">
        <f t="shared" si="6"/>
        <v>66068</v>
      </c>
      <c r="K57" s="1674">
        <f t="shared" si="6"/>
        <v>3380811</v>
      </c>
      <c r="L57" s="1670">
        <f>SUM(L55:L56)</f>
        <v>3559838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720752</v>
      </c>
      <c r="D59" s="481">
        <v>118396</v>
      </c>
      <c r="E59" s="481">
        <v>103512</v>
      </c>
      <c r="F59" s="481">
        <v>7083</v>
      </c>
      <c r="G59" s="481"/>
      <c r="H59" s="481">
        <v>9494</v>
      </c>
      <c r="I59" s="467"/>
      <c r="J59" s="467"/>
      <c r="K59" s="1672">
        <f t="shared" ref="K59:K64" si="7">SUM(C59:J59)</f>
        <v>959237</v>
      </c>
      <c r="L59" s="481">
        <v>1088022</v>
      </c>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v>191205</v>
      </c>
      <c r="F62" s="466"/>
      <c r="G62" s="466"/>
      <c r="H62" s="466"/>
      <c r="I62" s="467"/>
      <c r="J62" s="467"/>
      <c r="K62" s="1672">
        <f t="shared" si="7"/>
        <v>191205</v>
      </c>
      <c r="L62" s="466">
        <v>192171</v>
      </c>
      <c r="M62" s="609"/>
      <c r="N62" s="609"/>
    </row>
    <row r="63" spans="1:14" s="609" customFormat="1" x14ac:dyDescent="0.2">
      <c r="A63" s="1504" t="s">
        <v>100</v>
      </c>
      <c r="B63" s="614">
        <v>2560</v>
      </c>
      <c r="C63" s="466">
        <v>310544</v>
      </c>
      <c r="D63" s="466">
        <v>5189</v>
      </c>
      <c r="E63" s="466">
        <v>2794201</v>
      </c>
      <c r="F63" s="466">
        <v>37310</v>
      </c>
      <c r="G63" s="466">
        <v>5315</v>
      </c>
      <c r="H63" s="466"/>
      <c r="I63" s="467"/>
      <c r="J63" s="467"/>
      <c r="K63" s="1672">
        <f t="shared" si="7"/>
        <v>3152559</v>
      </c>
      <c r="L63" s="466">
        <v>2972196</v>
      </c>
    </row>
    <row r="64" spans="1:14" s="609" customFormat="1" x14ac:dyDescent="0.2">
      <c r="A64" s="1509" t="s">
        <v>101</v>
      </c>
      <c r="B64" s="630">
        <v>2570</v>
      </c>
      <c r="C64" s="481">
        <v>215122</v>
      </c>
      <c r="D64" s="481">
        <v>42869</v>
      </c>
      <c r="E64" s="481">
        <v>5199</v>
      </c>
      <c r="F64" s="481">
        <v>39604</v>
      </c>
      <c r="G64" s="481"/>
      <c r="H64" s="481"/>
      <c r="I64" s="467"/>
      <c r="J64" s="467">
        <v>5139</v>
      </c>
      <c r="K64" s="1672">
        <f t="shared" si="7"/>
        <v>307933</v>
      </c>
      <c r="L64" s="481">
        <v>292614</v>
      </c>
    </row>
    <row r="65" spans="1:14" s="343" customFormat="1" ht="12.75" customHeight="1" thickBot="1" x14ac:dyDescent="0.25">
      <c r="A65" s="1668" t="s">
        <v>719</v>
      </c>
      <c r="B65" s="1669" t="s">
        <v>35</v>
      </c>
      <c r="C65" s="1670">
        <f>SUM(C59:C64)</f>
        <v>1246418</v>
      </c>
      <c r="D65" s="1670">
        <f t="shared" ref="D65:L65" si="8">SUM(D59:D64)</f>
        <v>166454</v>
      </c>
      <c r="E65" s="1670">
        <f t="shared" si="8"/>
        <v>3094117</v>
      </c>
      <c r="F65" s="1670">
        <f t="shared" si="8"/>
        <v>83997</v>
      </c>
      <c r="G65" s="1670">
        <f t="shared" si="8"/>
        <v>5315</v>
      </c>
      <c r="H65" s="1670">
        <f t="shared" si="8"/>
        <v>9494</v>
      </c>
      <c r="I65" s="1670">
        <f t="shared" si="8"/>
        <v>0</v>
      </c>
      <c r="J65" s="1670">
        <f t="shared" si="8"/>
        <v>5139</v>
      </c>
      <c r="K65" s="1670">
        <f t="shared" si="8"/>
        <v>4610934</v>
      </c>
      <c r="L65" s="1670">
        <f t="shared" si="8"/>
        <v>4545003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v>886168</v>
      </c>
      <c r="D69" s="466">
        <v>171361</v>
      </c>
      <c r="E69" s="466">
        <v>1089101</v>
      </c>
      <c r="F69" s="466">
        <v>305415</v>
      </c>
      <c r="G69" s="466">
        <v>755807</v>
      </c>
      <c r="H69" s="466">
        <v>5977</v>
      </c>
      <c r="I69" s="467"/>
      <c r="J69" s="467">
        <v>1980</v>
      </c>
      <c r="K69" s="1672">
        <f>SUM(C69:J69)</f>
        <v>3215809</v>
      </c>
      <c r="L69" s="466">
        <v>3521925</v>
      </c>
      <c r="M69" s="609"/>
      <c r="N69" s="609"/>
    </row>
    <row r="70" spans="1:14" s="343" customFormat="1" x14ac:dyDescent="0.2">
      <c r="A70" s="1504" t="s">
        <v>403</v>
      </c>
      <c r="B70" s="614">
        <v>2640</v>
      </c>
      <c r="C70" s="466">
        <v>377459</v>
      </c>
      <c r="D70" s="466">
        <v>94074</v>
      </c>
      <c r="E70" s="466">
        <v>48166</v>
      </c>
      <c r="F70" s="466">
        <v>3377</v>
      </c>
      <c r="G70" s="466"/>
      <c r="H70" s="466">
        <v>43222</v>
      </c>
      <c r="I70" s="467"/>
      <c r="J70" s="467"/>
      <c r="K70" s="1672">
        <f>SUM(C70:J70)</f>
        <v>566298</v>
      </c>
      <c r="L70" s="466">
        <v>890797</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1263627</v>
      </c>
      <c r="D72" s="1670">
        <f t="shared" ref="D72:K72" si="9">SUM(D67:D71)</f>
        <v>265435</v>
      </c>
      <c r="E72" s="1670">
        <f t="shared" si="9"/>
        <v>1137267</v>
      </c>
      <c r="F72" s="1670">
        <f t="shared" si="9"/>
        <v>308792</v>
      </c>
      <c r="G72" s="1670">
        <f t="shared" si="9"/>
        <v>755807</v>
      </c>
      <c r="H72" s="1670">
        <f t="shared" si="9"/>
        <v>49199</v>
      </c>
      <c r="I72" s="1670">
        <f t="shared" si="9"/>
        <v>0</v>
      </c>
      <c r="J72" s="1670">
        <f t="shared" si="9"/>
        <v>1980</v>
      </c>
      <c r="K72" s="1670">
        <f t="shared" si="9"/>
        <v>3782107</v>
      </c>
      <c r="L72" s="1670">
        <f>SUM(L67:L71)</f>
        <v>4412722</v>
      </c>
      <c r="M72" s="609"/>
      <c r="N72" s="609"/>
    </row>
    <row r="73" spans="1:14" s="343" customFormat="1" ht="14.25" thickTop="1" thickBot="1" x14ac:dyDescent="0.25">
      <c r="A73" s="1510" t="s">
        <v>980</v>
      </c>
      <c r="B73" s="632" t="s">
        <v>574</v>
      </c>
      <c r="C73" s="573"/>
      <c r="D73" s="573"/>
      <c r="E73" s="573"/>
      <c r="F73" s="573">
        <v>7276</v>
      </c>
      <c r="G73" s="573"/>
      <c r="H73" s="573"/>
      <c r="I73" s="531"/>
      <c r="J73" s="531"/>
      <c r="K73" s="1670">
        <f>SUM(C73:J73)</f>
        <v>7276</v>
      </c>
      <c r="L73" s="576">
        <v>33313</v>
      </c>
      <c r="M73" s="609"/>
      <c r="N73" s="609"/>
    </row>
    <row r="74" spans="1:14" ht="12.75" customHeight="1" thickTop="1" thickBot="1" x14ac:dyDescent="0.25">
      <c r="A74" s="1668" t="s">
        <v>811</v>
      </c>
      <c r="B74" s="1676">
        <v>2000</v>
      </c>
      <c r="C74" s="1677">
        <f>SUM(C42,C47,C53,C57,C65,C72,C73)</f>
        <v>16568456</v>
      </c>
      <c r="D74" s="1677">
        <f t="shared" ref="D74:K74" si="10">SUM(D42,D47,D53,D57,D65,D72,D73)</f>
        <v>2892840</v>
      </c>
      <c r="E74" s="1677">
        <f t="shared" si="10"/>
        <v>4925612</v>
      </c>
      <c r="F74" s="1677">
        <f t="shared" si="10"/>
        <v>689659</v>
      </c>
      <c r="G74" s="1677">
        <f t="shared" si="10"/>
        <v>764558</v>
      </c>
      <c r="H74" s="1677">
        <f t="shared" si="10"/>
        <v>163981</v>
      </c>
      <c r="I74" s="1677">
        <f t="shared" si="10"/>
        <v>0</v>
      </c>
      <c r="J74" s="1677">
        <f t="shared" si="10"/>
        <v>143979</v>
      </c>
      <c r="K74" s="1677">
        <f t="shared" si="10"/>
        <v>26149085</v>
      </c>
      <c r="L74" s="1677">
        <f>SUM(L42,L47,L53,L57,L65,L72,L73)</f>
        <v>27377469</v>
      </c>
    </row>
    <row r="75" spans="1:14" s="259" customFormat="1" ht="15.75" customHeight="1" thickTop="1" thickBot="1" x14ac:dyDescent="0.25">
      <c r="A75" s="1610" t="s">
        <v>47</v>
      </c>
      <c r="B75" s="1611" t="s">
        <v>575</v>
      </c>
      <c r="C75" s="573">
        <v>138454</v>
      </c>
      <c r="D75" s="573">
        <v>1251</v>
      </c>
      <c r="E75" s="573">
        <v>99658</v>
      </c>
      <c r="F75" s="573">
        <v>10465</v>
      </c>
      <c r="G75" s="573"/>
      <c r="H75" s="573"/>
      <c r="I75" s="531"/>
      <c r="J75" s="531"/>
      <c r="K75" s="1670">
        <f>SUM(C75:J75)</f>
        <v>249828</v>
      </c>
      <c r="L75" s="576">
        <v>297072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10500</v>
      </c>
      <c r="F78" s="616"/>
      <c r="G78" s="616"/>
      <c r="H78" s="634"/>
      <c r="I78" s="477"/>
      <c r="J78" s="477"/>
      <c r="K78" s="1671">
        <f t="shared" ref="K78:K83" si="11">SUM(C78:J78)</f>
        <v>10500</v>
      </c>
      <c r="L78" s="481">
        <v>31324</v>
      </c>
    </row>
    <row r="79" spans="1:14" x14ac:dyDescent="0.2">
      <c r="A79" s="1504" t="s">
        <v>304</v>
      </c>
      <c r="B79" s="614">
        <v>4120</v>
      </c>
      <c r="C79" s="616"/>
      <c r="D79" s="616"/>
      <c r="E79" s="466">
        <v>229031</v>
      </c>
      <c r="F79" s="616"/>
      <c r="G79" s="616"/>
      <c r="H79" s="466">
        <v>25498</v>
      </c>
      <c r="I79" s="477"/>
      <c r="J79" s="477"/>
      <c r="K79" s="1671">
        <f t="shared" si="11"/>
        <v>254529</v>
      </c>
      <c r="L79" s="466">
        <v>270409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239531</v>
      </c>
      <c r="F84" s="616"/>
      <c r="G84" s="616"/>
      <c r="H84" s="1670">
        <f>SUM(H78:H83)</f>
        <v>25498</v>
      </c>
      <c r="I84" s="477"/>
      <c r="J84" s="477"/>
      <c r="K84" s="1670">
        <f>SUM(K78:K83)</f>
        <v>265029</v>
      </c>
      <c r="L84" s="1670">
        <f>SUM(L78:L83)</f>
        <v>301733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239531</v>
      </c>
      <c r="F102" s="616"/>
      <c r="G102" s="616"/>
      <c r="H102" s="1677">
        <f>SUM(H84,H92,H100,H101)</f>
        <v>25498</v>
      </c>
      <c r="I102" s="477"/>
      <c r="J102" s="477"/>
      <c r="K102" s="1677">
        <f>SUM(K84,K92,K100,K101)</f>
        <v>265029</v>
      </c>
      <c r="L102" s="1677">
        <f>SUM(L84,L92,L100,L101)</f>
        <v>301733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7604</v>
      </c>
      <c r="M113" s="613"/>
      <c r="N113" s="613"/>
    </row>
    <row r="114" spans="1:14" ht="12.75" customHeight="1" thickTop="1" thickBot="1" x14ac:dyDescent="0.25">
      <c r="A114" s="1668" t="s">
        <v>48</v>
      </c>
      <c r="B114" s="1682"/>
      <c r="C114" s="1670">
        <f>SUM(C33,C74,C75,C102,C112,C113)</f>
        <v>59738485</v>
      </c>
      <c r="D114" s="1670">
        <f t="shared" ref="D114:K114" si="13">SUM(D33,D74,D75,D102,D112,D113)</f>
        <v>10182577</v>
      </c>
      <c r="E114" s="1670">
        <f t="shared" si="13"/>
        <v>5554265</v>
      </c>
      <c r="F114" s="1670">
        <f t="shared" si="13"/>
        <v>2060553</v>
      </c>
      <c r="G114" s="1670">
        <f t="shared" si="13"/>
        <v>877628</v>
      </c>
      <c r="H114" s="1670">
        <f>SUM(H33,H74,H75,H102,H112,H113)</f>
        <v>1448112</v>
      </c>
      <c r="I114" s="1670">
        <f t="shared" si="13"/>
        <v>0</v>
      </c>
      <c r="J114" s="1670">
        <f t="shared" si="13"/>
        <v>157225</v>
      </c>
      <c r="K114" s="1670">
        <f t="shared" si="13"/>
        <v>80018845</v>
      </c>
      <c r="L114" s="1670">
        <f>SUM(L33,L74,L75,L102,L112,L113)</f>
        <v>85242164</v>
      </c>
    </row>
    <row r="115" spans="1:14" ht="13.5" thickTop="1" x14ac:dyDescent="0.2">
      <c r="A115" s="2155" t="s">
        <v>996</v>
      </c>
      <c r="B115" s="2156"/>
      <c r="C115" s="618"/>
      <c r="D115" s="618"/>
      <c r="E115" s="618"/>
      <c r="F115" s="618"/>
      <c r="G115" s="618"/>
      <c r="H115" s="618"/>
      <c r="I115" s="618"/>
      <c r="J115" s="618"/>
      <c r="K115" s="1684">
        <f>'Revenues 9-14'!C268-'Expenditures 15-22'!K114</f>
        <v>12314294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36031</v>
      </c>
      <c r="F123" s="466">
        <v>27488</v>
      </c>
      <c r="G123" s="466"/>
      <c r="H123" s="466"/>
      <c r="I123" s="467"/>
      <c r="J123" s="467"/>
      <c r="K123" s="1670">
        <f>SUM(C123:J123)</f>
        <v>63519</v>
      </c>
      <c r="L123" s="466">
        <v>195000</v>
      </c>
    </row>
    <row r="124" spans="1:14" ht="14.25" thickTop="1" thickBot="1" x14ac:dyDescent="0.25">
      <c r="A124" s="1504" t="s">
        <v>197</v>
      </c>
      <c r="B124" s="614">
        <v>2540</v>
      </c>
      <c r="C124" s="466">
        <v>4506795</v>
      </c>
      <c r="D124" s="466">
        <f>970156-11577</f>
        <v>958579</v>
      </c>
      <c r="E124" s="466">
        <f>715562+42+80</f>
        <v>715684</v>
      </c>
      <c r="F124" s="466">
        <v>1321165</v>
      </c>
      <c r="G124" s="466">
        <v>150829</v>
      </c>
      <c r="H124" s="466">
        <v>9180</v>
      </c>
      <c r="I124" s="467"/>
      <c r="J124" s="467">
        <v>6839</v>
      </c>
      <c r="K124" s="1670">
        <f>SUM(C124:J124)</f>
        <v>7669071</v>
      </c>
      <c r="L124" s="466">
        <v>7789047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4506795</v>
      </c>
      <c r="D127" s="1670">
        <f t="shared" ref="D127:L127" si="14">SUM(D122:D126)</f>
        <v>958579</v>
      </c>
      <c r="E127" s="1670">
        <f t="shared" si="14"/>
        <v>751715</v>
      </c>
      <c r="F127" s="1670">
        <f t="shared" si="14"/>
        <v>1348653</v>
      </c>
      <c r="G127" s="1670">
        <f t="shared" si="14"/>
        <v>150829</v>
      </c>
      <c r="H127" s="1670">
        <f t="shared" si="14"/>
        <v>9180</v>
      </c>
      <c r="I127" s="1670">
        <f t="shared" si="14"/>
        <v>0</v>
      </c>
      <c r="J127" s="1670">
        <f t="shared" si="14"/>
        <v>6839</v>
      </c>
      <c r="K127" s="1670">
        <f t="shared" si="14"/>
        <v>7732590</v>
      </c>
      <c r="L127" s="1670">
        <f t="shared" si="14"/>
        <v>7984047</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4506795</v>
      </c>
      <c r="D129" s="1677">
        <f t="shared" ref="D129:L129" si="15">SUM(D120,D127,D128)</f>
        <v>958579</v>
      </c>
      <c r="E129" s="1677">
        <f t="shared" si="15"/>
        <v>751715</v>
      </c>
      <c r="F129" s="1677">
        <f t="shared" si="15"/>
        <v>1348653</v>
      </c>
      <c r="G129" s="1677">
        <f t="shared" si="15"/>
        <v>150829</v>
      </c>
      <c r="H129" s="1677">
        <f t="shared" si="15"/>
        <v>9180</v>
      </c>
      <c r="I129" s="1677">
        <f t="shared" si="15"/>
        <v>0</v>
      </c>
      <c r="J129" s="1677">
        <f t="shared" si="15"/>
        <v>6839</v>
      </c>
      <c r="K129" s="1677">
        <f t="shared" si="15"/>
        <v>7732590</v>
      </c>
      <c r="L129" s="1677">
        <f t="shared" si="15"/>
        <v>7984047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90000</v>
      </c>
    </row>
    <row r="151" spans="1:14" ht="12.75" customHeight="1" thickTop="1" thickBot="1" x14ac:dyDescent="0.25">
      <c r="A151" s="2172" t="s">
        <v>620</v>
      </c>
      <c r="B151" s="2152"/>
      <c r="C151" s="1670">
        <f>SUM(C129,C130,C139,C149,C150)</f>
        <v>4506795</v>
      </c>
      <c r="D151" s="1670">
        <f t="shared" ref="D151:K151" si="16">SUM(D129,D130,D139,D149,D150)</f>
        <v>958579</v>
      </c>
      <c r="E151" s="1670">
        <f t="shared" si="16"/>
        <v>751715</v>
      </c>
      <c r="F151" s="1670">
        <f t="shared" si="16"/>
        <v>1348653</v>
      </c>
      <c r="G151" s="1670">
        <f t="shared" si="16"/>
        <v>150829</v>
      </c>
      <c r="H151" s="1670">
        <f t="shared" si="16"/>
        <v>9180</v>
      </c>
      <c r="I151" s="1670">
        <f t="shared" si="16"/>
        <v>0</v>
      </c>
      <c r="J151" s="1670">
        <f t="shared" si="16"/>
        <v>6839</v>
      </c>
      <c r="K151" s="1670">
        <f t="shared" si="16"/>
        <v>7732590</v>
      </c>
      <c r="L151" s="1670">
        <f>SUM(L129,L130,L139,L149,L150)</f>
        <v>8074047</v>
      </c>
    </row>
    <row r="152" spans="1:14" ht="12.75" customHeight="1" thickTop="1" x14ac:dyDescent="0.2">
      <c r="A152" s="2175" t="s">
        <v>1178</v>
      </c>
      <c r="B152" s="2176"/>
      <c r="C152" s="618"/>
      <c r="D152" s="618"/>
      <c r="E152" s="618"/>
      <c r="F152" s="618"/>
      <c r="G152" s="618"/>
      <c r="H152" s="618"/>
      <c r="I152" s="618"/>
      <c r="J152" s="616"/>
      <c r="K152" s="1684">
        <f>'Revenues 9-14'!D268-'Expenditures 15-22'!K151</f>
        <v>-67600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f>27217+1361299</f>
        <v>1388516</v>
      </c>
      <c r="I169" s="616"/>
      <c r="J169" s="616"/>
      <c r="K169" s="1671">
        <f>SUM(C169:H169)</f>
        <v>1388516</v>
      </c>
      <c r="L169" s="656">
        <v>1362000</v>
      </c>
    </row>
    <row r="170" spans="1:14" ht="33.75" customHeight="1" x14ac:dyDescent="0.2">
      <c r="A170" s="669" t="s">
        <v>1670</v>
      </c>
      <c r="B170" s="671" t="s">
        <v>31</v>
      </c>
      <c r="C170" s="616"/>
      <c r="D170" s="616"/>
      <c r="E170" s="616"/>
      <c r="F170" s="616"/>
      <c r="G170" s="616"/>
      <c r="H170" s="569">
        <f>3815000+512546</f>
        <v>4327546</v>
      </c>
      <c r="I170" s="616"/>
      <c r="J170" s="616"/>
      <c r="K170" s="1671">
        <f>SUM(C170:J170)</f>
        <v>4327546</v>
      </c>
      <c r="L170" s="569">
        <v>4359763</v>
      </c>
    </row>
    <row r="171" spans="1:14" ht="15.75" customHeight="1" x14ac:dyDescent="0.2">
      <c r="A171" s="621" t="s">
        <v>766</v>
      </c>
      <c r="B171" s="672" t="s">
        <v>84</v>
      </c>
      <c r="C171" s="616"/>
      <c r="D171" s="616"/>
      <c r="E171" s="466"/>
      <c r="F171" s="616"/>
      <c r="G171" s="616"/>
      <c r="H171" s="569">
        <f>3265</f>
        <v>3265</v>
      </c>
      <c r="I171" s="477"/>
      <c r="J171" s="616"/>
      <c r="K171" s="1671">
        <f>SUM(C171:J171)</f>
        <v>3265</v>
      </c>
      <c r="L171" s="569">
        <v>56100</v>
      </c>
    </row>
    <row r="172" spans="1:14" ht="12.75" customHeight="1" thickBot="1" x14ac:dyDescent="0.25">
      <c r="A172" s="1668" t="s">
        <v>638</v>
      </c>
      <c r="B172" s="1669" t="s">
        <v>492</v>
      </c>
      <c r="C172" s="616"/>
      <c r="D172" s="616"/>
      <c r="E172" s="1677">
        <f>SUM(E168,E169,E170,E171)</f>
        <v>0</v>
      </c>
      <c r="F172" s="616"/>
      <c r="G172" s="616"/>
      <c r="H172" s="1677">
        <f>SUM(H168,H169,H170,H171)</f>
        <v>5719327</v>
      </c>
      <c r="I172" s="638"/>
      <c r="J172" s="616"/>
      <c r="K172" s="1677">
        <f>SUM(K168,K169,K170,K171)</f>
        <v>5719327</v>
      </c>
      <c r="L172" s="1677">
        <f>SUM(L168,L169,L170,L171)</f>
        <v>5777863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5719327</v>
      </c>
      <c r="I174" s="638"/>
      <c r="J174" s="616"/>
      <c r="K174" s="1677">
        <f>SUM(K160,K172,K173)</f>
        <v>5719327</v>
      </c>
      <c r="L174" s="1677">
        <f>SUM(L160,L172,L173)</f>
        <v>5777863</v>
      </c>
    </row>
    <row r="175" spans="1:14" ht="13.5" thickTop="1" x14ac:dyDescent="0.2">
      <c r="A175" s="2155" t="s">
        <v>996</v>
      </c>
      <c r="B175" s="2156"/>
      <c r="C175" s="616"/>
      <c r="D175" s="616"/>
      <c r="E175" s="616"/>
      <c r="F175" s="616"/>
      <c r="G175" s="616"/>
      <c r="H175" s="618"/>
      <c r="I175" s="616"/>
      <c r="J175" s="616"/>
      <c r="K175" s="1684">
        <f>'Revenues 9-14'!E268-'Expenditures 15-22'!K174</f>
        <v>-76160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129788</v>
      </c>
      <c r="D182" s="466">
        <v>8617</v>
      </c>
      <c r="E182" s="466">
        <v>4102850</v>
      </c>
      <c r="F182" s="466">
        <v>179630</v>
      </c>
      <c r="G182" s="466"/>
      <c r="H182" s="466"/>
      <c r="I182" s="467"/>
      <c r="J182" s="467"/>
      <c r="K182" s="1671">
        <f>SUM(C182:J182)</f>
        <v>4420885</v>
      </c>
      <c r="L182" s="466">
        <v>4466280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129788</v>
      </c>
      <c r="D184" s="1677">
        <f t="shared" ref="D184:J184" si="17">SUM(D180,D182,D183)</f>
        <v>8617</v>
      </c>
      <c r="E184" s="1677">
        <f t="shared" si="17"/>
        <v>4102850</v>
      </c>
      <c r="F184" s="1677">
        <f t="shared" si="17"/>
        <v>179630</v>
      </c>
      <c r="G184" s="1677">
        <f t="shared" si="17"/>
        <v>0</v>
      </c>
      <c r="H184" s="1677">
        <f t="shared" si="17"/>
        <v>0</v>
      </c>
      <c r="I184" s="1677">
        <f t="shared" si="17"/>
        <v>0</v>
      </c>
      <c r="J184" s="1677">
        <f t="shared" si="17"/>
        <v>0</v>
      </c>
      <c r="K184" s="1677">
        <f>SUM(K180,K182,K183)</f>
        <v>4420885</v>
      </c>
      <c r="L184" s="1677">
        <f>SUM(L180, L182:L183)</f>
        <v>4466280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129788</v>
      </c>
      <c r="D210" s="1670">
        <f>SUM(D184,D185)</f>
        <v>8617</v>
      </c>
      <c r="E210" s="1670">
        <f>SUM(E184,E185,E196)</f>
        <v>4102850</v>
      </c>
      <c r="F210" s="1670">
        <f>SUM(F184,F185)</f>
        <v>179630</v>
      </c>
      <c r="G210" s="1670">
        <f>SUM(G184,G185)</f>
        <v>0</v>
      </c>
      <c r="H210" s="1670">
        <f>SUM(H184,H185,H196,H208,H209)</f>
        <v>0</v>
      </c>
      <c r="I210" s="1670">
        <f>SUM(I184,I185)</f>
        <v>0</v>
      </c>
      <c r="J210" s="1670">
        <f>SUM(J184,J185)</f>
        <v>0</v>
      </c>
      <c r="K210" s="1671">
        <f>SUM(K184,K185,K196,K208,K209)</f>
        <v>4420885</v>
      </c>
      <c r="L210" s="1670">
        <f>SUM(L184,L185,L196,L208,L209)</f>
        <v>4466280</v>
      </c>
    </row>
    <row r="211" spans="1:14" ht="13.5" thickTop="1" x14ac:dyDescent="0.2">
      <c r="A211" s="2155" t="s">
        <v>996</v>
      </c>
      <c r="B211" s="2156"/>
      <c r="C211" s="618"/>
      <c r="D211" s="618"/>
      <c r="E211" s="618"/>
      <c r="F211" s="618"/>
      <c r="G211" s="618"/>
      <c r="H211" s="618"/>
      <c r="I211" s="616"/>
      <c r="J211" s="616"/>
      <c r="K211" s="1684">
        <f>'Revenues 9-14'!F268-'Expenditures 15-22'!K210</f>
        <v>2879629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427742</v>
      </c>
      <c r="E215" s="616"/>
      <c r="F215" s="616"/>
      <c r="G215" s="616"/>
      <c r="H215" s="616"/>
      <c r="I215" s="616"/>
      <c r="J215" s="616"/>
      <c r="K215" s="1671">
        <f>D215</f>
        <v>427742</v>
      </c>
      <c r="L215" s="466">
        <v>745553</v>
      </c>
    </row>
    <row r="216" spans="1:14" x14ac:dyDescent="0.2">
      <c r="A216" s="1504" t="s">
        <v>163</v>
      </c>
      <c r="B216" s="614" t="s">
        <v>967</v>
      </c>
      <c r="C216" s="616"/>
      <c r="D216" s="467"/>
      <c r="E216" s="616"/>
      <c r="F216" s="616"/>
      <c r="G216" s="616"/>
      <c r="H216" s="616"/>
      <c r="I216" s="616"/>
      <c r="J216" s="616"/>
      <c r="K216" s="1671">
        <f t="shared" ref="K216:K228" si="19">D216</f>
        <v>0</v>
      </c>
      <c r="L216" s="466">
        <v>33424</v>
      </c>
    </row>
    <row r="217" spans="1:14" x14ac:dyDescent="0.2">
      <c r="A217" s="1504" t="s">
        <v>164</v>
      </c>
      <c r="B217" s="614">
        <v>1200</v>
      </c>
      <c r="C217" s="616"/>
      <c r="D217" s="466">
        <v>555108</v>
      </c>
      <c r="E217" s="616"/>
      <c r="F217" s="616"/>
      <c r="G217" s="616"/>
      <c r="H217" s="616"/>
      <c r="I217" s="616"/>
      <c r="J217" s="616"/>
      <c r="K217" s="1671">
        <f t="shared" si="19"/>
        <v>555108</v>
      </c>
      <c r="L217" s="466">
        <v>567908</v>
      </c>
    </row>
    <row r="218" spans="1:14" x14ac:dyDescent="0.2">
      <c r="A218" s="1504" t="s">
        <v>278</v>
      </c>
      <c r="B218" s="614" t="s">
        <v>968</v>
      </c>
      <c r="C218" s="616"/>
      <c r="D218" s="467"/>
      <c r="E218" s="616"/>
      <c r="F218" s="616"/>
      <c r="G218" s="616"/>
      <c r="H218" s="616"/>
      <c r="I218" s="616"/>
      <c r="J218" s="616"/>
      <c r="K218" s="1671">
        <f t="shared" si="19"/>
        <v>0</v>
      </c>
      <c r="L218" s="466">
        <v>78905</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3315</v>
      </c>
      <c r="E223" s="616"/>
      <c r="F223" s="616"/>
      <c r="G223" s="616"/>
      <c r="H223" s="616"/>
      <c r="I223" s="616"/>
      <c r="J223" s="616"/>
      <c r="K223" s="1671">
        <f t="shared" si="19"/>
        <v>3315</v>
      </c>
      <c r="L223" s="466"/>
    </row>
    <row r="224" spans="1:14" x14ac:dyDescent="0.2">
      <c r="A224" s="1504" t="s">
        <v>964</v>
      </c>
      <c r="B224" s="614">
        <v>1600</v>
      </c>
      <c r="C224" s="616"/>
      <c r="D224" s="466">
        <v>145</v>
      </c>
      <c r="E224" s="616"/>
      <c r="F224" s="616"/>
      <c r="G224" s="616"/>
      <c r="H224" s="616"/>
      <c r="I224" s="616"/>
      <c r="J224" s="616"/>
      <c r="K224" s="1671">
        <f t="shared" si="19"/>
        <v>145</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124350</v>
      </c>
      <c r="E227" s="616"/>
      <c r="F227" s="616"/>
      <c r="G227" s="616"/>
      <c r="H227" s="616"/>
      <c r="I227" s="616"/>
      <c r="J227" s="616"/>
      <c r="K227" s="1671">
        <f t="shared" si="19"/>
        <v>124350</v>
      </c>
      <c r="L227" s="466">
        <v>159819</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1110660</v>
      </c>
      <c r="E229" s="616"/>
      <c r="F229" s="616"/>
      <c r="G229" s="616"/>
      <c r="H229" s="616"/>
      <c r="I229" s="616"/>
      <c r="J229" s="616"/>
      <c r="K229" s="1670">
        <f>SUM(K215:K228)</f>
        <v>1110660</v>
      </c>
      <c r="L229" s="1670">
        <f>SUM(L215:L228)</f>
        <v>1585609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25944</v>
      </c>
      <c r="E232" s="616"/>
      <c r="F232" s="616"/>
      <c r="G232" s="616"/>
      <c r="H232" s="616"/>
      <c r="I232" s="616"/>
      <c r="J232" s="616"/>
      <c r="K232" s="1671">
        <f t="shared" ref="K232:K237" si="20">D232</f>
        <v>25944</v>
      </c>
      <c r="L232" s="466">
        <v>28983</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256015</v>
      </c>
      <c r="E234" s="616"/>
      <c r="F234" s="616"/>
      <c r="G234" s="616"/>
      <c r="H234" s="616"/>
      <c r="I234" s="616"/>
      <c r="J234" s="616"/>
      <c r="K234" s="1671">
        <f t="shared" si="20"/>
        <v>256015</v>
      </c>
      <c r="L234" s="466">
        <v>257348</v>
      </c>
    </row>
    <row r="235" spans="1:12" x14ac:dyDescent="0.2">
      <c r="A235" s="1504" t="s">
        <v>199</v>
      </c>
      <c r="B235" s="614">
        <v>2140</v>
      </c>
      <c r="C235" s="616"/>
      <c r="D235" s="466">
        <v>13787</v>
      </c>
      <c r="E235" s="616"/>
      <c r="F235" s="616"/>
      <c r="G235" s="616"/>
      <c r="H235" s="616"/>
      <c r="I235" s="616"/>
      <c r="J235" s="616"/>
      <c r="K235" s="1671">
        <f t="shared" si="20"/>
        <v>13787</v>
      </c>
      <c r="L235" s="466">
        <v>13132</v>
      </c>
    </row>
    <row r="236" spans="1:12" x14ac:dyDescent="0.2">
      <c r="A236" s="1504" t="s">
        <v>200</v>
      </c>
      <c r="B236" s="614">
        <v>2150</v>
      </c>
      <c r="C236" s="616"/>
      <c r="D236" s="466">
        <v>19800</v>
      </c>
      <c r="E236" s="616"/>
      <c r="F236" s="616"/>
      <c r="G236" s="616"/>
      <c r="H236" s="616"/>
      <c r="I236" s="616"/>
      <c r="J236" s="616"/>
      <c r="K236" s="1671">
        <f t="shared" si="20"/>
        <v>19800</v>
      </c>
      <c r="L236" s="466">
        <v>20818</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315546</v>
      </c>
      <c r="E238" s="616"/>
      <c r="F238" s="616"/>
      <c r="G238" s="616"/>
      <c r="H238" s="616"/>
      <c r="I238" s="616"/>
      <c r="J238" s="616"/>
      <c r="K238" s="1670">
        <f>SUM(K232:K237)</f>
        <v>315546</v>
      </c>
      <c r="L238" s="1670">
        <f>SUM(L232:L237)</f>
        <v>320281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46201</v>
      </c>
      <c r="E240" s="616"/>
      <c r="F240" s="616"/>
      <c r="G240" s="616"/>
      <c r="H240" s="616"/>
      <c r="I240" s="616"/>
      <c r="J240" s="616"/>
      <c r="K240" s="1672">
        <f>D240</f>
        <v>46201</v>
      </c>
      <c r="L240" s="481">
        <v>33799</v>
      </c>
    </row>
    <row r="241" spans="1:12" x14ac:dyDescent="0.2">
      <c r="A241" s="1504" t="s">
        <v>815</v>
      </c>
      <c r="B241" s="614">
        <v>2220</v>
      </c>
      <c r="C241" s="616"/>
      <c r="D241" s="466">
        <v>104065</v>
      </c>
      <c r="E241" s="616"/>
      <c r="F241" s="616"/>
      <c r="G241" s="616"/>
      <c r="H241" s="616"/>
      <c r="I241" s="616"/>
      <c r="J241" s="616"/>
      <c r="K241" s="1672">
        <f>D241</f>
        <v>104065</v>
      </c>
      <c r="L241" s="466">
        <v>110344</v>
      </c>
    </row>
    <row r="242" spans="1:12" x14ac:dyDescent="0.2">
      <c r="A242" s="1504" t="s">
        <v>816</v>
      </c>
      <c r="B242" s="614">
        <v>2230</v>
      </c>
      <c r="C242" s="616"/>
      <c r="D242" s="466">
        <v>2905</v>
      </c>
      <c r="E242" s="616"/>
      <c r="F242" s="616"/>
      <c r="G242" s="616"/>
      <c r="H242" s="616"/>
      <c r="I242" s="616"/>
      <c r="J242" s="616"/>
      <c r="K242" s="1672">
        <f>D242</f>
        <v>2905</v>
      </c>
      <c r="L242" s="466">
        <v>1832</v>
      </c>
    </row>
    <row r="243" spans="1:12" ht="12.75" customHeight="1" thickBot="1" x14ac:dyDescent="0.25">
      <c r="A243" s="1694" t="s">
        <v>561</v>
      </c>
      <c r="B243" s="1695">
        <v>2200</v>
      </c>
      <c r="C243" s="616"/>
      <c r="D243" s="1670">
        <f>SUM(D240:D242)</f>
        <v>153171</v>
      </c>
      <c r="E243" s="616"/>
      <c r="F243" s="616"/>
      <c r="G243" s="616"/>
      <c r="H243" s="616"/>
      <c r="I243" s="616"/>
      <c r="J243" s="616"/>
      <c r="K243" s="1670">
        <f>SUM(K240:K242)</f>
        <v>153171</v>
      </c>
      <c r="L243" s="1670">
        <f>SUM(L240:L242)</f>
        <v>145975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17830</v>
      </c>
      <c r="E246" s="616"/>
      <c r="F246" s="616"/>
      <c r="G246" s="616"/>
      <c r="H246" s="616"/>
      <c r="I246" s="616"/>
      <c r="J246" s="616"/>
      <c r="K246" s="1672">
        <f t="shared" ref="K246:K256" si="21">D246</f>
        <v>17830</v>
      </c>
      <c r="L246" s="466">
        <v>3147</v>
      </c>
    </row>
    <row r="247" spans="1:12" x14ac:dyDescent="0.2">
      <c r="A247" s="1504" t="s">
        <v>819</v>
      </c>
      <c r="B247" s="614">
        <v>2330</v>
      </c>
      <c r="C247" s="616"/>
      <c r="D247" s="466">
        <v>34010</v>
      </c>
      <c r="E247" s="616"/>
      <c r="F247" s="616"/>
      <c r="G247" s="616"/>
      <c r="H247" s="616"/>
      <c r="I247" s="616"/>
      <c r="J247" s="616"/>
      <c r="K247" s="1672">
        <f t="shared" si="21"/>
        <v>34010</v>
      </c>
      <c r="L247" s="466">
        <v>35029</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v>20000</v>
      </c>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51840</v>
      </c>
      <c r="E257" s="616"/>
      <c r="F257" s="616"/>
      <c r="G257" s="616"/>
      <c r="H257" s="616"/>
      <c r="I257" s="616"/>
      <c r="J257" s="616"/>
      <c r="K257" s="1670">
        <f>SUM(K245:K256)</f>
        <v>51840</v>
      </c>
      <c r="L257" s="1670">
        <f>SUM(L245:L256)</f>
        <v>58176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166228</v>
      </c>
      <c r="E259" s="616"/>
      <c r="F259" s="616"/>
      <c r="G259" s="616"/>
      <c r="H259" s="616"/>
      <c r="I259" s="616"/>
      <c r="J259" s="616"/>
      <c r="K259" s="1672">
        <f>D259</f>
        <v>166228</v>
      </c>
      <c r="L259" s="481">
        <v>184728</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166228</v>
      </c>
      <c r="E261" s="616"/>
      <c r="F261" s="616"/>
      <c r="G261" s="616"/>
      <c r="H261" s="616"/>
      <c r="I261" s="616"/>
      <c r="J261" s="616"/>
      <c r="K261" s="1670">
        <f>SUM(K259:K260)</f>
        <v>166228</v>
      </c>
      <c r="L261" s="1670">
        <f>SUM(L259:L260)</f>
        <v>184728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102544</v>
      </c>
      <c r="E263" s="616"/>
      <c r="F263" s="616"/>
      <c r="G263" s="616"/>
      <c r="H263" s="616"/>
      <c r="I263" s="616"/>
      <c r="J263" s="616"/>
      <c r="K263" s="1672">
        <f>D263</f>
        <v>102544</v>
      </c>
      <c r="L263" s="481">
        <v>127547</v>
      </c>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945449</v>
      </c>
      <c r="E266" s="616"/>
      <c r="F266" s="616"/>
      <c r="G266" s="616"/>
      <c r="H266" s="616"/>
      <c r="I266" s="616"/>
      <c r="J266" s="616"/>
      <c r="K266" s="1672">
        <f t="shared" si="22"/>
        <v>945449</v>
      </c>
      <c r="L266" s="466">
        <v>933998</v>
      </c>
    </row>
    <row r="267" spans="1:14" x14ac:dyDescent="0.2">
      <c r="A267" s="1504" t="s">
        <v>953</v>
      </c>
      <c r="B267" s="614">
        <v>2550</v>
      </c>
      <c r="C267" s="616"/>
      <c r="D267" s="466">
        <v>15319</v>
      </c>
      <c r="E267" s="616"/>
      <c r="F267" s="616"/>
      <c r="G267" s="616"/>
      <c r="H267" s="616"/>
      <c r="I267" s="616"/>
      <c r="J267" s="616"/>
      <c r="K267" s="1672">
        <f t="shared" si="22"/>
        <v>15319</v>
      </c>
      <c r="L267" s="466"/>
    </row>
    <row r="268" spans="1:14" x14ac:dyDescent="0.2">
      <c r="A268" s="1504" t="s">
        <v>100</v>
      </c>
      <c r="B268" s="614">
        <v>2560</v>
      </c>
      <c r="C268" s="616"/>
      <c r="D268" s="466">
        <v>19316</v>
      </c>
      <c r="E268" s="616"/>
      <c r="F268" s="616"/>
      <c r="G268" s="616"/>
      <c r="H268" s="616"/>
      <c r="I268" s="616"/>
      <c r="J268" s="616"/>
      <c r="K268" s="1672">
        <f t="shared" si="22"/>
        <v>19316</v>
      </c>
      <c r="L268" s="466"/>
    </row>
    <row r="269" spans="1:14" x14ac:dyDescent="0.2">
      <c r="A269" s="1504" t="s">
        <v>101</v>
      </c>
      <c r="B269" s="614">
        <v>2570</v>
      </c>
      <c r="C269" s="616"/>
      <c r="D269" s="466">
        <v>45561</v>
      </c>
      <c r="E269" s="616"/>
      <c r="F269" s="616"/>
      <c r="G269" s="616"/>
      <c r="H269" s="616"/>
      <c r="I269" s="616"/>
      <c r="J269" s="616"/>
      <c r="K269" s="1672">
        <f t="shared" si="22"/>
        <v>45561</v>
      </c>
      <c r="L269" s="466">
        <v>45793</v>
      </c>
    </row>
    <row r="270" spans="1:14" ht="12.75" customHeight="1" thickBot="1" x14ac:dyDescent="0.25">
      <c r="A270" s="1668" t="s">
        <v>719</v>
      </c>
      <c r="B270" s="1675" t="s">
        <v>35</v>
      </c>
      <c r="C270" s="616"/>
      <c r="D270" s="1670">
        <f>SUM(D263:D269)</f>
        <v>1128189</v>
      </c>
      <c r="E270" s="616"/>
      <c r="F270" s="616"/>
      <c r="G270" s="616"/>
      <c r="H270" s="616"/>
      <c r="I270" s="616"/>
      <c r="J270" s="616"/>
      <c r="K270" s="1670">
        <f>SUM(K263:K269)</f>
        <v>1128189</v>
      </c>
      <c r="L270" s="1670">
        <f>SUM(L263:L269)</f>
        <v>1107338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v>149174</v>
      </c>
      <c r="E274" s="616"/>
      <c r="F274" s="616"/>
      <c r="G274" s="616"/>
      <c r="H274" s="616"/>
      <c r="I274" s="616"/>
      <c r="J274" s="616"/>
      <c r="K274" s="1672">
        <f>D274</f>
        <v>149174</v>
      </c>
      <c r="L274" s="466">
        <v>130148</v>
      </c>
    </row>
    <row r="275" spans="1:12" x14ac:dyDescent="0.2">
      <c r="A275" s="1504" t="s">
        <v>403</v>
      </c>
      <c r="B275" s="614">
        <v>2640</v>
      </c>
      <c r="C275" s="616"/>
      <c r="D275" s="466">
        <v>47374</v>
      </c>
      <c r="E275" s="616"/>
      <c r="F275" s="616"/>
      <c r="G275" s="616"/>
      <c r="H275" s="616"/>
      <c r="I275" s="616"/>
      <c r="J275" s="616"/>
      <c r="K275" s="1672">
        <f>D275</f>
        <v>47374</v>
      </c>
      <c r="L275" s="466">
        <v>108253</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196548</v>
      </c>
      <c r="E277" s="616"/>
      <c r="F277" s="616"/>
      <c r="G277" s="616"/>
      <c r="H277" s="616"/>
      <c r="I277" s="616"/>
      <c r="J277" s="616"/>
      <c r="K277" s="1670">
        <f>SUM(K272:K276)</f>
        <v>196548</v>
      </c>
      <c r="L277" s="1670">
        <f>SUM(L272:L276)</f>
        <v>238401</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2011522</v>
      </c>
      <c r="E279" s="616"/>
      <c r="F279" s="616"/>
      <c r="G279" s="616"/>
      <c r="H279" s="616"/>
      <c r="I279" s="616"/>
      <c r="J279" s="616"/>
      <c r="K279" s="1677">
        <f>SUM(K238,K243,K257,K261,K270,K277,K278)</f>
        <v>2011522</v>
      </c>
      <c r="L279" s="1677">
        <f>SUM(L238,L243,L257,L261,L270,L277,L278)</f>
        <v>2054899</v>
      </c>
    </row>
    <row r="280" spans="1:12" ht="15.75" customHeight="1" thickTop="1" thickBot="1" x14ac:dyDescent="0.25">
      <c r="A280" s="1624" t="s">
        <v>875</v>
      </c>
      <c r="B280" s="1613">
        <v>3000</v>
      </c>
      <c r="C280" s="616"/>
      <c r="D280" s="576">
        <v>18064</v>
      </c>
      <c r="E280" s="616"/>
      <c r="F280" s="616"/>
      <c r="G280" s="616"/>
      <c r="H280" s="616"/>
      <c r="I280" s="616"/>
      <c r="J280" s="616"/>
      <c r="K280" s="1679">
        <f>D280</f>
        <v>18064</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50000</v>
      </c>
    </row>
    <row r="295" spans="1:14" ht="12.75" customHeight="1" thickTop="1" thickBot="1" x14ac:dyDescent="0.25">
      <c r="A295" s="2173" t="s">
        <v>505</v>
      </c>
      <c r="B295" s="2174"/>
      <c r="C295" s="616"/>
      <c r="D295" s="1670">
        <f>SUM(D229,D279,D280,D285)</f>
        <v>3140246</v>
      </c>
      <c r="E295" s="616"/>
      <c r="F295" s="616"/>
      <c r="G295" s="616"/>
      <c r="H295" s="1670">
        <f>H293</f>
        <v>0</v>
      </c>
      <c r="I295" s="616"/>
      <c r="J295" s="616"/>
      <c r="K295" s="1670">
        <f>SUM(K229,K279,K280,K285,K293,K294)</f>
        <v>3140246</v>
      </c>
      <c r="L295" s="1670">
        <f>SUM(L229,L279,L280,L285,L293,L294)</f>
        <v>3690508</v>
      </c>
    </row>
    <row r="296" spans="1:14" ht="13.5" thickTop="1" x14ac:dyDescent="0.2">
      <c r="A296" s="2155" t="s">
        <v>996</v>
      </c>
      <c r="B296" s="2156"/>
      <c r="C296" s="616"/>
      <c r="D296" s="618"/>
      <c r="E296" s="616"/>
      <c r="F296" s="616"/>
      <c r="G296" s="616"/>
      <c r="H296" s="687"/>
      <c r="I296" s="616"/>
      <c r="J296" s="616"/>
      <c r="K296" s="1684">
        <f>'Revenues 9-14'!G268-'Expenditures 15-22'!K295</f>
        <v>-95906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f>0</f>
        <v>0</v>
      </c>
      <c r="F301" s="466"/>
      <c r="G301" s="466">
        <v>17153449</v>
      </c>
      <c r="H301" s="466">
        <f>417459</f>
        <v>417459</v>
      </c>
      <c r="I301" s="467"/>
      <c r="J301" s="467"/>
      <c r="K301" s="1671">
        <f>SUM(C301:J301)</f>
        <v>17570908</v>
      </c>
      <c r="L301" s="467">
        <v>14971316</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17153449</v>
      </c>
      <c r="H303" s="1677">
        <f t="shared" si="23"/>
        <v>417459</v>
      </c>
      <c r="I303" s="1677">
        <f t="shared" si="23"/>
        <v>0</v>
      </c>
      <c r="J303" s="1677">
        <f t="shared" si="23"/>
        <v>0</v>
      </c>
      <c r="K303" s="1677">
        <f t="shared" si="23"/>
        <v>17570908</v>
      </c>
      <c r="L303" s="1677">
        <f t="shared" si="23"/>
        <v>14971316</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100000</v>
      </c>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17153449</v>
      </c>
      <c r="H312" s="1670">
        <f>SUM(H303,H310)</f>
        <v>417459</v>
      </c>
      <c r="I312" s="1670">
        <f>SUM(I303)</f>
        <v>0</v>
      </c>
      <c r="J312" s="1670">
        <f>SUM(J303)</f>
        <v>0</v>
      </c>
      <c r="K312" s="1670">
        <f>SUM(K303,K310,K311)</f>
        <v>17570908</v>
      </c>
      <c r="L312" s="1670">
        <f>SUM(L303,L310,L311)</f>
        <v>15071316</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-17109012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3000</v>
      </c>
      <c r="M319" s="665"/>
      <c r="N319" s="665"/>
    </row>
    <row r="320" spans="1:14" s="674" customFormat="1" x14ac:dyDescent="0.2">
      <c r="A320" s="1523" t="s">
        <v>1802</v>
      </c>
      <c r="B320" s="698" t="s">
        <v>282</v>
      </c>
      <c r="C320" s="467"/>
      <c r="D320" s="467"/>
      <c r="E320" s="467">
        <v>234561</v>
      </c>
      <c r="F320" s="467"/>
      <c r="G320" s="467"/>
      <c r="H320" s="467"/>
      <c r="I320" s="467"/>
      <c r="J320" s="467"/>
      <c r="K320" s="1671">
        <f t="shared" ref="K320:K327" si="24">SUM(C320:J320)</f>
        <v>234561</v>
      </c>
      <c r="L320" s="467">
        <v>300000</v>
      </c>
      <c r="M320" s="665"/>
      <c r="N320" s="665"/>
    </row>
    <row r="321" spans="1:14" s="674" customFormat="1" x14ac:dyDescent="0.2">
      <c r="A321" s="1519" t="s">
        <v>300</v>
      </c>
      <c r="B321" s="697" t="s">
        <v>283</v>
      </c>
      <c r="C321" s="467"/>
      <c r="D321" s="467"/>
      <c r="E321" s="467">
        <v>3931</v>
      </c>
      <c r="F321" s="467"/>
      <c r="G321" s="467"/>
      <c r="H321" s="467"/>
      <c r="I321" s="467"/>
      <c r="J321" s="467"/>
      <c r="K321" s="1671">
        <f t="shared" si="24"/>
        <v>3931</v>
      </c>
      <c r="L321" s="467">
        <v>50000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5500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50000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f>385061</f>
        <v>385061</v>
      </c>
      <c r="F328" s="474"/>
      <c r="G328" s="474"/>
      <c r="H328" s="474"/>
      <c r="I328" s="474"/>
      <c r="J328" s="474"/>
      <c r="K328" s="1699">
        <f>SUM(C328:J328)</f>
        <v>385061</v>
      </c>
      <c r="L328" s="474">
        <v>375000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623553</v>
      </c>
      <c r="F330" s="1670">
        <f t="shared" si="25"/>
        <v>0</v>
      </c>
      <c r="G330" s="1670">
        <f t="shared" si="25"/>
        <v>0</v>
      </c>
      <c r="H330" s="1670">
        <f t="shared" si="25"/>
        <v>0</v>
      </c>
      <c r="I330" s="1670">
        <f t="shared" si="25"/>
        <v>0</v>
      </c>
      <c r="J330" s="1670">
        <f t="shared" si="25"/>
        <v>0</v>
      </c>
      <c r="K330" s="1670">
        <f>SUM(K319:K329)</f>
        <v>623553</v>
      </c>
      <c r="L330" s="1670">
        <f>SUM(L319:L329)</f>
        <v>783500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623553</v>
      </c>
      <c r="F342" s="1670">
        <f>SUM(F330)</f>
        <v>0</v>
      </c>
      <c r="G342" s="1670">
        <f>SUM(G330)</f>
        <v>0</v>
      </c>
      <c r="H342" s="1670">
        <f>SUM(H330,H334,H340)</f>
        <v>0</v>
      </c>
      <c r="I342" s="1670">
        <f>SUM(I330)</f>
        <v>0</v>
      </c>
      <c r="J342" s="1670">
        <f>SUM(J330)</f>
        <v>0</v>
      </c>
      <c r="K342" s="1670">
        <f>SUM(K330,K334,K340)</f>
        <v>623553</v>
      </c>
      <c r="L342" s="1677">
        <f>SUM(L330,L340,L341)</f>
        <v>783500</v>
      </c>
    </row>
    <row r="343" spans="1:14" ht="12.75" customHeight="1" thickTop="1" x14ac:dyDescent="0.2">
      <c r="A343" s="2168" t="s">
        <v>996</v>
      </c>
      <c r="B343" s="2169"/>
      <c r="C343" s="616"/>
      <c r="D343" s="616"/>
      <c r="E343" s="616"/>
      <c r="F343" s="616"/>
      <c r="G343" s="616"/>
      <c r="H343" s="616"/>
      <c r="I343" s="616"/>
      <c r="J343" s="616"/>
      <c r="K343" s="1684">
        <f>'Revenues 9-14'!J268-'Expenditures 15-22'!K342</f>
        <v>186582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2177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terms/"/>
    <ds:schemaRef ds:uri="http://schemas.openxmlformats.org/package/2006/metadata/core-properties"/>
    <ds:schemaRef ds:uri="http://schemas.microsoft.com/office/2006/documentManagement/types"/>
    <ds:schemaRef ds:uri="d21dc803-237d-4c68-8692-8d731fd29118"/>
    <ds:schemaRef ds:uri="http://purl.org/dc/elements/1.1/"/>
    <ds:schemaRef ds:uri="http://schemas.microsoft.com/office/2006/metadata/properties"/>
    <ds:schemaRef ds:uri="http://www.w3.org/XML/1998/namespace"/>
    <ds:schemaRef ds:uri="4d435f69-8686-490b-bd6d-b153bf22ab50"/>
    <ds:schemaRef ds:uri="http://schemas.microsoft.com/office/infopath/2007/PartnerControl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2019-11-27T19:25:34Z</cp:lastPrinted>
  <dcterms:created xsi:type="dcterms:W3CDTF">2003-10-29T19:06:34Z</dcterms:created>
  <dcterms:modified xsi:type="dcterms:W3CDTF">2019-12-27T21:11:40Z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