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48360AF-4EE5-48AF-9430-8586E8711215}"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9" i="29"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B2978" i="106" s="1"/>
  <c r="D2978" i="106" s="1"/>
  <c r="K93" i="29"/>
  <c r="B6997" i="106" s="1"/>
  <c r="D6997" i="106" s="1"/>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1" i="106"/>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31" i="108"/>
  <c r="F36" i="108"/>
  <c r="G28" i="108"/>
  <c r="E30" i="108"/>
  <c r="G30" i="108"/>
  <c r="D31" i="108"/>
  <c r="D36" i="108"/>
  <c r="E31" i="108"/>
  <c r="G31" i="108"/>
  <c r="E33" i="108"/>
  <c r="G33" i="108"/>
  <c r="E34" i="108"/>
  <c r="G34" i="108"/>
  <c r="E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33" i="118"/>
  <c r="D24" i="37"/>
  <c r="B4270" i="106" s="1"/>
  <c r="D4270" i="106" s="1"/>
  <c r="L5" i="11"/>
  <c r="B2056" i="106" s="1"/>
  <c r="D2056" i="106" s="1"/>
  <c r="D9" i="7"/>
  <c r="B1767" i="106" s="1"/>
  <c r="D1767" i="106" s="1"/>
  <c r="B5752" i="106"/>
  <c r="D5752" i="106" s="1"/>
  <c r="D17" i="7"/>
  <c r="B4104" i="106" s="1"/>
  <c r="D4104" i="106" s="1"/>
  <c r="F38" i="34" l="1"/>
  <c r="L342" i="29"/>
  <c r="F46" i="34"/>
  <c r="D26" i="108"/>
  <c r="D54" i="36"/>
  <c r="B3647" i="106"/>
  <c r="D3647" i="106" s="1"/>
  <c r="J22" i="37"/>
  <c r="H112" i="29"/>
  <c r="B7018" i="106" s="1"/>
  <c r="D7018" i="106" s="1"/>
  <c r="F44" i="34"/>
  <c r="D22" i="37"/>
  <c r="F50" i="34"/>
  <c r="F42" i="34"/>
  <c r="F37" i="34"/>
  <c r="G35" i="108"/>
  <c r="F26" i="108"/>
  <c r="D69" i="36"/>
  <c r="C342" i="29"/>
  <c r="B7216" i="106" s="1"/>
  <c r="D7216" i="106" s="1"/>
  <c r="J77" i="4"/>
  <c r="B6262" i="106" s="1"/>
  <c r="D6262" i="106" s="1"/>
  <c r="B1126" i="106"/>
  <c r="D1126" i="106" s="1"/>
  <c r="L13" i="11"/>
  <c r="B2060" i="106" s="1"/>
  <c r="D2060" i="106" s="1"/>
  <c r="J367" i="29"/>
  <c r="B7245" i="106" s="1"/>
  <c r="D7245" i="106" s="1"/>
  <c r="B7235" i="106"/>
  <c r="D7235" i="106" s="1"/>
  <c r="D37" i="108"/>
  <c r="F37" i="108"/>
  <c r="D31" i="36"/>
  <c r="C129" i="29"/>
  <c r="B1225" i="106" s="1"/>
  <c r="D1225" i="106" s="1"/>
  <c r="D11" i="37"/>
  <c r="L367" i="29"/>
  <c r="F19" i="7"/>
  <c r="B1807" i="106" s="1"/>
  <c r="D1807" i="106" s="1"/>
  <c r="G39" i="108"/>
  <c r="C352" i="29"/>
  <c r="B3621" i="106" s="1"/>
  <c r="D3621" i="106" s="1"/>
  <c r="K76" i="4"/>
  <c r="B3586" i="106" s="1"/>
  <c r="D3586" i="106" s="1"/>
  <c r="N22" i="3"/>
  <c r="B283" i="106" s="1"/>
  <c r="D283" i="106" s="1"/>
  <c r="F28" i="108"/>
  <c r="F41" i="108" s="1"/>
  <c r="G43" i="108" s="1"/>
  <c r="J41" i="3"/>
  <c r="B6216" i="106" s="1"/>
  <c r="D6216" i="106" s="1"/>
  <c r="K184" i="29"/>
  <c r="F13" i="4" s="1"/>
  <c r="B2596" i="106" s="1"/>
  <c r="D2596" i="106" s="1"/>
  <c r="G210" i="29"/>
  <c r="G15" i="145"/>
  <c r="H28" i="118"/>
  <c r="E28" i="108"/>
  <c r="H342" i="29"/>
  <c r="B7221" i="106" s="1"/>
  <c r="D7221" i="106" s="1"/>
  <c r="J129" i="29"/>
  <c r="B7038" i="106" s="1"/>
  <c r="D7038" i="106" s="1"/>
  <c r="K41" i="3"/>
  <c r="H29" i="118"/>
  <c r="K28" i="118" s="1"/>
  <c r="O27" i="118" s="1"/>
  <c r="O29" i="118" s="1"/>
  <c r="F14" i="4"/>
  <c r="B2597" i="106" s="1"/>
  <c r="D2597" i="106" s="1"/>
  <c r="L22" i="37"/>
  <c r="G29" i="108"/>
  <c r="D6103" i="106"/>
  <c r="B1308" i="106"/>
  <c r="D1308" i="106" s="1"/>
  <c r="E174" i="29"/>
  <c r="B1309" i="106" s="1"/>
  <c r="D1309" i="106" s="1"/>
  <c r="E29" i="108"/>
  <c r="B3254" i="106"/>
  <c r="D3254" i="106" s="1"/>
  <c r="I24" i="12"/>
  <c r="B3649" i="106"/>
  <c r="D3649" i="106" s="1"/>
  <c r="G367" i="29"/>
  <c r="D5" i="4"/>
  <c r="B3406" i="106" s="1"/>
  <c r="D3406" i="106" s="1"/>
  <c r="L312" i="29"/>
  <c r="I342" i="29"/>
  <c r="B7222" i="106" s="1"/>
  <c r="D7222" i="106" s="1"/>
  <c r="K350" i="29"/>
  <c r="F21" i="8"/>
  <c r="K24" i="12"/>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17" i="106" l="1"/>
  <c r="D1317" i="106" s="1"/>
  <c r="C114" i="29"/>
  <c r="B757" i="106" s="1"/>
  <c r="D757" i="106" s="1"/>
  <c r="B5527" i="106"/>
  <c r="D5527" i="106" s="1"/>
  <c r="D44" i="36"/>
  <c r="N23" i="3"/>
  <c r="B284" i="106" s="1"/>
  <c r="D284" i="106" s="1"/>
  <c r="D41" i="108"/>
  <c r="E43" i="108" s="1"/>
  <c r="F174" i="34"/>
  <c r="J16" i="4"/>
  <c r="B6226" i="106" s="1"/>
  <c r="D6226" i="106" s="1"/>
  <c r="L16" i="11"/>
  <c r="B2061" i="106" s="1"/>
  <c r="D2061" i="106" s="1"/>
  <c r="G6" i="4"/>
  <c r="B2604" i="106" s="1"/>
  <c r="D2604" i="106" s="1"/>
  <c r="B3568" i="106"/>
  <c r="D3568" i="106" s="1"/>
  <c r="D52" i="36"/>
  <c r="B7215" i="106"/>
  <c r="D7215" i="106" s="1"/>
  <c r="H151" i="29"/>
  <c r="B1273" i="106" s="1"/>
  <c r="D1273" i="106" s="1"/>
  <c r="B1381" i="106"/>
  <c r="D1381" i="106" s="1"/>
  <c r="J151" i="29"/>
  <c r="B7052" i="106" s="1"/>
  <c r="D7052" i="106" s="1"/>
  <c r="C151" i="29"/>
  <c r="B1226" i="106" s="1"/>
  <c r="D1226" i="106" s="1"/>
  <c r="K365" i="29"/>
  <c r="D7253" i="106"/>
  <c r="L114" i="29"/>
  <c r="B1996" i="106"/>
  <c r="D1996" i="106" s="1"/>
  <c r="I26" i="12"/>
  <c r="B7741" i="106" s="1"/>
  <c r="D7741" i="106" s="1"/>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D8" i="146" l="1"/>
  <c r="J20" i="4"/>
  <c r="B6227" i="106"/>
  <c r="D6227" i="106" s="1"/>
  <c r="K17" i="4"/>
  <c r="B3575" i="106" s="1"/>
  <c r="D357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<sst xmlns="http://schemas.openxmlformats.org/spreadsheetml/2006/main" count="5062" uniqueCount="2090">
  <si>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</si>
  <si>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</si>
  <si>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</si>
  <si>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</si>
  <si>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</si>
  <si>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</si>
  <si>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</si>
  <si>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</si>
  <si>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</si>
  <si>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</si>
  <si>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</si>
  <si>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</si>
  <si>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</si>
  <si>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</si>
  <si>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</si>
  <si>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</si>
  <si>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</si>
  <si>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</si>
  <si>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</si>
  <si>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</si>
  <si>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</si>
  <si>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</si>
  <si>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</si>
  <si>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</si>
  <si>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</si>
  <si>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</si>
  <si>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</si>
  <si>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</si>
  <si>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</si>
  <si>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</si>
  <si>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</si>
  <si>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</si>
  <si>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</si>
  <si>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</si>
  <si>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</si>
  <si>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</si>
  <si>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</si>
  <si>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</si>
  <si>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</si>
  <si>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</si>
  <si>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</si>
  <si>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</si>
  <si>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</si>
  <si>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</si>
  <si>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</si>
  <si>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</si>
  <si>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</si>
  <si>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</si>
  <si>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</si>
  <si>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</si>
  <si>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</si>
  <si>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</si>
  <si>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</si>
  <si>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</si>
  <si>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</si>
  <si>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</si>
  <si>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</si>
  <si>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</si>
  <si>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</si>
  <si>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</si>
  <si>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</si>
  <si>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</si>
  <si>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</si>
  <si>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</si>
  <si>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</si>
  <si>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</si>
  <si>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</si>
  <si>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</si>
  <si>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</si>
  <si>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</si>
  <si>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</si>
  <si>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</si>
  <si>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</si>
  <si>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</si>
  <si>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</si>
  <si>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</si>
  <si>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</si>
  <si>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</si>
  <si>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</si>
  <si>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</si>
  <si>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</si>
  <si>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</si>
  <si>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</si>
  <si>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</si>
  <si>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</si>
  <si>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</si>
  <si>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</si>
  <si>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</si>
  <si>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</si>
  <si>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</si>
  <si>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</si>
  <si>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</si>
  <si>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</si>
  <si>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</si>
  <si>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</si>
  <si>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</si>
  <si>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</si>
  <si>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</si>
  <si>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</si>
  <si>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</si>
  <si>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</si>
  <si>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</si>
  <si>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</si>
  <si>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</si>
  <si>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</si>
  <si>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</si>
  <si>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</si>
  <si>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</si>
  <si>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</si>
  <si>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</si>
  <si>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</si>
  <si>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</si>
  <si>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</si>
  <si>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</si>
  <si>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</si>
  <si>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</si>
  <si>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</si>
  <si>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</si>
  <si>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</si>
  <si>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</si>
  <si>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</si>
  <si>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</si>
  <si>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</si>
  <si>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</si>
  <si>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</si>
  <si>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</si>
  <si>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</si>
  <si>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</si>
  <si>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</si>
  <si>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</si>
  <si>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</si>
  <si>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</si>
  <si>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</si>
  <si>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</si>
  <si>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</si>
  <si>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</si>
  <si>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</si>
  <si>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</si>
  <si>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</si>
  <si>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</si>
  <si>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</si>
  <si>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</si>
  <si>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</si>
  <si>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</si>
  <si>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</si>
  <si>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</si>
  <si>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</si>
  <si>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</si>
  <si>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</si>
  <si>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</si>
  <si>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</si>
  <si>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</si>
  <si>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</si>
  <si>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</si>
  <si>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</si>
  <si>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</si>
  <si>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</si>
  <si>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</si>
  <si>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</si>
  <si>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</si>
  <si>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</si>
  <si>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</si>
  <si>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</si>
  <si>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</si>
  <si>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</si>
  <si>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</si>
  <si>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</si>
  <si>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</si>
  <si>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</si>
  <si>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</si>
  <si>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</si>
  <si>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</si>
  <si>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</si>
  <si>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</si>
  <si>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</si>
  <si>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</si>
  <si>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</si>
  <si>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</si>
  <si>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</si>
  <si>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</si>
  <si>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</si>
  <si>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</si>
  <si>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</si>
  <si>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</si>
  <si>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</si>
  <si>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</si>
  <si>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</si>
  <si>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</si>
  <si>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</si>
  <si>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</si>
  <si>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</si>
  <si>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</si>
  <si>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</si>
  <si>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</si>
  <si>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</si>
  <si>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</si>
  <si>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</si>
  <si>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</si>
  <si>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</si>
  <si>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</si>
  <si>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</si>
  <si>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</si>
  <si>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</si>
  <si>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</si>
  <si>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</si>
  <si>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</si>
  <si>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</si>
  <si>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</si>
  <si>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</si>
  <si>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</si>
  <si>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</si>
  <si>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</si>
  <si>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</si>
  <si>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</si>
  <si>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</si>
  <si>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</si>
  <si>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</si>
  <si>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</si>
  <si>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</si>
  <si>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</si>
  <si>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</si>
  <si>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</si>
  <si>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</si>
  <si>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</si>
  <si>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</si>
  <si>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</si>
  <si>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</si>
  <si>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</si>
  <si>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</si>
  <si>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</si>
  <si>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</si>
  <si>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</si>
  <si>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</si>
  <si>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</si>
  <si>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</si>
  <si>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</si>
  <si>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</si>
  <si>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</si>
  <si>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</si>
  <si>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</si>
  <si>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</si>
  <si>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</si>
  <si>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</si>
  <si>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</si>
  <si>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</si>
  <si>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</si>
  <si>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</si>
  <si>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</si>
  <si>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</si>
  <si>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</si>
  <si>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</si>
  <si>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</si>
  <si>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</si>
  <si>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</si>
  <si>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</si>
  <si>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</si>
  <si>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</si>
  <si>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</si>
  <si>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</si>
  <si>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</si>
  <si>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</si>
  <si>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</si>
  <si>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</si>
  <si>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</si>
  <si>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</si>
  <si>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</si>
  <si>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</si>
  <si>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</si>
  <si>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</si>
  <si>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</si>
  <si>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</si>
  <si>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</si>
  <si>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</si>
  <si>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</si>
  <si>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</si>
  <si>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</si>
  <si>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</si>
  <si>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</si>
  <si>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</si>
  <si>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</si>
  <si>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</si>
  <si>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</si>
  <si>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</si>
  <si>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</si>
  <si>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</si>
  <si>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</si>
  <si>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</si>
  <si>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</si>
  <si>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</si>
  <si>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</si>
  <si>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</si>
  <si>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</si>
  <si>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</si>
  <si>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</si>
  <si>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</si>
  <si>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</si>
  <si>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</si>
  <si>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</si>
  <si>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</si>
  <si>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</si>
  <si>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</si>
  <si>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</si>
  <si>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</si>
  <si>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</si>
  <si>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</si>
  <si>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</si>
  <si>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</si>
  <si>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</si>
  <si>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</si>
  <si>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</si>
  <si>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</si>
  <si>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</si>
  <si>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</si>
  <si>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</si>
  <si>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</si>
  <si>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</si>
  <si>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</si>
  <si>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</si>
  <si>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</si>
  <si>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</si>
  <si>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</si>
  <si>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</si>
  <si>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</si>
  <si>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</si>
  <si>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</si>
  <si>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</si>
  <si>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</si>
  <si>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</si>
  <si>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</si>
  <si>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</si>
  <si>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</si>
  <si>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</si>
  <si>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</si>
  <si>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</si>
  <si>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</si>
  <si>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</si>
  <si>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</si>
  <si>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</si>
  <si>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</si>
  <si>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</si>
  <si>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</si>
  <si>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</si>
  <si>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</si>
  <si>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</si>
  <si>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</si>
  <si>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</si>
  <si>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</si>
  <si>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</si>
  <si>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</si>
  <si>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</si>
  <si>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</si>
  <si>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</si>
  <si>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</si>
  <si>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</si>
  <si>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</si>
  <si>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</si>
  <si>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</si>
  <si>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</si>
  <si>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</si>
  <si>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</si>
  <si>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</si>
  <si>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</si>
  <si>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</si>
  <si>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</si>
  <si>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</si>
  <si>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</si>
  <si>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</si>
  <si>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</si>
  <si>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</si>
  <si>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</si>
  <si>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</si>
  <si>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</si>
  <si>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</si>
  <si>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</si>
  <si>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</si>
  <si>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</si>
  <si>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</si>
  <si>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</si>
  <si>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</si>
  <si>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</si>
  <si>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</si>
  <si>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</si>
  <si>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</si>
  <si>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</si>
  <si>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</si>
  <si>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</si>
  <si>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</si>
  <si>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</si>
  <si>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</si>
  <si>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</si>
  <si>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</si>
  <si>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</si>
  <si>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</si>
  <si>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</si>
  <si>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</si>
  <si>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</si>
  <si>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</si>
  <si>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</si>
  <si>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</si>
  <si>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</si>
  <si>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</si>
  <si>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</si>
  <si>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</si>
  <si>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</si>
  <si>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</si>
  <si>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</si>
  <si>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</si>
  <si>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</si>
  <si>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</si>
  <si>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</si>
  <si>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</si>
  <si>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</si>
  <si>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</si>
  <si>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</si>
  <si>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</si>
  <si>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</si>
  <si>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</si>
  <si>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</si>
  <si>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</si>
  <si>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</si>
  <si>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</si>
  <si>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</si>
  <si>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</si>
  <si>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</si>
  <si>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</si>
  <si>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</si>
  <si>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</si>
  <si>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</si>
  <si>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</si>
  <si>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</si>
  <si>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</si>
  <si>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</si>
  <si>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</si>
  <si>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</si>
  <si>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</si>
  <si>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</si>
  <si>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</si>
  <si>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</si>
  <si>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</si>
  <si>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</si>
  <si>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</si>
  <si>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</si>
  <si>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</si>
  <si>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</si>
  <si>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</si>
  <si>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</si>
  <si>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</si>
  <si>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</si>
  <si>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</si>
  <si>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</si>
  <si>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</si>
  <si>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</si>
  <si>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</si>
  <si>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</si>
  <si>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</si>
  <si>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</si>
  <si>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</si>
  <si>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</si>
  <si>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</si>
  <si>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</si>
  <si>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</si>
  <si>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</si>
  <si>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</si>
  <si>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</si>
  <si>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</si>
  <si>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</si>
  <si>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</si>
  <si>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</si>
  <si>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</si>
  <si>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</si>
  <si>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</si>
  <si>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</si>
  <si>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</si>
  <si>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</si>
  <si>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</si>
  <si>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</si>
  <si>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</si>
  <si>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</si>
  <si>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</si>
  <si>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</si>
  <si>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</si>
  <si>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</si>
  <si>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</si>
  <si>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</si>
  <si>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</si>
  <si>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</si>
  <si>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</si>
  <si>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</si>
  <si>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</si>
  <si>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</si>
  <si>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</si>
  <si>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</si>
  <si>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</si>
  <si>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</si>
  <si>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</si>
  <si>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</si>
  <si>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</si>
  <si>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</si>
  <si>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</si>
  <si>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</si>
  <si>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</si>
  <si>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</si>
  <si>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</si>
  <si>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</si>
  <si>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</si>
  <si>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</si>
  <si>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</si>
  <si>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</si>
  <si>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</si>
  <si>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</si>
  <si>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</si>
  <si>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</si>
  <si>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</si>
  <si>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</si>
  <si>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</si>
  <si>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</si>
  <si>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</si>
  <si>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</si>
  <si>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</si>
  <si>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</si>
  <si>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</si>
  <si>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</si>
  <si>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</si>
  <si>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</si>
  <si>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</si>
  <si>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</si>
  <si>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</si>
  <si>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</si>
  <si>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</si>
  <si>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</si>
  <si>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</si>
  <si>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</si>
  <si>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</si>
  <si>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</si>
  <si>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</si>
  <si>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</si>
  <si>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</si>
  <si>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</si>
  <si>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</si>
  <si>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</si>
  <si>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</si>
  <si>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</si>
  <si>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</si>
  <si>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</si>
  <si>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</si>
  <si>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</si>
  <si>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</si>
  <si>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</si>
  <si>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</si>
  <si>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</si>
  <si>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</si>
  <si>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</si>
  <si>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</si>
  <si>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</si>
  <si>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</si>
  <si>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</si>
  <si>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</si>
  <si>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</si>
  <si>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</si>
  <si>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</si>
  <si>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</si>
  <si>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</si>
  <si>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</si>
  <si>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</si>
  <si>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</si>
  <si>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</si>
  <si>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</si>
  <si>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</si>
  <si>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</si>
  <si>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</si>
  <si>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</si>
  <si>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</si>
  <si>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</si>
  <si>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</si>
  <si>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</si>
  <si>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</si>
  <si>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</si>
  <si>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</si>
  <si>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</si>
  <si>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</si>
  <si>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</si>
  <si>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</si>
  <si>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</si>
  <si>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</si>
  <si>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</si>
  <si>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</si>
  <si>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</si>
  <si>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</si>
  <si>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</si>
  <si>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</si>
  <si>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</si>
  <si>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</si>
  <si>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</si>
  <si>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</si>
  <si>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</si>
  <si>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</si>
  <si>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</si>
  <si>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</si>
  <si>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</si>
  <si>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</si>
  <si>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</si>
  <si>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</si>
  <si>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</si>
  <si>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</si>
  <si>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</si>
  <si>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</si>
  <si>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</si>
  <si>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</si>
  <si>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</si>
  <si>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</si>
  <si>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</si>
  <si>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</si>
  <si>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</si>
  <si>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</si>
  <si>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</si>
  <si>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</si>
  <si>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</si>
  <si>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</si>
  <si>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</si>
  <si>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</si>
  <si>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</si>
  <si>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</si>
  <si>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</si>
  <si>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</si>
  <si>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</si>
  <si>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</si>
  <si>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</si>
  <si>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</si>
  <si>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</si>
  <si>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</si>
  <si>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</si>
  <si>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</si>
  <si>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</si>
  <si>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</si>
  <si>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</si>
  <si>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</si>
  <si>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</si>
  <si>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</si>
  <si>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</si>
  <si>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</si>
  <si>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</si>
  <si>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</si>
  <si>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</si>
  <si>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</si>
  <si>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</si>
  <si>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</si>
  <si>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</si>
  <si>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</si>
  <si>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</si>
  <si>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</si>
  <si>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</si>
  <si>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</si>
  <si>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</si>
  <si>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</si>
  <si>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</si>
  <si>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</si>
  <si>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</si>
  <si>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</si>
  <si>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</si>
  <si>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</si>
  <si>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</si>
  <si>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</si>
  <si>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</si>
  <si>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</si>
  <si>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</si>
  <si>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</si>
  <si>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</si>
  <si>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</si>
  <si>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</si>
  <si>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</si>
  <si>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</si>
  <si>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</si>
  <si>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</si>
  <si>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</si>
  <si>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</si>
  <si>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</si>
  <si>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</si>
  <si>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</si>
  <si>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</si>
  <si>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</si>
  <si>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</si>
  <si>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</si>
  <si>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</si>
  <si>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</si>
  <si>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</si>
  <si>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</si>
  <si>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</si>
  <si>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</si>
  <si>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</si>
  <si>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</si>
  <si>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</si>
  <si>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</si>
  <si>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</si>
  <si>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</si>
  <si>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</si>
  <si>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</si>
  <si>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</si>
  <si>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</si>
  <si>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</si>
  <si>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</si>
  <si>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</si>
  <si>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</si>
  <si>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</si>
  <si>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</si>
  <si>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</si>
  <si>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</si>
  <si>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</si>
  <si>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</si>
  <si>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</si>
  <si>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</si>
  <si>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</si>
  <si>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</si>
  <si>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</si>
  <si>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</si>
  <si>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</si>
  <si>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</si>
  <si>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</si>
  <si>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</si>
  <si>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</si>
  <si>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</si>
  <si>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</si>
  <si>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</si>
  <si>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</si>
  <si>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</si>
  <si>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</si>
  <si>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</si>
  <si>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</si>
  <si>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</si>
  <si>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</si>
  <si>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</si>
  <si>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</si>
  <si>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</si>
  <si>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</si>
  <si>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</si>
  <si>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</si>
  <si>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</si>
  <si>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</si>
  <si>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</si>
  <si>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</si>
  <si>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</si>
  <si>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</si>
  <si>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</si>
  <si>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</si>
  <si>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</si>
  <si>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</si>
  <si>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</si>
  <si>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</si>
  <si>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</si>
  <si>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</si>
  <si>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</si>
  <si>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</si>
  <si>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</si>
  <si>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</si>
  <si>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</si>
  <si>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</si>
  <si>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</si>
  <si>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</si>
  <si>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</si>
  <si>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</si>
  <si>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</si>
  <si>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</si>
  <si>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</si>
  <si>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</si>
  <si>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</si>
  <si>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</si>
  <si>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</si>
  <si>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</si>
  <si>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</si>
  <si>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</si>
  <si>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</si>
  <si>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</si>
  <si>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</si>
  <si>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</si>
  <si>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</si>
  <si>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</si>
  <si>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</si>
  <si>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</si>
  <si>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</si>
  <si>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</si>
  <si>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</si>
  <si>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</si>
  <si>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</si>
  <si>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</si>
  <si>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</si>
  <si>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</si>
  <si>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</si>
  <si>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</si>
  <si>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</si>
  <si>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</si>
  <si>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</si>
  <si>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</si>
  <si>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</si>
  <si>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</si>
  <si>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</si>
  <si>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</si>
  <si>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</si>
  <si>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</si>
  <si>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</si>
  <si>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</si>
  <si>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</si>
  <si>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</si>
  <si>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</si>
  <si>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</si>
  <si>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</si>
  <si>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</si>
  <si>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</si>
  <si>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</si>
  <si>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</si>
  <si>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</si>
  <si>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</si>
  <si>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</si>
  <si>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</si>
  <si>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</si>
  <si>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</si>
  <si>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</si>
  <si>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</si>
  <si>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</si>
  <si>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</si>
  <si>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</si>
  <si>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</si>
  <si>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</si>
  <si>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</si>
  <si>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</si>
  <si>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</si>
  <si>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</si>
  <si>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</si>
  <si>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</si>
  <si>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</si>
  <si>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</si>
  <si>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</si>
  <si>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</si>
  <si>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</si>
  <si>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</si>
  <si>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</si>
  <si>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</si>
  <si>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</si>
  <si>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</si>
  <si>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</si>
  <si>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</si>
  <si>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</si>
  <si>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</si>
  <si>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</si>
  <si>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</si>
  <si>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</si>
  <si>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</si>
  <si>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</si>
  <si>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</si>
  <si>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</si>
  <si>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</si>
  <si>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</si>
  <si>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</si>
  <si>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</si>
  <si>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</si>
  <si>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</si>
  <si>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</si>
  <si>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</si>
  <si>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</si>
  <si>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</si>
  <si>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</si>
  <si>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</si>
  <si>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</si>
  <si>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</si>
  <si>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</si>
  <si>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</si>
  <si>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</si>
  <si>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</si>
  <si>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</si>
  <si>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</si>
  <si>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</si>
  <si>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</si>
  <si>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</si>
  <si>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</si>
  <si>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</si>
  <si>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</si>
  <si>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</si>
  <si>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</si>
  <si>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</si>
  <si>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</si>
  <si>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</si>
  <si>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</si>
  <si>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</si>
  <si>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</si>
  <si>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</si>
  <si>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</si>
  <si>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</si>
  <si>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</si>
  <si>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</si>
  <si>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</si>
  <si>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</si>
  <si>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</si>
  <si>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</si>
  <si>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</si>
  <si>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</si>
  <si>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</si>
  <si>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</si>
  <si>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</si>
  <si>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</si>
  <si>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</si>
  <si>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</si>
  <si>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</si>
  <si>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</si>
  <si>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</si>
  <si>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</si>
  <si>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</si>
  <si>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</si>
  <si>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</si>
  <si>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</si>
  <si>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</si>
  <si>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</si>
  <si>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</si>
  <si>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</si>
  <si>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</si>
  <si>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</si>
  <si>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</si>
  <si>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</si>
  <si>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</si>
  <si>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</si>
  <si>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</si>
  <si>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</si>
  <si>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</si>
  <si>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</si>
  <si>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</si>
  <si>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</si>
  <si>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</si>
  <si>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</si>
  <si>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</si>
  <si>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</si>
  <si>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</si>
  <si>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</si>
  <si>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</si>
  <si>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</si>
  <si>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</si>
  <si>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</si>
  <si>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</si>
  <si>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</si>
  <si>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</si>
  <si>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</si>
  <si>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</si>
  <si>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</si>
  <si>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</si>
  <si>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</si>
  <si>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</si>
  <si>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</si>
  <si>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</si>
  <si>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</si>
  <si>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</si>
  <si>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</si>
  <si>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</si>
  <si>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</si>
  <si>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</si>
  <si>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</si>
  <si>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</si>
  <si>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</si>
  <si>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</si>
  <si>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</si>
  <si>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</si>
  <si>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</si>
  <si>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</si>
  <si>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</si>
  <si>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</si>
  <si>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</si>
  <si>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</si>
  <si>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</si>
  <si>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</si>
  <si>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</si>
  <si>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</si>
  <si>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</si>
  <si>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</si>
  <si>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</si>
  <si>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</si>
  <si>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</si>
  <si>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</si>
  <si>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</si>
  <si>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</si>
  <si>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</si>
  <si>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</si>
  <si>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</si>
  <si>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</si>
  <si>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</si>
  <si>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</si>
  <si>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</si>
  <si>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</si>
  <si>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</si>
  <si>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</si>
  <si>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</si>
  <si>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</si>
  <si>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</si>
  <si>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</si>
  <si>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</si>
  <si>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</si>
  <si>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</si>
  <si>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</si>
  <si>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</si>
  <si>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</si>
  <si>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</si>
  <si>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</si>
  <si>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</si>
  <si>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</si>
  <si>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</si>
  <si>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</si>
  <si>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</si>
  <si>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</si>
  <si>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</si>
  <si>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</si>
  <si>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</si>
  <si>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</si>
  <si>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</si>
  <si>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</si>
  <si>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</si>
  <si>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</si>
  <si>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</si>
  <si>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</si>
  <si>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</si>
  <si>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</si>
  <si>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</si>
  <si>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</si>
  <si>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</si>
  <si>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</si>
  <si>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</si>
  <si>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</si>
  <si>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</si>
  <si>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</si>
  <si>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</si>
  <si>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</si>
  <si>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</si>
  <si>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</si>
  <si>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</si>
  <si>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</si>
  <si>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</si>
  <si>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</si>
  <si>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</si>
  <si>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</si>
  <si>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</si>
  <si>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</si>
  <si>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</si>
  <si>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</si>
  <si>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</si>
  <si>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</si>
  <si>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</si>
  <si>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</si>
  <si>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</si>
  <si>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</si>
  <si>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</si>
  <si>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</si>
  <si>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</si>
  <si>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</si>
  <si>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</si>
  <si>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</si>
  <si>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</si>
  <si>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</si>
  <si>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</si>
  <si>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</si>
  <si>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</si>
  <si>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</si>
  <si>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</si>
  <si>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</si>
  <si>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</si>
  <si>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</si>
  <si>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</si>
  <si>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</si>
  <si>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</si>
  <si>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</si>
  <si>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</si>
  <si>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</si>
  <si>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</si>
  <si>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</si>
  <si>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</si>
  <si>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</si>
  <si>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</si>
  <si>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</si>
  <si>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</si>
  <si>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</si>
  <si>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</si>
  <si>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</si>
  <si>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</si>
  <si>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</si>
  <si>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</si>
  <si>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</si>
  <si>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</si>
  <si>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</si>
  <si>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</si>
  <si>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</si>
  <si>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</si>
  <si>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</si>
  <si>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</si>
  <si>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</si>
  <si>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</si>
  <si>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</si>
  <si>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</si>
  <si>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</si>
  <si>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</si>
  <si>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</si>
  <si>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</si>
  <si>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</si>
  <si>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</si>
  <si>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</si>
  <si>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</si>
  <si>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</si>
  <si>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</si>
  <si>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</si>
  <si>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</si>
  <si>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</si>
  <si>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</si>
  <si>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</si>
  <si>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</si>
  <si>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</si>
  <si>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</si>
  <si>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</si>
  <si>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</si>
  <si>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</si>
  <si>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</si>
  <si>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</si>
  <si>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</si>
  <si>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</si>
  <si>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</si>
  <si>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</si>
  <si>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</si>
  <si>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</si>
  <si>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</si>
  <si>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</si>
  <si>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</si>
  <si>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</si>
  <si>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</si>
  <si>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</si>
  <si>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</si>
  <si>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</si>
  <si>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</si>
  <si>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</si>
  <si>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</si>
  <si>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</si>
  <si>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</si>
  <si>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</si>
  <si>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</si>
  <si>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</si>
  <si>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</si>
  <si>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</si>
  <si>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</si>
  <si>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</si>
  <si>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</si>
  <si>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</si>
  <si>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</si>
  <si>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</si>
  <si>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</si>
  <si>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</si>
  <si>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</si>
  <si>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</si>
  <si>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</si>
  <si>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</si>
  <si>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</si>
  <si>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</si>
  <si>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</si>
  <si>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</si>
  <si>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</si>
  <si>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</si>
  <si>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</si>
  <si>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</si>
  <si>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</si>
  <si>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</si>
  <si>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</si>
  <si>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</si>
  <si>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</si>
  <si>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</si>
  <si>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</si>
  <si>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</si>
  <si>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</si>
  <si>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</si>
  <si>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</si>
  <si>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</si>
  <si>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</si>
  <si>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</si>
  <si>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</si>
  <si>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</si>
  <si>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</si>
  <si>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</si>
  <si>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</si>
  <si>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</si>
  <si>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</si>
  <si>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</si>
  <si>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</si>
  <si>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</si>
  <si>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</si>
  <si>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</si>
  <si>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</si>
  <si>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</si>
  <si>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</si>
  <si>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</si>
  <si>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</si>
  <si>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</si>
  <si>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</si>
  <si>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</si>
  <si>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</si>
  <si>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</si>
  <si>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</si>
  <si>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</si>
  <si>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</si>
  <si>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</si>
  <si>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</si>
  <si>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</si>
  <si>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</si>
  <si>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</si>
  <si>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</si>
  <si>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</si>
  <si>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</si>
  <si>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</si>
  <si>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</si>
  <si>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</si>
  <si>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</si>
  <si>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</si>
  <si>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</si>
  <si>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</si>
  <si>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</si>
  <si>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</si>
  <si>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</si>
  <si>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</si>
  <si>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</si>
  <si>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</si>
  <si>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</si>
  <si>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</si>
  <si>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</si>
  <si>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</si>
  <si>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</si>
  <si>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</si>
  <si>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</si>
  <si>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</si>
  <si>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</si>
  <si>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</si>
  <si>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</si>
  <si>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</si>
  <si>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</si>
  <si>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</si>
  <si>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</si>
  <si>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</si>
  <si>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</si>
  <si>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</si>
  <si>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</si>
  <si>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</si>
  <si>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</si>
  <si>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</si>
  <si>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</si>
  <si>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</si>
  <si>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</si>
  <si>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</si>
  <si>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</si>
  <si>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</si>
  <si>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</si>
  <si>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</si>
  <si>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</si>
  <si>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</si>
  <si>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</si>
  <si>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</si>
  <si>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</si>
  <si>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</si>
  <si>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</si>
  <si>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</si>
  <si>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</si>
  <si>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</si>
  <si>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</si>
  <si>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</si>
  <si>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</si>
  <si>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</si>
  <si>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</si>
  <si>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</si>
  <si>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</si>
  <si>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</si>
  <si>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</si>
  <si>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</si>
  <si>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</si>
  <si>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</si>
  <si>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</si>
  <si>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</si>
  <si>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</si>
  <si>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</si>
  <si>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</si>
  <si>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</si>
  <si>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</si>
  <si>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</si>
  <si>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</si>
  <si>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</si>
  <si>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</si>
  <si>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</si>
  <si>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</si>
  <si>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</si>
  <si>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</si>
  <si>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</si>
  <si>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</si>
  <si>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</si>
  <si>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</si>
  <si>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</si>
  <si>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</si>
  <si>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</si>
  <si>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</si>
  <si>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</si>
  <si>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</si>
  <si>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</si>
  <si>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</si>
  <si>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</si>
  <si>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</si>
  <si>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</si>
  <si>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</si>
  <si>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</si>
  <si>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</si>
  <si>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</si>
  <si>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</si>
  <si>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</si>
  <si>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</si>
  <si>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</si>
  <si>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</si>
  <si>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</si>
  <si>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</si>
  <si>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</si>
  <si>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</si>
  <si>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</si>
  <si>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</si>
  <si>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</si>
  <si>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</si>
  <si>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</si>
  <si>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</si>
  <si>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</si>
  <si>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</si>
  <si>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</si>
  <si>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</si>
  <si>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</si>
  <si>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</si>
  <si>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</si>
  <si>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</si>
  <si>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</si>
  <si>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</si>
  <si>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</si>
  <si>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</si>
  <si>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</si>
  <si>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</si>
  <si>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</si>
  <si>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</si>
  <si>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</si>
  <si>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</si>
  <si>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</si>
  <si>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</si>
  <si>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</si>
  <si>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</si>
  <si>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</si>
  <si>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</si>
  <si>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</si>
  <si>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</si>
  <si>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</si>
  <si>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</si>
  <si>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</si>
  <si>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</si>
  <si>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</si>
  <si>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</si>
  <si>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</si>
  <si>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</si>
  <si>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</si>
  <si>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</si>
  <si>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</si>
  <si>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</si>
  <si>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</si>
  <si>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</si>
  <si>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</si>
  <si>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</si>
  <si>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</si>
  <si>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</si>
  <si>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</si>
  <si>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</si>
  <si>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</si>
  <si>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</si>
  <si>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</si>
  <si>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</si>
  <si>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</si>
  <si>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</si>
  <si>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</si>
  <si>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</si>
  <si>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</si>
  <si>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</si>
  <si>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</si>
  <si>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</si>
  <si>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</si>
  <si>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</si>
  <si>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</si>
  <si>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</si>
  <si>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</si>
  <si>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</si>
  <si>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</si>
  <si>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</si>
  <si>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</si>
  <si>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</si>
  <si>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</si>
  <si>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</si>
  <si>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</si>
  <si>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</si>
  <si>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</si>
  <si>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</si>
  <si>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</si>
  <si>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</si>
  <si>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</si>
  <si>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</si>
  <si>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</si>
  <si>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</si>
  <si>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</si>
  <si>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</si>
  <si>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</si>
  <si>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</si>
  <si>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</si>
  <si>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</si>
  <si>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</si>
  <si>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</si>
  <si>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</si>
  <si>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</si>
  <si>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</si>
  <si>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</si>
  <si>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</si>
  <si>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</si>
  <si>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</si>
  <si>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</si>
  <si>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</si>
  <si>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</si>
  <si>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</si>
  <si>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</si>
  <si>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</si>
  <si>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</si>
  <si>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</si>
  <si>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</si>
  <si>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</si>
  <si>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</si>
  <si>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</si>
  <si>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</si>
  <si>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</si>
  <si>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</si>
  <si>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</si>
  <si>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</si>
  <si>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</si>
  <si>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</si>
  <si>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</si>
  <si>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</si>
  <si>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</si>
  <si>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</si>
  <si>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</si>
  <si>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</si>
  <si>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</si>
  <si>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</si>
  <si>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</si>
  <si>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</si>
  <si>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</si>
  <si>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</si>
  <si>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</si>
  <si>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</si>
  <si>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</si>
  <si>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</si>
  <si>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</si>
  <si>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</si>
  <si>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</si>
  <si>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</si>
  <si>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</si>
  <si>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</si>
  <si>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</si>
  <si>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</si>
  <si>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</si>
  <si>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</si>
  <si>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</si>
  <si>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</si>
  <si>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</si>
  <si>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</si>
  <si>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</si>
  <si>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</si>
  <si>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</si>
  <si>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</si>
  <si>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</si>
  <si>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</si>
  <si>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</si>
  <si>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</si>
  <si>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</si>
  <si>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</si>
  <si>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</si>
  <si>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</si>
  <si>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</si>
  <si>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</si>
  <si>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</si>
  <si>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</si>
  <si>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</si>
  <si>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</si>
  <si>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</si>
  <si>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</si>
  <si>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</si>
  <si>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</si>
  <si>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</si>
  <si>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</si>
  <si>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</si>
  <si>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</si>
  <si>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</si>
  <si>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</si>
  <si>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</si>
  <si>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</si>
  <si>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</si>
  <si>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</si>
  <si>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</si>
  <si>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</si>
  <si>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</si>
  <si>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</si>
  <si>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</si>
  <si>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</si>
  <si>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</si>
  <si>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</si>
  <si>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</si>
  <si>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</si>
  <si>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</si>
  <si>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</si>
  <si>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</si>
  <si>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</si>
  <si>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</si>
  <si>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</si>
  <si>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</si>
  <si>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</si>
  <si>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</si>
  <si>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</si>
  <si>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</si>
  <si>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</si>
  <si>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</si>
  <si>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</si>
  <si>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</si>
  <si>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</si>
  <si>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</si>
  <si>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</si>
  <si>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</si>
  <si>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</si>
  <si>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</si>
  <si>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</si>
  <si>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</si>
  <si>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</si>
  <si>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</si>
  <si>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</si>
  <si>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</si>
  <si>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</si>
  <si>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</si>
  <si>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</si>
  <si>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</si>
  <si>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</si>
  <si>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</si>
  <si>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</si>
  <si>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</si>
  <si>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</si>
  <si>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</si>
  <si>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</si>
  <si>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</si>
  <si>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</si>
  <si>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</si>
  <si>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</si>
  <si>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</si>
  <si>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</si>
  <si>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</si>
  <si>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</si>
  <si>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</si>
  <si>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</si>
  <si>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</si>
  <si>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</si>
  <si>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</si>
  <si>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</si>
  <si>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</si>
  <si>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</si>
  <si>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</si>
  <si>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</si>
  <si>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</si>
  <si>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</si>
  <si>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</si>
  <si>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</si>
  <si>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</si>
  <si>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</si>
  <si>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</si>
  <si>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</si>
  <si>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</si>
  <si>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</si>
  <si>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</si>
  <si>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</si>
  <si>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</si>
  <si>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</si>
  <si>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</si>
  <si>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</si>
  <si>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</si>
  <si>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</si>
  <si>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</si>
  <si>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</si>
  <si>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</si>
  <si>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</si>
  <si>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</si>
  <si>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</si>
  <si>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</si>
  <si>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</si>
  <si>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</si>
  <si>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</si>
  <si>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</si>
  <si>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</si>
  <si>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</si>
  <si>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</si>
  <si>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</si>
  <si>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</si>
  <si>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</si>
  <si>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</si>
  <si>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</si>
  <si>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</si>
  <si>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</si>
  <si>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</si>
  <si>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</si>
  <si>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</si>
  <si>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</si>
  <si>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</si>
  <si>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</si>
  <si>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</si>
  <si>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</si>
  <si>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</si>
  <si>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</si>
  <si>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</si>
  <si>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</si>
  <si>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</si>
  <si>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</si>
  <si>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</si>
  <si>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</si>
  <si>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</si>
  <si>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</si>
  <si>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</si>
  <si>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</si>
  <si>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</si>
  <si>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</si>
  <si>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</si>
  <si>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</si>
  <si>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</si>
  <si>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</si>
  <si>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</si>
  <si>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</si>
  <si>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</si>
  <si>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</si>
  <si>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</si>
  <si>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</si>
  <si>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</si>
  <si>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</si>
  <si>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</si>
  <si>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</si>
  <si>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</si>
  <si>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</si>
  <si>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</si>
  <si>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</si>
  <si>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</si>
  <si>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</si>
  <si>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</si>
  <si>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</si>
  <si>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</si>
  <si>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</si>
  <si>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</si>
  <si>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</si>
  <si>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</si>
  <si>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</si>
  <si>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</si>
  <si>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</si>
  <si>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</si>
  <si>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</si>
  <si>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</si>
  <si>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</si>
  <si>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</si>
  <si>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</si>
  <si>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</si>
  <si>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</si>
  <si>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</si>
  <si>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</si>
  <si>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</si>
  <si>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</si>
  <si>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</si>
  <si>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</si>
  <si>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</si>
  <si>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</si>
  <si>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</si>
  <si>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</si>
  <si>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</si>
  <si>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</si>
  <si>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</si>
  <si>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</si>
  <si>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</si>
  <si>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</si>
  <si>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</si>
  <si>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</si>
  <si>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</si>
  <si>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</si>
  <si>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</si>
  <si>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</si>
  <si>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</si>
  <si>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</si>
  <si>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</si>
  <si>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</si>
  <si>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</si>
  <si>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</si>
  <si>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</si>
  <si>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</si>
  <si>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</si>
  <si>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</si>
  <si>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</si>
  <si>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</si>
  <si>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</si>
  <si>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</si>
  <si>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</si>
  <si>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</si>
  <si>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</si>
  <si>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</si>
  <si>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</si>
  <si>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</si>
  <si>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</si>
  <si>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</si>
  <si>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</si>
  <si>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</si>
  <si>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</si>
  <si>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</si>
  <si>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</si>
  <si>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</si>
  <si>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</si>
  <si>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</si>
  <si>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</si>
  <si>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</si>
  <si>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</si>
  <si>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</si>
  <si>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</si>
  <si>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</si>
  <si>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</si>
  <si>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</si>
  <si>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</si>
  <si>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</si>
  <si>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</si>
  <si>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</si>
  <si>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</si>
  <si>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</si>
  <si>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</si>
  <si>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</si>
  <si>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</si>
  <si>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</si>
  <si>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</si>
  <si>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</si>
  <si>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</si>
  <si>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</si>
  <si>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</si>
  <si>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</si>
  <si>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</si>
  <si>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</si>
  <si>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</si>
  <si>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</si>
  <si>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</si>
  <si>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</si>
  <si>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</si>
  <si>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</si>
  <si>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</si>
  <si>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</si>
  <si>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</si>
  <si>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</si>
  <si>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</si>
  <si>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</si>
  <si>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</si>
  <si>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</si>
  <si>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</si>
  <si>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</si>
  <si>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</si>
  <si>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</si>
  <si>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</si>
  <si>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</si>
  <si>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</si>
  <si>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</si>
  <si>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</si>
  <si>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</si>
  <si>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</si>
  <si>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</si>
  <si>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</si>
  <si>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</si>
  <si>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</si>
  <si>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</si>
  <si>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</si>
  <si>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</si>
  <si>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</si>
  <si>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</si>
  <si>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</si>
  <si>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</si>
  <si>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</si>
  <si>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</si>
  <si>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</si>
  <si>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</si>
  <si>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</si>
  <si>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</si>
  <si>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</si>
  <si>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</si>
  <si>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</si>
  <si>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</si>
  <si>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</si>
  <si>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</si>
  <si>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</si>
  <si>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</si>
  <si>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</si>
  <si>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</si>
  <si>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</si>
  <si>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</si>
  <si>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</si>
  <si>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</si>
  <si>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</si>
  <si>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</si>
  <si>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</si>
  <si>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</si>
  <si>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</si>
  <si>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</si>
  <si>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</si>
  <si>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</si>
  <si>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</si>
  <si>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</si>
  <si>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</si>
  <si>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</si>
  <si>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</si>
  <si>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</si>
  <si>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</si>
  <si>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</si>
  <si>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</si>
  <si>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</si>
  <si>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</si>
  <si>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</si>
  <si>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</si>
  <si>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</si>
  <si>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</si>
  <si>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</si>
  <si>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</si>
  <si>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</si>
  <si>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</si>
  <si>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</si>
  <si>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</si>
  <si>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</si>
  <si>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</si>
  <si>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</si>
  <si>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</si>
  <si>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</si>
  <si>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</si>
  <si>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</si>
  <si>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</si>
  <si>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</si>
  <si>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</si>
  <si>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</si>
  <si>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</si>
  <si>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</si>
  <si>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</si>
  <si>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</si>
  <si>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</si>
  <si>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</si>
  <si>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</si>
  <si>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</si>
  <si>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</si>
  <si>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</si>
  <si>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</si>
  <si>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</si>
  <si>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</si>
  <si>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</si>
  <si>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</si>
  <si>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</si>
  <si>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</si>
  <si>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</si>
  <si>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</si>
  <si>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</si>
  <si>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</si>
  <si>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</si>
  <si>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</si>
  <si>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</si>
  <si>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</si>
  <si>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</si>
  <si>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</si>
  <si>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</si>
  <si>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</si>
  <si>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</si>
  <si>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</si>
  <si>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</si>
  <si>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</si>
  <si>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</si>
  <si>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</si>
  <si>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</si>
  <si>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</si>
  <si>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</si>
  <si>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</si>
  <si>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</si>
  <si>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</si>
  <si>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</si>
  <si>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</si>
  <si>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</si>
  <si>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</si>
  <si>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</si>
  <si>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</si>
  <si>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</si>
  <si>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</si>
  <si>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</si>
  <si>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</si>
  <si>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</si>
  <si>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</si>
  <si>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</si>
  <si>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</si>
  <si>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</si>
  <si>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</si>
  <si>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</si>
  <si>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</si>
  <si>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</si>
  <si>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</si>
  <si>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</si>
  <si>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</si>
  <si>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</si>
  <si>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</si>
  <si>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</si>
  <si>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</si>
  <si>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</si>
  <si>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</si>
  <si>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</si>
  <si>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</si>
  <si>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</si>
  <si>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</si>
  <si>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</si>
  <si>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</si>
  <si>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</si>
  <si>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</si>
  <si>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</si>
  <si>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</si>
  <si>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</si>
  <si>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</si>
  <si>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</si>
  <si>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</si>
  <si>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</si>
  <si>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</si>
  <si>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</si>
  <si>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</si>
  <si>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</si>
  <si>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</si>
  <si>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</si>
  <si>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</si>
  <si>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</si>
  <si>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</si>
  <si>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</si>
  <si>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</si>
  <si>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</si>
  <si>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</si>
  <si>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</si>
  <si>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</si>
  <si>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</si>
  <si>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</si>
  <si>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</si>
  <si>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</si>
  <si>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</si>
  <si>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</si>
  <si>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</si>
  <si>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</si>
  <si>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</si>
  <si>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</si>
  <si>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</si>
  <si>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</si>
  <si>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</si>
  <si>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</si>
  <si>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</si>
  <si>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</si>
  <si>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</si>
  <si>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</si>
  <si>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</si>
  <si>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</si>
  <si>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</si>
  <si>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</si>
  <si>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</si>
  <si>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</si>
  <si>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</si>
  <si>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</si>
  <si>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</si>
  <si>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</si>
  <si>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</si>
  <si>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</si>
  <si>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</si>
  <si>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</si>
  <si>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</si>
  <si>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</si>
  <si>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</si>
  <si>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</si>
  <si>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</si>
  <si>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</si>
  <si>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</si>
  <si>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</si>
  <si>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</si>
  <si>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</si>
  <si>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</si>
  <si>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</si>
  <si>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</si>
  <si>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</si>
  <si>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</si>
  <si>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</si>
  <si>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</si>
  <si>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</si>
  <si>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</si>
  <si>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</si>
  <si>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</si>
  <si>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</si>
  <si>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</si>
  <si>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</si>
  <si>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</si>
  <si>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</si>
  <si>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</si>
  <si>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</si>
  <si>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</si>
  <si>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</si>
  <si>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</si>
  <si>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</si>
  <si>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</si>
  <si>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</si>
  <si>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</si>
  <si>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</si>
  <si>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</si>
  <si>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</si>
  <si>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</si>
  <si>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</si>
  <si>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</si>
  <si>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</si>
  <si>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</si>
  <si>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</si>
  <si>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</si>
  <si>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</si>
  <si>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</si>
  <si>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</si>
  <si>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</si>
  <si>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</si>
  <si>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</si>
  <si>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</si>
  <si>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</si>
  <si>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</si>
  <si>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</si>
  <si>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</si>
  <si>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</si>
  <si>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</si>
  <si>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</si>
  <si>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</si>
  <si>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</si>
  <si>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</si>
  <si>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</si>
  <si>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</si>
  <si>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</si>
  <si>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</si>
  <si>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</si>
  <si>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</si>
  <si>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</si>
  <si>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</si>
  <si>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</si>
  <si>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</si>
  <si>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</si>
  <si>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</si>
  <si>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</si>
  <si>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</si>
  <si>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</si>
  <si>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</si>
  <si>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</si>
  <si>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</si>
  <si>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</si>
  <si>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</si>
  <si>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</si>
  <si>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</si>
  <si>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</si>
  <si>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</si>
  <si>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</si>
  <si>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</si>
  <si>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</si>
  <si>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</si>
  <si>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</si>
  <si>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</si>
  <si>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</si>
  <si>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</si>
  <si>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</si>
  <si>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</si>
  <si>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</si>
  <si>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</si>
  <si>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</si>
  <si>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</si>
  <si>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</si>
  <si>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Wipfli LLP</t>
  </si>
  <si>
    <t>403 East 3rd Street</t>
  </si>
  <si>
    <t>Sterling</t>
  </si>
  <si>
    <t>IL</t>
  </si>
  <si>
    <t>815-626-1277</t>
  </si>
  <si>
    <t>815-626-9118</t>
  </si>
  <si>
    <t>066-004023</t>
  </si>
  <si>
    <t>mschueler@wipfli.com</t>
  </si>
  <si>
    <t>x</t>
  </si>
  <si>
    <t>Winnebago</t>
  </si>
  <si>
    <t>1300 Main Street</t>
  </si>
  <si>
    <t xml:space="preserve">Pecatonica  </t>
  </si>
  <si>
    <t>William Faller</t>
  </si>
  <si>
    <t>billfaller@pecschools.com</t>
  </si>
  <si>
    <t>815-239-1639</t>
  </si>
  <si>
    <t>815-236-2125</t>
  </si>
  <si>
    <t>Matthew Schueler</t>
  </si>
  <si>
    <t>Capital appreciation building bonds</t>
  </si>
  <si>
    <t>none</t>
  </si>
  <si>
    <t>n/a</t>
  </si>
  <si>
    <t>winnebago county special education cooperative</t>
  </si>
  <si>
    <t>career tech</t>
  </si>
  <si>
    <t>23.  Qualified opinion for not maintaining detailed historical cost of fixed assets for the General Fixed Asset Accocunt Group and adverse for not adopting GASB 34</t>
  </si>
  <si>
    <t>function 3999- line 1680 other restricted grants in aid- $1,431 Emergency financial assistance</t>
  </si>
  <si>
    <t>see notes page for pdf of signature page</t>
  </si>
  <si>
    <t>Pecatonica CUSD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</si>
</sst>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7000000}"/>
    <cellStyle name="Normal 3 2 3" xfId="20" xr:uid="{00000000-0005-0000-0000-000006000000}"/>
    <cellStyle name="Normal 3 3" xfId="19" xr:uid="{00000000-0005-0000-0000-000005000000}"/>
    <cellStyle name="Normal 4" xfId="16" xr:uid="{00000000-0005-0000-0000-000008000000}"/>
    <cellStyle name="Normal 4 2" xfId="21" xr:uid="{00000000-0005-0000-0000-000008000000}"/>
    <cellStyle name="Normal 5" xfId="17" xr:uid="{00000000-0005-0000-0000-000009000000}"/>
    <cellStyle name="Normal 5 2" xfId="22"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536864</xdr:colOff>
          <xdr:row>2</xdr:row>
          <xdr:rowOff>112569</xdr:rowOff>
        </xdr:from>
        <xdr:to>
          <xdr:col>1</xdr:col>
          <xdr:colOff>1451264</xdr:colOff>
          <xdr:row>6</xdr:row>
          <xdr:rowOff>150669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topLeftCell="A7"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9" t="s">
        <v>405</v>
      </c>
      <c r="J1" s="2020"/>
      <c r="K1" s="2020"/>
      <c r="L1" s="2020"/>
      <c r="M1" s="2020"/>
      <c r="N1" s="2020"/>
      <c r="O1" s="2020"/>
      <c r="P1" s="2020"/>
      <c r="Q1" s="2020"/>
      <c r="R1" s="2020"/>
      <c r="S1" s="2020"/>
    </row>
    <row r="2" spans="1:28" ht="12" customHeight="1" x14ac:dyDescent="0.2">
      <c r="A2" s="47" t="s">
        <v>1993</v>
      </c>
      <c r="D2" s="48"/>
      <c r="I2" s="2021" t="s">
        <v>979</v>
      </c>
      <c r="J2" s="2020"/>
      <c r="K2" s="2020"/>
      <c r="L2" s="2020"/>
      <c r="M2" s="2020"/>
      <c r="N2" s="2020"/>
      <c r="O2" s="2020"/>
      <c r="P2" s="2020"/>
      <c r="Q2" s="2020"/>
      <c r="R2" s="2020"/>
      <c r="S2" s="2020"/>
    </row>
    <row r="3" spans="1:28" ht="12" customHeight="1" x14ac:dyDescent="0.2">
      <c r="A3" s="155" t="s">
        <v>1945</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2072</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2072</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4101321026</v>
      </c>
      <c r="B13" s="1990"/>
      <c r="C13" s="1990"/>
      <c r="D13" s="1990"/>
      <c r="E13" s="1990"/>
      <c r="F13" s="1990"/>
      <c r="G13" s="1990"/>
      <c r="H13" s="1991"/>
      <c r="I13" s="31"/>
      <c r="J13" s="30"/>
      <c r="K13" s="28"/>
      <c r="L13" s="30"/>
      <c r="M13" s="30"/>
      <c r="N13" s="30"/>
      <c r="O13" s="30"/>
      <c r="P13" s="30"/>
      <c r="Q13" s="30"/>
      <c r="R13" s="30"/>
      <c r="S13" s="30"/>
      <c r="T13" s="1994" t="s">
        <v>2064</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2073</v>
      </c>
      <c r="B15" s="1992"/>
      <c r="C15" s="1992"/>
      <c r="D15" s="1992"/>
      <c r="E15" s="1992"/>
      <c r="F15" s="1992"/>
      <c r="G15" s="1992"/>
      <c r="H15" s="1993"/>
      <c r="T15" s="1955" t="s">
        <v>2080</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2089</v>
      </c>
      <c r="B17" s="2017"/>
      <c r="C17" s="2017"/>
      <c r="D17" s="2017"/>
      <c r="E17" s="2017"/>
      <c r="F17" s="2017"/>
      <c r="G17" s="2017"/>
      <c r="H17" s="2018"/>
      <c r="T17" s="2004" t="s">
        <v>2065</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2074</v>
      </c>
      <c r="B19" s="1988"/>
      <c r="C19" s="1988"/>
      <c r="D19" s="1988"/>
      <c r="E19" s="1988"/>
      <c r="F19" s="1988"/>
      <c r="G19" s="1988"/>
      <c r="H19" s="1986"/>
      <c r="I19" s="30"/>
      <c r="J19" s="99"/>
      <c r="K19" s="40"/>
      <c r="L19" s="38"/>
      <c r="M19" s="112" t="s">
        <v>315</v>
      </c>
      <c r="P19" s="27"/>
      <c r="Q19" s="27"/>
      <c r="R19" s="27"/>
      <c r="S19" s="31"/>
      <c r="T19" s="1987" t="s">
        <v>2066</v>
      </c>
      <c r="U19" s="1985"/>
      <c r="V19" s="1985"/>
      <c r="W19" s="1986"/>
      <c r="X19" s="2002" t="s">
        <v>2067</v>
      </c>
      <c r="Y19" s="2003"/>
      <c r="Z19" s="2000">
        <v>61081</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2075</v>
      </c>
      <c r="B21" s="1985"/>
      <c r="C21" s="1985"/>
      <c r="D21" s="1985"/>
      <c r="E21" s="1985"/>
      <c r="F21" s="1985"/>
      <c r="G21" s="1985"/>
      <c r="H21" s="1986"/>
      <c r="I21" s="2010" t="s">
        <v>678</v>
      </c>
      <c r="J21" s="1973"/>
      <c r="K21" s="1973"/>
      <c r="L21" s="1973"/>
      <c r="M21" s="1973"/>
      <c r="N21" s="1973"/>
      <c r="O21" s="1973"/>
      <c r="P21" s="1973"/>
      <c r="Q21" s="1973"/>
      <c r="R21" s="1973"/>
      <c r="S21" s="1974"/>
      <c r="T21" s="1952" t="s">
        <v>2068</v>
      </c>
      <c r="U21" s="1953"/>
      <c r="V21" s="1953"/>
      <c r="W21" s="1953"/>
      <c r="X21" s="1966" t="s">
        <v>2069</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t="s">
        <v>2077</v>
      </c>
      <c r="B23" s="2008"/>
      <c r="C23" s="2008"/>
      <c r="D23" s="2008"/>
      <c r="E23" s="2008"/>
      <c r="F23" s="2008"/>
      <c r="G23" s="2008"/>
      <c r="H23" s="2009"/>
      <c r="T23" s="1947" t="s">
        <v>2070</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61063</v>
      </c>
      <c r="B25" s="1985"/>
      <c r="C25" s="1985"/>
      <c r="D25" s="1985"/>
      <c r="E25" s="1985"/>
      <c r="F25" s="1985"/>
      <c r="G25" s="1985"/>
      <c r="H25" s="1986"/>
      <c r="I25" s="113"/>
      <c r="J25" s="2051"/>
      <c r="K25" s="2051"/>
      <c r="L25" s="2051"/>
      <c r="M25" s="2051"/>
      <c r="N25" s="2051"/>
      <c r="O25" s="2051"/>
      <c r="P25" s="2051"/>
      <c r="Q25" s="2051"/>
      <c r="R25" s="2051"/>
      <c r="S25" s="2052"/>
      <c r="T25" s="1944" t="s">
        <v>2071</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2072</v>
      </c>
      <c r="C29" s="124" t="s">
        <v>820</v>
      </c>
      <c r="D29" s="114"/>
      <c r="E29" s="136"/>
      <c r="F29" s="141" t="s">
        <v>1316</v>
      </c>
      <c r="G29" s="114"/>
      <c r="I29" s="54"/>
      <c r="J29" s="102"/>
      <c r="K29" s="28" t="s">
        <v>576</v>
      </c>
      <c r="L29" s="148" t="s">
        <v>2072</v>
      </c>
      <c r="M29" s="40" t="s">
        <v>99</v>
      </c>
      <c r="N29" s="32" t="s">
        <v>1523</v>
      </c>
      <c r="O29" s="32"/>
      <c r="P29" s="32"/>
      <c r="Q29" s="32"/>
      <c r="R29" s="32"/>
      <c r="S29" s="123"/>
      <c r="T29" s="6"/>
      <c r="U29" s="6"/>
      <c r="V29" s="6"/>
      <c r="W29" s="6"/>
      <c r="X29" s="6"/>
      <c r="Y29" s="6"/>
      <c r="Z29" s="6"/>
      <c r="AA29" s="132"/>
    </row>
    <row r="30" spans="1:27" ht="13.5" customHeight="1" x14ac:dyDescent="0.2">
      <c r="A30" s="153"/>
      <c r="B30" s="136" t="s">
        <v>2072</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2072</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2076</v>
      </c>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2077</v>
      </c>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2078</v>
      </c>
      <c r="B42" s="2034"/>
      <c r="C42" s="2035"/>
      <c r="D42" s="2048" t="s">
        <v>2079</v>
      </c>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X29" sqref="X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5" colorId="8" zoomScale="110" zoomScaleNormal="110" workbookViewId="0">
      <selection activeCell="F126" sqref="F1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2072</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t="s">
        <v>2086</v>
      </c>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2064</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t="s">
        <v>2088</v>
      </c>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E42" sqref="E42:E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95399735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4.2140999999999998E-2</v>
      </c>
      <c r="E10" s="356" t="s">
        <v>1005</v>
      </c>
      <c r="F10" s="355">
        <v>7.4999999999999997E-3</v>
      </c>
      <c r="G10" s="356" t="s">
        <v>1005</v>
      </c>
      <c r="H10" s="355">
        <v>3.6809999999999998E-3</v>
      </c>
      <c r="I10" s="356" t="s">
        <v>1006</v>
      </c>
      <c r="J10" s="1732">
        <f>ROUND(D10+F10+H10,5)</f>
        <v>5.3319999999999999E-2</v>
      </c>
      <c r="K10" s="222"/>
      <c r="L10" s="355">
        <v>3.97E-4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7858629</v>
      </c>
      <c r="E16" s="356"/>
      <c r="F16" s="1733">
        <f>SUM('Acct Summary 7-8'!C17,'Acct Summary 7-8'!D17,'Acct Summary 7-8'!F17)</f>
        <v>9784892</v>
      </c>
      <c r="G16" s="356"/>
      <c r="H16" s="1733">
        <f>SUM(D16-F16)</f>
        <v>-1926263</v>
      </c>
      <c r="I16" s="222"/>
      <c r="J16" s="1733">
        <f>SUM('Acct Summary 7-8'!C81,'Acct Summary 7-8'!D81,'Acct Summary 7-8'!F81,'Acct Summary 7-8'!I81)</f>
        <v>8074034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13165163.430000002</v>
      </c>
      <c r="I31" s="368"/>
      <c r="J31" s="222"/>
      <c r="K31" s="222"/>
      <c r="L31" s="222"/>
      <c r="M31" s="222"/>
    </row>
    <row r="32" spans="1:13" ht="13.35" customHeight="1" x14ac:dyDescent="0.2">
      <c r="B32" s="369" t="s">
        <v>2072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717144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7" zoomScale="110" zoomScaleNormal="110" workbookViewId="0">
      <selection activeCell="X29" sqref="X2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Pecatonica CUSD 321</v>
      </c>
      <c r="E7" s="391"/>
      <c r="G7" s="252"/>
      <c r="H7" s="387"/>
      <c r="I7" s="387"/>
      <c r="J7" s="387"/>
      <c r="K7" s="387"/>
      <c r="L7" s="329"/>
      <c r="M7" s="329"/>
      <c r="N7" s="329"/>
      <c r="O7" s="329"/>
      <c r="P7" s="329"/>
    </row>
    <row r="8" spans="1:18" ht="12.75" x14ac:dyDescent="0.2">
      <c r="A8" s="329"/>
      <c r="B8" s="329"/>
      <c r="C8" s="389" t="s">
        <v>1125</v>
      </c>
      <c r="D8" s="392">
        <f>COVER!A13</f>
        <v>4101321026</v>
      </c>
      <c r="E8" s="393"/>
      <c r="G8" s="329"/>
      <c r="H8" s="329"/>
      <c r="I8" s="329"/>
      <c r="J8" s="329"/>
      <c r="K8" s="329"/>
      <c r="L8" s="329"/>
      <c r="M8" s="329"/>
      <c r="N8" s="329"/>
      <c r="O8" s="329"/>
      <c r="P8" s="329"/>
    </row>
    <row r="9" spans="1:18" ht="12.75" x14ac:dyDescent="0.2">
      <c r="A9" s="329"/>
      <c r="B9" s="329"/>
      <c r="C9" s="389" t="s">
        <v>713</v>
      </c>
      <c r="D9" s="394" t="str">
        <f>COVER!A15</f>
        <v>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8074034</v>
      </c>
      <c r="I12" s="404"/>
      <c r="J12" s="404"/>
      <c r="K12" s="405">
        <f>TRUNC((H12/H13*100000),5)/100000</f>
        <v>1.0274099972999999</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7858629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9784892</v>
      </c>
      <c r="I17" s="404"/>
      <c r="J17" s="416"/>
      <c r="K17" s="405">
        <f>TRUNC((H17/H18*100000),5)/100000</f>
        <v>1.2451143831</v>
      </c>
      <c r="L17" s="406"/>
      <c r="M17" s="417" t="s">
        <v>1171</v>
      </c>
      <c r="O17" s="418" t="str">
        <f>IF(AND(O16="2", J20 &gt; 2),"1",IF(AND(O16 = "1", J20 &gt; 2),"2",IF(AND(O16="1", J20 &gt;1),"1","0")))</f>
        <v>2</v>
      </c>
      <c r="P17" s="218"/>
    </row>
    <row r="18" spans="1:18" s="408" customFormat="1" ht="11.25" x14ac:dyDescent="0.2">
      <c r="A18" s="218"/>
      <c r="B18" s="401"/>
      <c r="C18" s="2104" t="s">
        <v>1317</v>
      </c>
      <c r="D18" s="2105"/>
      <c r="E18" s="218"/>
      <c r="F18" s="419" t="s">
        <v>794</v>
      </c>
      <c r="G18" s="402"/>
      <c r="H18" s="403">
        <f>SUM('Acct Summary 7-8'!C8+'Acct Summary 7-8'!D8+'Acct Summary 7-8'!F8+'Acct Summary 7-8'!I8)+H19</f>
        <v>7858629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3.7835804</v>
      </c>
      <c r="K20" s="405">
        <f>IF(K17&lt;=1,"0",IF(AND(O16="2", J20 &gt; 2),TRUNC(((K12-0.1)/(K17-1)*100),5)/100,IF(AND(O16 = "1", J20 &gt; 2),TRUNC(((K12-0.1)/(K17-1)*100),5)/100,IF(AND(O16="1", J20 &gt;1),TRUNC(((K12-0.1)/(K17-1)*100),5)/100,""))))</f>
        <v>3.7835804</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8077944</v>
      </c>
      <c r="I24" s="422"/>
      <c r="J24" s="422"/>
      <c r="K24" s="423">
        <f>TRUNC(((H24/H25*100000)/100000),2)</f>
        <v>297.19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27180.255560000001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4323706.7896699999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717144</v>
      </c>
      <c r="I32" s="420"/>
      <c r="J32" s="420"/>
      <c r="K32" s="423">
        <f>TRUNC(100-((((H32/H33*100))*100)/100),2)</f>
        <v>94.55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13165163.430000002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8" activePane="bottomLeft" state="frozen"/>
      <selection activeCell="X29" sqref="X29"/>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94545</v>
      </c>
      <c r="D4" s="466">
        <v>8680</v>
      </c>
      <c r="E4" s="466">
        <v>200</v>
      </c>
      <c r="F4" s="466">
        <v>1846</v>
      </c>
      <c r="G4" s="466">
        <v>184</v>
      </c>
      <c r="H4" s="466"/>
      <c r="I4" s="466"/>
      <c r="J4" s="467">
        <v>93</v>
      </c>
      <c r="K4" s="466">
        <v>975</v>
      </c>
      <c r="L4" s="466">
        <v>161275</v>
      </c>
      <c r="M4" s="468"/>
      <c r="N4" s="469"/>
    </row>
    <row r="5" spans="1:14" x14ac:dyDescent="0.2">
      <c r="A5" s="463" t="s">
        <v>992</v>
      </c>
      <c r="B5" s="470">
        <v>120</v>
      </c>
      <c r="C5" s="465">
        <v>5661076</v>
      </c>
      <c r="D5" s="466">
        <v>716448</v>
      </c>
      <c r="E5" s="466">
        <v>306906</v>
      </c>
      <c r="F5" s="466">
        <v>792750</v>
      </c>
      <c r="G5" s="466">
        <v>729763</v>
      </c>
      <c r="H5" s="466"/>
      <c r="I5" s="466">
        <v>802599</v>
      </c>
      <c r="J5" s="467">
        <v>17891</v>
      </c>
      <c r="K5" s="471">
        <v>72468</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5755621</v>
      </c>
      <c r="D13" s="1737">
        <f t="shared" ref="D13:L13" si="0">SUM(D4:D12)</f>
        <v>725128</v>
      </c>
      <c r="E13" s="1737">
        <f t="shared" si="0"/>
        <v>307106</v>
      </c>
      <c r="F13" s="1737">
        <f t="shared" si="0"/>
        <v>794596</v>
      </c>
      <c r="G13" s="1737">
        <f t="shared" si="0"/>
        <v>729947</v>
      </c>
      <c r="H13" s="1737">
        <f t="shared" si="0"/>
        <v>0</v>
      </c>
      <c r="I13" s="1737">
        <f t="shared" si="0"/>
        <v>802599</v>
      </c>
      <c r="J13" s="1737">
        <f t="shared" si="0"/>
        <v>17984</v>
      </c>
      <c r="K13" s="1737">
        <f t="shared" si="0"/>
        <v>73443</v>
      </c>
      <c r="L13" s="1737">
        <f t="shared" si="0"/>
        <v>161275</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215049</v>
      </c>
      <c r="N16" s="484"/>
    </row>
    <row r="17" spans="1:14" s="485" customFormat="1" ht="12.75" customHeight="1" x14ac:dyDescent="0.2">
      <c r="A17" s="482" t="s">
        <v>1403</v>
      </c>
      <c r="B17" s="483">
        <v>230</v>
      </c>
      <c r="C17" s="477"/>
      <c r="D17" s="477"/>
      <c r="E17" s="477"/>
      <c r="F17" s="477"/>
      <c r="G17" s="477"/>
      <c r="H17" s="477"/>
      <c r="I17" s="477"/>
      <c r="J17" s="477"/>
      <c r="K17" s="477"/>
      <c r="L17" s="477"/>
      <c r="M17" s="467">
        <v>21020631</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1423068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307106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410038</v>
      </c>
    </row>
    <row r="23" spans="1:14" ht="13.5" customHeight="1" thickBot="1" x14ac:dyDescent="0.25">
      <c r="A23" s="1736" t="s">
        <v>643</v>
      </c>
      <c r="B23" s="1741"/>
      <c r="C23" s="468"/>
      <c r="D23" s="468"/>
      <c r="E23" s="468"/>
      <c r="F23" s="468"/>
      <c r="G23" s="468"/>
      <c r="H23" s="468"/>
      <c r="I23" s="468"/>
      <c r="J23" s="468"/>
      <c r="K23" s="468"/>
      <c r="L23" s="468"/>
      <c r="M23" s="1688">
        <f>SUM(M15:M22)</f>
        <v>22658748</v>
      </c>
      <c r="N23" s="1688">
        <f>SUM(N21:N22)</f>
        <v>717144</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4</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v>2918</v>
      </c>
      <c r="E31" s="467"/>
      <c r="F31" s="466">
        <v>988</v>
      </c>
      <c r="G31" s="467">
        <v>4052</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161275</v>
      </c>
      <c r="M33" s="468"/>
      <c r="N33" s="469"/>
    </row>
    <row r="34" spans="1:14" ht="13.5" customHeight="1" thickBot="1" x14ac:dyDescent="0.25">
      <c r="A34" s="1738" t="s">
        <v>654</v>
      </c>
      <c r="B34" s="1739"/>
      <c r="C34" s="1740">
        <f>SUM(C25:C33)</f>
        <v>4</v>
      </c>
      <c r="D34" s="1740">
        <f t="shared" ref="D34:K34" si="1">SUM(D25:D33)</f>
        <v>2918</v>
      </c>
      <c r="E34" s="1740">
        <f t="shared" si="1"/>
        <v>0</v>
      </c>
      <c r="F34" s="1740">
        <f t="shared" si="1"/>
        <v>988</v>
      </c>
      <c r="G34" s="1740">
        <f t="shared" si="1"/>
        <v>4052</v>
      </c>
      <c r="H34" s="1740">
        <f t="shared" si="1"/>
        <v>0</v>
      </c>
      <c r="I34" s="1740">
        <f t="shared" si="1"/>
        <v>0</v>
      </c>
      <c r="J34" s="1740">
        <f t="shared" si="1"/>
        <v>0</v>
      </c>
      <c r="K34" s="1740">
        <f t="shared" si="1"/>
        <v>0</v>
      </c>
      <c r="L34" s="1721">
        <f>SUM(L33)</f>
        <v>161275</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717144</v>
      </c>
    </row>
    <row r="37" spans="1:14" ht="13.5" thickBot="1" x14ac:dyDescent="0.25">
      <c r="A37" s="1736" t="s">
        <v>653</v>
      </c>
      <c r="B37" s="1741"/>
      <c r="C37" s="477"/>
      <c r="D37" s="477"/>
      <c r="E37" s="477"/>
      <c r="F37" s="477"/>
      <c r="G37" s="477"/>
      <c r="H37" s="477"/>
      <c r="I37" s="477"/>
      <c r="J37" s="477"/>
      <c r="K37" s="477"/>
      <c r="L37" s="480"/>
      <c r="M37" s="468"/>
      <c r="N37" s="1688">
        <f>SUM(N36:N36)</f>
        <v>717144</v>
      </c>
    </row>
    <row r="38" spans="1:14" s="329" customFormat="1" ht="13.5" customHeight="1" thickTop="1" x14ac:dyDescent="0.2">
      <c r="A38" s="496" t="s">
        <v>420</v>
      </c>
      <c r="B38" s="483">
        <v>714</v>
      </c>
      <c r="C38" s="466">
        <v>57842</v>
      </c>
      <c r="D38" s="466"/>
      <c r="E38" s="466"/>
      <c r="F38" s="466"/>
      <c r="G38" s="466">
        <v>409154</v>
      </c>
      <c r="H38" s="466"/>
      <c r="I38" s="466"/>
      <c r="J38" s="467"/>
      <c r="K38" s="466"/>
      <c r="L38" s="481"/>
      <c r="M38" s="497"/>
      <c r="N38" s="497"/>
    </row>
    <row r="39" spans="1:14" s="329" customFormat="1" ht="13.5" customHeight="1" x14ac:dyDescent="0.2">
      <c r="A39" s="496" t="s">
        <v>342</v>
      </c>
      <c r="B39" s="483">
        <v>730</v>
      </c>
      <c r="C39" s="466">
        <v>5697775</v>
      </c>
      <c r="D39" s="466">
        <v>722210</v>
      </c>
      <c r="E39" s="466">
        <v>307106</v>
      </c>
      <c r="F39" s="466">
        <v>793608</v>
      </c>
      <c r="G39" s="466">
        <v>316741</v>
      </c>
      <c r="H39" s="466"/>
      <c r="I39" s="466">
        <v>802599</v>
      </c>
      <c r="J39" s="467">
        <v>17984</v>
      </c>
      <c r="K39" s="466">
        <v>73443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22658748</v>
      </c>
      <c r="N40" s="497"/>
    </row>
    <row r="41" spans="1:14" ht="13.5" customHeight="1" thickBot="1" x14ac:dyDescent="0.25">
      <c r="A41" s="1736" t="s">
        <v>655</v>
      </c>
      <c r="B41" s="1706"/>
      <c r="C41" s="1688">
        <f>(SUM(C34,C37,C38,C39))</f>
        <v>5755621</v>
      </c>
      <c r="D41" s="1688">
        <f t="shared" ref="D41:L41" si="2">SUM(D34,D37,D38:D39)</f>
        <v>725128</v>
      </c>
      <c r="E41" s="1688">
        <f t="shared" si="2"/>
        <v>307106</v>
      </c>
      <c r="F41" s="1688">
        <f t="shared" si="2"/>
        <v>794596</v>
      </c>
      <c r="G41" s="1688">
        <f t="shared" si="2"/>
        <v>729947</v>
      </c>
      <c r="H41" s="1688">
        <f t="shared" si="2"/>
        <v>0</v>
      </c>
      <c r="I41" s="1688">
        <f t="shared" si="2"/>
        <v>802599</v>
      </c>
      <c r="J41" s="1688">
        <f t="shared" si="2"/>
        <v>17984</v>
      </c>
      <c r="K41" s="1688">
        <f t="shared" si="2"/>
        <v>73443</v>
      </c>
      <c r="L41" s="1688">
        <f t="shared" si="2"/>
        <v>161275</v>
      </c>
      <c r="M41" s="1688">
        <f>SUM(M40)</f>
        <v>22658748</v>
      </c>
      <c r="N41" s="1688">
        <f>SUM(N37)</f>
        <v>717144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2019
</oddHeader>
    <oddFooter>&amp;L&amp;8Print Date:  &amp;D
&amp;F&amp;CSee Notes to the Accompanying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7" activePane="bottomLeft" state="frozen"/>
      <selection activeCell="X29" sqref="X29"/>
      <selection pane="bottomLeft" activeCell="C81" sqref="C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3396622</v>
      </c>
      <c r="D4" s="1742">
        <f>'Revenues 9-14'!D109</f>
        <v>520152</v>
      </c>
      <c r="E4" s="1742">
        <f>'Revenues 9-14'!E109</f>
        <v>970855</v>
      </c>
      <c r="F4" s="1742">
        <f>'Revenues 9-14'!F109</f>
        <v>226559</v>
      </c>
      <c r="G4" s="1742">
        <f>'Revenues 9-14'!G109</f>
        <v>257381</v>
      </c>
      <c r="H4" s="1742">
        <f>'Revenues 9-14'!H109</f>
        <v>0</v>
      </c>
      <c r="I4" s="1742">
        <f>'Revenues 9-14'!I109</f>
        <v>37340</v>
      </c>
      <c r="J4" s="1742">
        <f>'Revenues 9-14'!J109</f>
        <v>7044</v>
      </c>
      <c r="K4" s="1742">
        <f>'Revenues 9-14'!K109</f>
        <v>52611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2910969</v>
      </c>
      <c r="D6" s="1743">
        <f>'Revenues 9-14'!D170</f>
        <v>0</v>
      </c>
      <c r="E6" s="1743">
        <f>'Revenues 9-14'!E170</f>
        <v>0</v>
      </c>
      <c r="F6" s="1743">
        <f>'Revenues 9-14'!F170</f>
        <v>307281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459706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6767297</v>
      </c>
      <c r="D8" s="1688">
        <f t="shared" ref="D8:K8" si="0">SUM(D4:D7)</f>
        <v>520152</v>
      </c>
      <c r="E8" s="1688">
        <f t="shared" si="0"/>
        <v>970855</v>
      </c>
      <c r="F8" s="1688">
        <f t="shared" si="0"/>
        <v>533840</v>
      </c>
      <c r="G8" s="1688">
        <f t="shared" si="0"/>
        <v>257381</v>
      </c>
      <c r="H8" s="1688">
        <f t="shared" si="0"/>
        <v>0</v>
      </c>
      <c r="I8" s="1688">
        <f t="shared" si="0"/>
        <v>37340</v>
      </c>
      <c r="J8" s="1688">
        <f t="shared" si="0"/>
        <v>7044</v>
      </c>
      <c r="K8" s="1688">
        <f t="shared" si="0"/>
        <v>52611</v>
      </c>
      <c r="L8" s="347"/>
    </row>
    <row r="9" spans="1:13" ht="15.75" thickTop="1" x14ac:dyDescent="0.2">
      <c r="A9" s="514" t="s">
        <v>1653</v>
      </c>
      <c r="B9" s="515">
        <v>3998</v>
      </c>
      <c r="C9" s="481">
        <v>3144094</v>
      </c>
      <c r="D9" s="516"/>
      <c r="E9" s="481"/>
      <c r="F9" s="481"/>
      <c r="G9" s="517"/>
      <c r="H9" s="481"/>
      <c r="I9" s="509" t="s">
        <v>1169</v>
      </c>
      <c r="J9" s="478"/>
      <c r="K9" s="481"/>
      <c r="L9" s="347"/>
    </row>
    <row r="10" spans="1:13" s="519" customFormat="1" ht="13.5" thickBot="1" x14ac:dyDescent="0.25">
      <c r="A10" s="1736" t="s">
        <v>1173</v>
      </c>
      <c r="B10" s="1709"/>
      <c r="C10" s="1688">
        <f>SUM(C8:C9)</f>
        <v>9911391</v>
      </c>
      <c r="D10" s="1688">
        <f t="shared" ref="D10:K10" si="1">SUM(D8:D9)</f>
        <v>520152</v>
      </c>
      <c r="E10" s="1688">
        <f t="shared" si="1"/>
        <v>970855</v>
      </c>
      <c r="F10" s="1688">
        <f t="shared" si="1"/>
        <v>533840</v>
      </c>
      <c r="G10" s="1688">
        <f t="shared" si="1"/>
        <v>257381</v>
      </c>
      <c r="H10" s="1688">
        <f t="shared" si="1"/>
        <v>0</v>
      </c>
      <c r="I10" s="1688">
        <f t="shared" si="1"/>
        <v>37340</v>
      </c>
      <c r="J10" s="1688">
        <f t="shared" si="1"/>
        <v>7044</v>
      </c>
      <c r="K10" s="1688">
        <f t="shared" si="1"/>
        <v>52611</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5337383</v>
      </c>
      <c r="D12" s="520" t="s">
        <v>1169</v>
      </c>
      <c r="E12" s="468" t="s">
        <v>1169</v>
      </c>
      <c r="F12" s="468" t="s">
        <v>1169</v>
      </c>
      <c r="G12" s="1742">
        <f>'Expenditures 15-22'!K229</f>
        <v>130622</v>
      </c>
      <c r="H12" s="521"/>
      <c r="I12" s="468" t="s">
        <v>1169</v>
      </c>
      <c r="J12" s="468" t="s">
        <v>1169</v>
      </c>
      <c r="K12" s="521" t="s">
        <v>1169</v>
      </c>
      <c r="L12" s="347"/>
    </row>
    <row r="13" spans="1:13" ht="15.75" customHeight="1" x14ac:dyDescent="0.2">
      <c r="A13" s="1576" t="s">
        <v>457</v>
      </c>
      <c r="B13" s="1578">
        <v>2000</v>
      </c>
      <c r="C13" s="1743">
        <f>'Expenditures 15-22'!K74</f>
        <v>2552702</v>
      </c>
      <c r="D13" s="1743">
        <f>'Expenditures 15-22'!K129</f>
        <v>882006</v>
      </c>
      <c r="E13" s="469" t="s">
        <v>1169</v>
      </c>
      <c r="F13" s="1743">
        <f>'Expenditures 15-22'!K184</f>
        <v>544802</v>
      </c>
      <c r="G13" s="1743">
        <f>'Expenditures 15-22'!K279</f>
        <v>192385</v>
      </c>
      <c r="H13" s="1743">
        <f>'Expenditures 15-22'!K303</f>
        <v>0</v>
      </c>
      <c r="I13" s="468" t="s">
        <v>1169</v>
      </c>
      <c r="J13" s="1743">
        <f>'Expenditures 15-22'!K330</f>
        <v>10398</v>
      </c>
      <c r="K13" s="1747">
        <f>'Expenditures 15-22'!K352</f>
        <v>215542</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467999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1520000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8358084</v>
      </c>
      <c r="D17" s="1688">
        <f t="shared" si="2"/>
        <v>882006</v>
      </c>
      <c r="E17" s="1688">
        <f t="shared" si="2"/>
        <v>1520000</v>
      </c>
      <c r="F17" s="1688">
        <f t="shared" si="2"/>
        <v>544802</v>
      </c>
      <c r="G17" s="1688">
        <f t="shared" si="2"/>
        <v>323007</v>
      </c>
      <c r="H17" s="1688">
        <f t="shared" si="2"/>
        <v>0</v>
      </c>
      <c r="I17" s="468"/>
      <c r="J17" s="1688">
        <f>SUM(J12:J16)</f>
        <v>10398</v>
      </c>
      <c r="K17" s="1688">
        <f>SUM(K12:K16)</f>
        <v>215542</v>
      </c>
      <c r="L17" s="347"/>
    </row>
    <row r="18" spans="1:12" ht="15" customHeight="1" thickTop="1" x14ac:dyDescent="0.2">
      <c r="A18" s="1744" t="s">
        <v>1654</v>
      </c>
      <c r="B18" s="1745">
        <v>4180</v>
      </c>
      <c r="C18" s="1742">
        <f t="shared" ref="C18:H18" si="3">C9</f>
        <v>3144094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11502178</v>
      </c>
      <c r="D19" s="1688">
        <f t="shared" si="4"/>
        <v>882006</v>
      </c>
      <c r="E19" s="1688">
        <f t="shared" si="4"/>
        <v>1520000</v>
      </c>
      <c r="F19" s="1688">
        <f t="shared" si="4"/>
        <v>544802</v>
      </c>
      <c r="G19" s="1688">
        <f t="shared" si="4"/>
        <v>323007</v>
      </c>
      <c r="H19" s="1688">
        <f t="shared" si="4"/>
        <v>0</v>
      </c>
      <c r="I19" s="468"/>
      <c r="J19" s="1688">
        <f>SUM(J17:J18)</f>
        <v>10398</v>
      </c>
      <c r="K19" s="1688">
        <f>SUM(K17:K18)</f>
        <v>215542</v>
      </c>
      <c r="L19" s="347"/>
    </row>
    <row r="20" spans="1:12" ht="16.5" thickTop="1" thickBot="1" x14ac:dyDescent="0.25">
      <c r="A20" s="2129" t="s">
        <v>1655</v>
      </c>
      <c r="B20" s="2130"/>
      <c r="C20" s="1746">
        <f>C8-C17</f>
        <v>-1590787</v>
      </c>
      <c r="D20" s="1746">
        <f t="shared" ref="D20:K20" si="5">D8-D17</f>
        <v>-361854</v>
      </c>
      <c r="E20" s="1746">
        <f t="shared" si="5"/>
        <v>-549145</v>
      </c>
      <c r="F20" s="1746">
        <f t="shared" si="5"/>
        <v>-10962</v>
      </c>
      <c r="G20" s="1746">
        <f t="shared" si="5"/>
        <v>-65626</v>
      </c>
      <c r="H20" s="1746">
        <f t="shared" si="5"/>
        <v>0</v>
      </c>
      <c r="I20" s="1746">
        <f t="shared" si="5"/>
        <v>37340</v>
      </c>
      <c r="J20" s="1746">
        <f t="shared" si="5"/>
        <v>-3354</v>
      </c>
      <c r="K20" s="1746">
        <f t="shared" si="5"/>
        <v>-162931</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1" t="s">
        <v>1177</v>
      </c>
      <c r="B77" s="2122"/>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5" t="s">
        <v>597</v>
      </c>
      <c r="B78" s="2126"/>
      <c r="C78" s="1702">
        <f t="shared" ref="C78:K78" si="9">C20+C77</f>
        <v>-1590787</v>
      </c>
      <c r="D78" s="1702">
        <f t="shared" si="9"/>
        <v>-361854</v>
      </c>
      <c r="E78" s="1702">
        <f t="shared" si="9"/>
        <v>-549145</v>
      </c>
      <c r="F78" s="1702">
        <f t="shared" si="9"/>
        <v>-10962</v>
      </c>
      <c r="G78" s="1702">
        <f t="shared" si="9"/>
        <v>-65626</v>
      </c>
      <c r="H78" s="1702">
        <f t="shared" si="9"/>
        <v>0</v>
      </c>
      <c r="I78" s="1702">
        <f t="shared" si="9"/>
        <v>37340</v>
      </c>
      <c r="J78" s="1702">
        <f t="shared" si="9"/>
        <v>-3354</v>
      </c>
      <c r="K78" s="1702">
        <f t="shared" si="9"/>
        <v>-162931</v>
      </c>
      <c r="L78" s="533"/>
    </row>
    <row r="79" spans="1:12" ht="13.5" thickTop="1" x14ac:dyDescent="0.2">
      <c r="A79" s="1494" t="s">
        <v>1949</v>
      </c>
      <c r="B79" s="534"/>
      <c r="C79" s="478">
        <v>7346404</v>
      </c>
      <c r="D79" s="535">
        <v>1084064</v>
      </c>
      <c r="E79" s="535">
        <v>856251</v>
      </c>
      <c r="F79" s="535">
        <v>804570</v>
      </c>
      <c r="G79" s="535">
        <v>791521</v>
      </c>
      <c r="H79" s="535"/>
      <c r="I79" s="535">
        <v>765259</v>
      </c>
      <c r="J79" s="535">
        <v>21338</v>
      </c>
      <c r="K79" s="535">
        <v>236374</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1950</v>
      </c>
      <c r="B81" s="2124"/>
      <c r="C81" s="1688">
        <f>(SUM(C78:C80))</f>
        <v>5755617</v>
      </c>
      <c r="D81" s="1688">
        <f>SUM(D78:D80)</f>
        <v>722210</v>
      </c>
      <c r="E81" s="1688">
        <f t="shared" ref="E81:K81" si="10">SUM(E78:E80)</f>
        <v>307106</v>
      </c>
      <c r="F81" s="1688">
        <f t="shared" si="10"/>
        <v>793608</v>
      </c>
      <c r="G81" s="1688">
        <f t="shared" si="10"/>
        <v>725895</v>
      </c>
      <c r="H81" s="1688">
        <f t="shared" si="10"/>
        <v>0</v>
      </c>
      <c r="I81" s="1688">
        <f t="shared" si="10"/>
        <v>802599</v>
      </c>
      <c r="J81" s="1688">
        <f t="shared" si="10"/>
        <v>17984</v>
      </c>
      <c r="K81" s="1688">
        <f t="shared" si="10"/>
        <v>73443</v>
      </c>
      <c r="L81" s="347"/>
    </row>
    <row r="82" spans="1:12" ht="0.75" customHeight="1" thickTop="1" thickBot="1" x14ac:dyDescent="0.25">
      <c r="A82" s="536" t="s">
        <v>343</v>
      </c>
      <c r="B82" s="537"/>
      <c r="C82" s="538">
        <f>(C81-C79)</f>
        <v>-1590787</v>
      </c>
      <c r="D82" s="538">
        <f t="shared" ref="D82:K82" si="11">(D81-D79)</f>
        <v>-361854</v>
      </c>
      <c r="E82" s="538">
        <f t="shared" si="11"/>
        <v>-549145</v>
      </c>
      <c r="F82" s="538">
        <f t="shared" si="11"/>
        <v>-10962</v>
      </c>
      <c r="G82" s="538">
        <f t="shared" si="11"/>
        <v>-65626</v>
      </c>
      <c r="H82" s="538">
        <f t="shared" si="11"/>
        <v>0</v>
      </c>
      <c r="I82" s="538">
        <f t="shared" si="11"/>
        <v>37340</v>
      </c>
      <c r="J82" s="538">
        <f t="shared" si="11"/>
        <v>-3354</v>
      </c>
      <c r="K82" s="538">
        <f t="shared" si="11"/>
        <v>-162931</v>
      </c>
    </row>
    <row r="83" spans="1:12" ht="14.25" hidden="1" thickTop="1" thickBot="1" x14ac:dyDescent="0.25">
      <c r="A83" s="539" t="s">
        <v>344</v>
      </c>
      <c r="B83" s="464"/>
      <c r="C83" s="540">
        <f>C82/C81</f>
        <v>-0.27638861307137008</v>
      </c>
      <c r="D83" s="540">
        <f t="shared" ref="D83:K83" si="12">D82/D81</f>
        <v>-0.50103709447390643</v>
      </c>
      <c r="E83" s="540">
        <f t="shared" si="12"/>
        <v>-1.7881285289118416</v>
      </c>
      <c r="F83" s="540">
        <f t="shared" si="12"/>
        <v>-1.3812864789669459E-2</v>
      </c>
      <c r="G83" s="540">
        <f t="shared" si="12"/>
        <v>-9.040701478864023E-2</v>
      </c>
      <c r="H83" s="540" t="e">
        <f t="shared" si="12"/>
        <v>#DIV/0!</v>
      </c>
      <c r="I83" s="540">
        <f t="shared" si="12"/>
        <v>4.6523855624041398E-2</v>
      </c>
      <c r="J83" s="540">
        <f t="shared" si="12"/>
        <v>-0.18649911032028471</v>
      </c>
      <c r="K83" s="540">
        <f t="shared" si="12"/>
        <v>-2.2184687444684994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2019 </oddHeader>
    <oddFooter>&amp;L&amp;8Print Date: &amp;D
&amp;F&amp;CSee Notes to the Accompanying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40" activePane="bottomLeft" state="frozen"/>
      <selection activeCell="X29" sqref="X29"/>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2417970</v>
      </c>
      <c r="D5" s="481">
        <v>431355</v>
      </c>
      <c r="E5" s="466">
        <v>956867</v>
      </c>
      <c r="F5" s="548">
        <v>211154</v>
      </c>
      <c r="G5" s="466">
        <v>113184</v>
      </c>
      <c r="H5" s="466"/>
      <c r="I5" s="466">
        <v>22705</v>
      </c>
      <c r="J5" s="467">
        <v>6514</v>
      </c>
      <c r="K5" s="466">
        <v>51245</v>
      </c>
    </row>
    <row r="6" spans="1:12" ht="15" x14ac:dyDescent="0.2">
      <c r="A6" s="463" t="s">
        <v>1662</v>
      </c>
      <c r="B6" s="470">
        <v>1130</v>
      </c>
      <c r="C6" s="466"/>
      <c r="D6" s="466"/>
      <c r="E6" s="475"/>
      <c r="F6" s="475"/>
      <c r="G6" s="468"/>
      <c r="H6" s="468"/>
      <c r="I6" s="468"/>
      <c r="J6" s="468"/>
      <c r="K6" s="468"/>
    </row>
    <row r="7" spans="1:12" x14ac:dyDescent="0.2">
      <c r="A7" s="463" t="s">
        <v>110</v>
      </c>
      <c r="B7" s="549">
        <v>1140</v>
      </c>
      <c r="C7" s="466">
        <v>21484</v>
      </c>
      <c r="D7" s="466"/>
      <c r="E7" s="468"/>
      <c r="F7" s="467"/>
      <c r="G7" s="467"/>
      <c r="H7" s="467"/>
      <c r="I7" s="468"/>
      <c r="J7" s="468"/>
      <c r="K7" s="468"/>
    </row>
    <row r="8" spans="1:12" x14ac:dyDescent="0.2">
      <c r="A8" s="463" t="s">
        <v>413</v>
      </c>
      <c r="B8" s="470">
        <v>1150</v>
      </c>
      <c r="C8" s="475"/>
      <c r="D8" s="475"/>
      <c r="E8" s="477"/>
      <c r="F8" s="477"/>
      <c r="G8" s="481">
        <v>101122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2439454</v>
      </c>
      <c r="D12" s="1707">
        <f t="shared" si="0"/>
        <v>431355</v>
      </c>
      <c r="E12" s="1707">
        <f t="shared" si="0"/>
        <v>956867</v>
      </c>
      <c r="F12" s="1707">
        <f t="shared" si="0"/>
        <v>211154</v>
      </c>
      <c r="G12" s="1707">
        <f t="shared" si="0"/>
        <v>214306</v>
      </c>
      <c r="H12" s="1707">
        <f t="shared" si="0"/>
        <v>0</v>
      </c>
      <c r="I12" s="1707">
        <f t="shared" si="0"/>
        <v>22705</v>
      </c>
      <c r="J12" s="1707">
        <f t="shared" si="0"/>
        <v>6514</v>
      </c>
      <c r="K12" s="1688">
        <f t="shared" si="0"/>
        <v>51245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286328</v>
      </c>
      <c r="D16" s="466"/>
      <c r="E16" s="466"/>
      <c r="F16" s="466"/>
      <c r="G16" s="466">
        <v>26068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286328</v>
      </c>
      <c r="D18" s="1710">
        <f t="shared" ref="D18:K18" si="1">SUM(D14:D17)</f>
        <v>0</v>
      </c>
      <c r="E18" s="1710">
        <f t="shared" si="1"/>
        <v>0</v>
      </c>
      <c r="F18" s="1710">
        <f t="shared" si="1"/>
        <v>0</v>
      </c>
      <c r="G18" s="1710">
        <f t="shared" si="1"/>
        <v>26068</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2000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2000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138482</v>
      </c>
      <c r="D65" s="466">
        <v>19589</v>
      </c>
      <c r="E65" s="466">
        <v>13988</v>
      </c>
      <c r="F65" s="467">
        <v>15405</v>
      </c>
      <c r="G65" s="466">
        <v>17007</v>
      </c>
      <c r="H65" s="466"/>
      <c r="I65" s="466">
        <v>14635</v>
      </c>
      <c r="J65" s="467">
        <v>530</v>
      </c>
      <c r="K65" s="466">
        <v>1366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138482</v>
      </c>
      <c r="D67" s="1688">
        <f t="shared" ref="D67:K67" si="2">SUM(D65:D66)</f>
        <v>19589</v>
      </c>
      <c r="E67" s="1688">
        <f t="shared" si="2"/>
        <v>13988</v>
      </c>
      <c r="F67" s="1688">
        <f t="shared" si="2"/>
        <v>15405</v>
      </c>
      <c r="G67" s="1688">
        <f t="shared" si="2"/>
        <v>17007</v>
      </c>
      <c r="H67" s="1688">
        <f t="shared" si="2"/>
        <v>0</v>
      </c>
      <c r="I67" s="1688">
        <f t="shared" si="2"/>
        <v>14635</v>
      </c>
      <c r="J67" s="1688">
        <f t="shared" si="2"/>
        <v>530</v>
      </c>
      <c r="K67" s="1688">
        <f t="shared" si="2"/>
        <v>1366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181217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12564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193781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27173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16747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43920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85615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v>676</v>
      </c>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86291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1920</v>
      </c>
      <c r="E95" s="521"/>
      <c r="F95" s="521"/>
      <c r="G95" s="521"/>
      <c r="H95" s="521"/>
      <c r="I95" s="521"/>
      <c r="J95" s="521"/>
      <c r="K95" s="521"/>
    </row>
    <row r="96" spans="1:11" ht="12.75" customHeight="1" x14ac:dyDescent="0.2">
      <c r="A96" s="463" t="s">
        <v>391</v>
      </c>
      <c r="B96" s="470">
        <v>1920</v>
      </c>
      <c r="C96" s="551">
        <v>3342</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203024</v>
      </c>
      <c r="D107" s="466">
        <v>67288</v>
      </c>
      <c r="E107" s="466"/>
      <c r="F107" s="466"/>
      <c r="G107" s="466"/>
      <c r="H107" s="466"/>
      <c r="I107" s="466"/>
      <c r="J107" s="467"/>
      <c r="K107" s="466"/>
    </row>
    <row r="108" spans="1:12" ht="12.75" customHeight="1" thickBot="1" x14ac:dyDescent="0.25">
      <c r="A108" s="1708" t="s">
        <v>487</v>
      </c>
      <c r="B108" s="1712"/>
      <c r="C108" s="1707">
        <f>SUM(C95:C107)</f>
        <v>206366</v>
      </c>
      <c r="D108" s="1707">
        <f t="shared" ref="D108:K108" si="3">SUM(D95:D107)</f>
        <v>69208</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3396622</v>
      </c>
      <c r="D109" s="1715">
        <f t="shared" si="4"/>
        <v>520152</v>
      </c>
      <c r="E109" s="1715">
        <f t="shared" si="4"/>
        <v>970855</v>
      </c>
      <c r="F109" s="1715">
        <f t="shared" si="4"/>
        <v>226559</v>
      </c>
      <c r="G109" s="1715">
        <f t="shared" si="4"/>
        <v>257381</v>
      </c>
      <c r="H109" s="1715">
        <f t="shared" si="4"/>
        <v>0</v>
      </c>
      <c r="I109" s="1715">
        <f t="shared" si="4"/>
        <v>37340</v>
      </c>
      <c r="J109" s="1715">
        <f t="shared" si="4"/>
        <v>7044</v>
      </c>
      <c r="K109" s="1702">
        <f t="shared" si="4"/>
        <v>52611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2842653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2842653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39567</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3335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42902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5724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16820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22544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1439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183218</v>
      </c>
      <c r="G152" s="467"/>
      <c r="H152" s="468"/>
      <c r="I152" s="468"/>
      <c r="J152" s="468"/>
      <c r="K152" s="468"/>
    </row>
    <row r="153" spans="1:11" ht="12.75" customHeight="1" x14ac:dyDescent="0.2">
      <c r="A153" s="463" t="s">
        <v>1057</v>
      </c>
      <c r="B153" s="562">
        <v>3510</v>
      </c>
      <c r="C153" s="551"/>
      <c r="D153" s="466"/>
      <c r="E153" s="561"/>
      <c r="F153" s="466">
        <v>124063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307281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1431</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68316</v>
      </c>
      <c r="D169" s="1722">
        <f t="shared" si="6"/>
        <v>0</v>
      </c>
      <c r="E169" s="1722">
        <f t="shared" si="6"/>
        <v>0</v>
      </c>
      <c r="F169" s="1722">
        <f t="shared" si="6"/>
        <v>307281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2910969</v>
      </c>
      <c r="D170" s="1715">
        <f t="shared" si="7"/>
        <v>0</v>
      </c>
      <c r="E170" s="1715">
        <f t="shared" si="7"/>
        <v>0</v>
      </c>
      <c r="F170" s="1715">
        <f t="shared" si="7"/>
        <v>307281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98670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98670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98740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98740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155840</v>
      </c>
      <c r="D213" s="466"/>
      <c r="E213" s="468"/>
      <c r="F213" s="466"/>
      <c r="G213" s="466"/>
      <c r="H213" s="468"/>
      <c r="I213" s="468"/>
      <c r="J213" s="468"/>
      <c r="K213" s="468"/>
    </row>
    <row r="214" spans="1:11" ht="12.75" customHeight="1" x14ac:dyDescent="0.2">
      <c r="A214" s="463" t="s">
        <v>1054</v>
      </c>
      <c r="B214" s="470">
        <v>4625</v>
      </c>
      <c r="C214" s="551">
        <v>5906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161746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24141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17437</v>
      </c>
      <c r="D263" s="576"/>
      <c r="E263" s="468"/>
      <c r="F263" s="576"/>
      <c r="G263" s="576"/>
      <c r="H263" s="468"/>
      <c r="I263" s="468"/>
      <c r="J263" s="468"/>
      <c r="K263" s="468"/>
    </row>
    <row r="264" spans="1:11" ht="12.75" customHeight="1" thickTop="1" thickBot="1" x14ac:dyDescent="0.25">
      <c r="A264" s="463" t="s">
        <v>377</v>
      </c>
      <c r="B264" s="470">
        <v>4992</v>
      </c>
      <c r="C264" s="575">
        <v>58972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459706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459706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6767297</v>
      </c>
      <c r="D268" s="1715">
        <f t="shared" si="12"/>
        <v>520152</v>
      </c>
      <c r="E268" s="1715">
        <f t="shared" si="12"/>
        <v>970855</v>
      </c>
      <c r="F268" s="1715">
        <f t="shared" si="12"/>
        <v>533840</v>
      </c>
      <c r="G268" s="1715">
        <f t="shared" si="12"/>
        <v>257381</v>
      </c>
      <c r="H268" s="1715">
        <f t="shared" si="12"/>
        <v>0</v>
      </c>
      <c r="I268" s="1715">
        <f t="shared" si="12"/>
        <v>37340</v>
      </c>
      <c r="J268" s="1715">
        <f t="shared" si="12"/>
        <v>7044</v>
      </c>
      <c r="K268" s="1702">
        <f t="shared" si="12"/>
        <v>52611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 right="0.15" top="0.66" bottom="0.46" header="0.26" footer="0.17"/>
  <pageSetup scale="70" firstPageNumber="9" fitToHeight="0" orientation="landscape" useFirstPageNumber="1" r:id="rId1"/>
  <headerFooter alignWithMargins="0">
    <oddHeader>&amp;C&amp;"Arial,Bold"&amp;9STATEMENT OF REVENUES RECEIVED
FOR THE YEAR ENDING JUNE 30, 2019</oddHeader>
    <oddFooter>&amp;L&amp;8Printed Date: &amp;D
&amp;F&amp;CSee Notes to the Accompanying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N368"/>
  <sheetViews>
    <sheetView showGridLines="0" defaultGridColor="0" colorId="8" zoomScale="110" zoomScaleNormal="110" workbookViewId="0">
      <pane ySplit="2" topLeftCell="A363" activePane="bottomLeft" state="frozen"/>
      <selection activeCell="X29" sqref="X29"/>
      <selection pane="bottomLeft" activeCell="D56" sqref="D5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2738580</v>
      </c>
      <c r="D5" s="466">
        <v>839060</v>
      </c>
      <c r="E5" s="466">
        <v>36980</v>
      </c>
      <c r="F5" s="466">
        <v>33937</v>
      </c>
      <c r="G5" s="466">
        <v>1699</v>
      </c>
      <c r="H5" s="466">
        <v>2559</v>
      </c>
      <c r="I5" s="467"/>
      <c r="J5" s="467"/>
      <c r="K5" s="1671">
        <f>SUM(C5:J5)</f>
        <v>3652815</v>
      </c>
      <c r="L5" s="466">
        <v>3827700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962311</v>
      </c>
      <c r="D8" s="466">
        <v>100855</v>
      </c>
      <c r="E8" s="466">
        <v>34249</v>
      </c>
      <c r="F8" s="466">
        <v>6484</v>
      </c>
      <c r="G8" s="466"/>
      <c r="H8" s="466"/>
      <c r="I8" s="467"/>
      <c r="J8" s="467"/>
      <c r="K8" s="1671">
        <f t="shared" si="0"/>
        <v>1103899</v>
      </c>
      <c r="L8" s="466">
        <v>1131200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51639</v>
      </c>
      <c r="D10" s="466">
        <v>5227</v>
      </c>
      <c r="E10" s="466">
        <v>29688</v>
      </c>
      <c r="F10" s="466">
        <v>55966</v>
      </c>
      <c r="G10" s="466"/>
      <c r="H10" s="466"/>
      <c r="I10" s="467"/>
      <c r="J10" s="467"/>
      <c r="K10" s="1671">
        <f t="shared" si="0"/>
        <v>142520</v>
      </c>
      <c r="L10" s="466">
        <v>137500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128746</v>
      </c>
      <c r="D13" s="466">
        <v>20139</v>
      </c>
      <c r="E13" s="466">
        <v>450</v>
      </c>
      <c r="F13" s="466">
        <v>12021</v>
      </c>
      <c r="G13" s="466"/>
      <c r="H13" s="466"/>
      <c r="I13" s="467"/>
      <c r="J13" s="467"/>
      <c r="K13" s="1671">
        <f t="shared" si="0"/>
        <v>161356</v>
      </c>
      <c r="L13" s="466">
        <v>150000</v>
      </c>
    </row>
    <row r="14" spans="1:14" x14ac:dyDescent="0.2">
      <c r="A14" s="1504" t="s">
        <v>963</v>
      </c>
      <c r="B14" s="614">
        <v>1500</v>
      </c>
      <c r="C14" s="466">
        <v>189488</v>
      </c>
      <c r="D14" s="466">
        <v>8973</v>
      </c>
      <c r="E14" s="466">
        <v>52745</v>
      </c>
      <c r="F14" s="466">
        <v>8614</v>
      </c>
      <c r="G14" s="466">
        <v>1757</v>
      </c>
      <c r="H14" s="466">
        <v>10423</v>
      </c>
      <c r="I14" s="467"/>
      <c r="J14" s="467"/>
      <c r="K14" s="1671">
        <f t="shared" si="0"/>
        <v>272000</v>
      </c>
      <c r="L14" s="466">
        <v>290500</v>
      </c>
    </row>
    <row r="15" spans="1:14" x14ac:dyDescent="0.2">
      <c r="A15" s="1504" t="s">
        <v>964</v>
      </c>
      <c r="B15" s="614">
        <v>1600</v>
      </c>
      <c r="C15" s="466">
        <v>4350</v>
      </c>
      <c r="D15" s="466">
        <v>443</v>
      </c>
      <c r="E15" s="466"/>
      <c r="F15" s="466"/>
      <c r="G15" s="466"/>
      <c r="H15" s="466"/>
      <c r="I15" s="467"/>
      <c r="J15" s="467"/>
      <c r="K15" s="1671">
        <f t="shared" si="0"/>
        <v>4793</v>
      </c>
      <c r="L15" s="466">
        <v>9500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4075114</v>
      </c>
      <c r="D33" s="1670">
        <f t="shared" ref="D33:L33" si="1">SUM(D5:D32)</f>
        <v>974697</v>
      </c>
      <c r="E33" s="1670">
        <f t="shared" si="1"/>
        <v>154112</v>
      </c>
      <c r="F33" s="1670">
        <f t="shared" si="1"/>
        <v>117022</v>
      </c>
      <c r="G33" s="1670">
        <f t="shared" si="1"/>
        <v>3456</v>
      </c>
      <c r="H33" s="1670">
        <f t="shared" si="1"/>
        <v>12982</v>
      </c>
      <c r="I33" s="1670">
        <f t="shared" si="1"/>
        <v>0</v>
      </c>
      <c r="J33" s="1670">
        <f t="shared" si="1"/>
        <v>0</v>
      </c>
      <c r="K33" s="1670">
        <f t="shared" si="1"/>
        <v>5337383</v>
      </c>
      <c r="L33" s="1670">
        <f t="shared" si="1"/>
        <v>5546400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69630</v>
      </c>
      <c r="D36" s="481">
        <v>21154</v>
      </c>
      <c r="E36" s="481">
        <v>912</v>
      </c>
      <c r="F36" s="481">
        <v>380</v>
      </c>
      <c r="G36" s="481"/>
      <c r="H36" s="481"/>
      <c r="I36" s="467"/>
      <c r="J36" s="467"/>
      <c r="K36" s="1671">
        <f t="shared" ref="K36:K41" si="2">SUM(C36:J36)</f>
        <v>92076</v>
      </c>
      <c r="L36" s="466">
        <v>92392</v>
      </c>
    </row>
    <row r="37" spans="1:14" x14ac:dyDescent="0.2">
      <c r="A37" s="1504" t="s">
        <v>1090</v>
      </c>
      <c r="B37" s="614">
        <v>2120</v>
      </c>
      <c r="C37" s="466">
        <v>138386</v>
      </c>
      <c r="D37" s="466">
        <v>31552</v>
      </c>
      <c r="E37" s="466">
        <v>2778</v>
      </c>
      <c r="F37" s="466">
        <v>578</v>
      </c>
      <c r="G37" s="466"/>
      <c r="H37" s="466">
        <v>113</v>
      </c>
      <c r="I37" s="467"/>
      <c r="J37" s="467"/>
      <c r="K37" s="1671">
        <f t="shared" si="2"/>
        <v>173407</v>
      </c>
      <c r="L37" s="466">
        <v>171600</v>
      </c>
    </row>
    <row r="38" spans="1:14" x14ac:dyDescent="0.2">
      <c r="A38" s="1504" t="s">
        <v>198</v>
      </c>
      <c r="B38" s="614">
        <v>2130</v>
      </c>
      <c r="C38" s="466">
        <v>51187</v>
      </c>
      <c r="D38" s="466">
        <v>14199</v>
      </c>
      <c r="E38" s="466">
        <v>114</v>
      </c>
      <c r="F38" s="466">
        <v>903</v>
      </c>
      <c r="G38" s="466"/>
      <c r="H38" s="466">
        <v>85</v>
      </c>
      <c r="I38" s="467"/>
      <c r="J38" s="467"/>
      <c r="K38" s="1671">
        <f t="shared" si="2"/>
        <v>66488</v>
      </c>
      <c r="L38" s="466">
        <v>64700</v>
      </c>
    </row>
    <row r="39" spans="1:14" x14ac:dyDescent="0.2">
      <c r="A39" s="1504" t="s">
        <v>199</v>
      </c>
      <c r="B39" s="614">
        <v>2140</v>
      </c>
      <c r="C39" s="466">
        <v>66375</v>
      </c>
      <c r="D39" s="466">
        <v>20957</v>
      </c>
      <c r="E39" s="466">
        <v>2809</v>
      </c>
      <c r="F39" s="466">
        <v>614</v>
      </c>
      <c r="G39" s="466"/>
      <c r="H39" s="466"/>
      <c r="I39" s="467"/>
      <c r="J39" s="467"/>
      <c r="K39" s="1671">
        <f t="shared" si="2"/>
        <v>90755</v>
      </c>
      <c r="L39" s="466">
        <v>94525</v>
      </c>
    </row>
    <row r="40" spans="1:14" x14ac:dyDescent="0.2">
      <c r="A40" s="1504" t="s">
        <v>200</v>
      </c>
      <c r="B40" s="614">
        <v>2150</v>
      </c>
      <c r="C40" s="466">
        <v>67751</v>
      </c>
      <c r="D40" s="466">
        <v>12217</v>
      </c>
      <c r="E40" s="466">
        <v>233</v>
      </c>
      <c r="F40" s="466"/>
      <c r="G40" s="466"/>
      <c r="H40" s="466"/>
      <c r="I40" s="467"/>
      <c r="J40" s="467"/>
      <c r="K40" s="1671">
        <f t="shared" si="2"/>
        <v>80201</v>
      </c>
      <c r="L40" s="466">
        <v>83006</v>
      </c>
    </row>
    <row r="41" spans="1:14" x14ac:dyDescent="0.2">
      <c r="A41" s="1504" t="s">
        <v>1669</v>
      </c>
      <c r="B41" s="614">
        <v>2190</v>
      </c>
      <c r="C41" s="466"/>
      <c r="D41" s="466"/>
      <c r="E41" s="466">
        <v>361</v>
      </c>
      <c r="F41" s="466"/>
      <c r="G41" s="466"/>
      <c r="H41" s="466"/>
      <c r="I41" s="467"/>
      <c r="J41" s="467"/>
      <c r="K41" s="1671">
        <f t="shared" si="2"/>
        <v>361</v>
      </c>
      <c r="L41" s="466"/>
    </row>
    <row r="42" spans="1:14" ht="12.75" customHeight="1" thickBot="1" x14ac:dyDescent="0.25">
      <c r="A42" s="1668" t="s">
        <v>560</v>
      </c>
      <c r="B42" s="1669" t="s">
        <v>716</v>
      </c>
      <c r="C42" s="1670">
        <f>SUM(C36:C41)</f>
        <v>393329</v>
      </c>
      <c r="D42" s="1670">
        <f t="shared" ref="D42:L42" si="3">SUM(D36:D41)</f>
        <v>100079</v>
      </c>
      <c r="E42" s="1670">
        <f t="shared" si="3"/>
        <v>7207</v>
      </c>
      <c r="F42" s="1670">
        <f t="shared" si="3"/>
        <v>2475</v>
      </c>
      <c r="G42" s="1670">
        <f t="shared" si="3"/>
        <v>0</v>
      </c>
      <c r="H42" s="1670">
        <f t="shared" si="3"/>
        <v>198</v>
      </c>
      <c r="I42" s="1670">
        <f t="shared" si="3"/>
        <v>0</v>
      </c>
      <c r="J42" s="1670">
        <f t="shared" si="3"/>
        <v>0</v>
      </c>
      <c r="K42" s="1670">
        <f t="shared" si="3"/>
        <v>503288</v>
      </c>
      <c r="L42" s="1670">
        <f t="shared" si="3"/>
        <v>506223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91082</v>
      </c>
      <c r="D44" s="481">
        <v>27907</v>
      </c>
      <c r="E44" s="481">
        <v>2713</v>
      </c>
      <c r="F44" s="481">
        <v>5689</v>
      </c>
      <c r="G44" s="481"/>
      <c r="H44" s="481">
        <v>77709</v>
      </c>
      <c r="I44" s="467"/>
      <c r="J44" s="467"/>
      <c r="K44" s="1672">
        <f>SUM(C44:J44)</f>
        <v>205100</v>
      </c>
      <c r="L44" s="481">
        <v>206025</v>
      </c>
    </row>
    <row r="45" spans="1:14" x14ac:dyDescent="0.2">
      <c r="A45" s="1504" t="s">
        <v>815</v>
      </c>
      <c r="B45" s="614">
        <v>2220</v>
      </c>
      <c r="C45" s="466">
        <v>43036</v>
      </c>
      <c r="D45" s="466"/>
      <c r="E45" s="466"/>
      <c r="F45" s="466">
        <v>4910</v>
      </c>
      <c r="G45" s="466"/>
      <c r="H45" s="466">
        <v>5008</v>
      </c>
      <c r="I45" s="467"/>
      <c r="J45" s="467"/>
      <c r="K45" s="1672">
        <f>SUM(C45:J45)</f>
        <v>52954</v>
      </c>
      <c r="L45" s="466">
        <v>57900</v>
      </c>
    </row>
    <row r="46" spans="1:14" x14ac:dyDescent="0.2">
      <c r="A46" s="1504" t="s">
        <v>816</v>
      </c>
      <c r="B46" s="614">
        <v>2230</v>
      </c>
      <c r="C46" s="466"/>
      <c r="D46" s="466"/>
      <c r="E46" s="466"/>
      <c r="F46" s="466">
        <v>992</v>
      </c>
      <c r="G46" s="466"/>
      <c r="H46" s="466"/>
      <c r="I46" s="467"/>
      <c r="J46" s="467"/>
      <c r="K46" s="1672">
        <f>SUM(C46:J46)</f>
        <v>992</v>
      </c>
      <c r="L46" s="466"/>
    </row>
    <row r="47" spans="1:14" ht="12.75" customHeight="1" thickBot="1" x14ac:dyDescent="0.25">
      <c r="A47" s="1668" t="s">
        <v>561</v>
      </c>
      <c r="B47" s="1669" t="s">
        <v>32</v>
      </c>
      <c r="C47" s="1670">
        <f>SUM(C44:C46)</f>
        <v>134118</v>
      </c>
      <c r="D47" s="1670">
        <f t="shared" ref="D47:K47" si="4">SUM(D44:D46)</f>
        <v>27907</v>
      </c>
      <c r="E47" s="1670">
        <f t="shared" si="4"/>
        <v>2713</v>
      </c>
      <c r="F47" s="1670">
        <f t="shared" si="4"/>
        <v>11591</v>
      </c>
      <c r="G47" s="1670">
        <f t="shared" si="4"/>
        <v>0</v>
      </c>
      <c r="H47" s="1670">
        <f t="shared" si="4"/>
        <v>82717</v>
      </c>
      <c r="I47" s="1670">
        <f t="shared" si="4"/>
        <v>0</v>
      </c>
      <c r="J47" s="1670">
        <f t="shared" si="4"/>
        <v>0</v>
      </c>
      <c r="K47" s="1670">
        <f t="shared" si="4"/>
        <v>259046</v>
      </c>
      <c r="L47" s="1670">
        <f>SUM(L44:L46)</f>
        <v>263925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140476</v>
      </c>
      <c r="D49" s="481">
        <v>11514</v>
      </c>
      <c r="E49" s="481">
        <v>155404</v>
      </c>
      <c r="F49" s="481">
        <v>80539</v>
      </c>
      <c r="G49" s="481">
        <v>33915</v>
      </c>
      <c r="H49" s="481">
        <v>4720</v>
      </c>
      <c r="I49" s="467"/>
      <c r="J49" s="467"/>
      <c r="K49" s="1672">
        <f>SUM(C49:J49)</f>
        <v>426568</v>
      </c>
      <c r="L49" s="481">
        <v>467400</v>
      </c>
    </row>
    <row r="50" spans="1:14" x14ac:dyDescent="0.2">
      <c r="A50" s="1504" t="s">
        <v>818</v>
      </c>
      <c r="B50" s="614">
        <v>2320</v>
      </c>
      <c r="C50" s="466">
        <v>194150</v>
      </c>
      <c r="D50" s="466">
        <v>28460</v>
      </c>
      <c r="E50" s="466">
        <v>21409</v>
      </c>
      <c r="F50" s="466">
        <v>4982</v>
      </c>
      <c r="G50" s="466">
        <v>25971</v>
      </c>
      <c r="H50" s="466">
        <v>10552</v>
      </c>
      <c r="I50" s="467"/>
      <c r="J50" s="467"/>
      <c r="K50" s="1672">
        <f>SUM(C50:J50)</f>
        <v>285524</v>
      </c>
      <c r="L50" s="466">
        <v>286000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334626</v>
      </c>
      <c r="D53" s="1670">
        <f t="shared" ref="D53:L53" si="5">SUM(D49:D52)</f>
        <v>39974</v>
      </c>
      <c r="E53" s="1670">
        <f t="shared" si="5"/>
        <v>176813</v>
      </c>
      <c r="F53" s="1670">
        <f t="shared" si="5"/>
        <v>85521</v>
      </c>
      <c r="G53" s="1670">
        <f t="shared" si="5"/>
        <v>59886</v>
      </c>
      <c r="H53" s="1670">
        <f t="shared" si="5"/>
        <v>15272</v>
      </c>
      <c r="I53" s="1670">
        <f t="shared" si="5"/>
        <v>0</v>
      </c>
      <c r="J53" s="1670">
        <f t="shared" si="5"/>
        <v>0</v>
      </c>
      <c r="K53" s="1670">
        <f t="shared" si="5"/>
        <v>712092</v>
      </c>
      <c r="L53" s="1670">
        <f t="shared" si="5"/>
        <v>753400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404216</v>
      </c>
      <c r="D55" s="481">
        <v>91612</v>
      </c>
      <c r="E55" s="481">
        <v>4714</v>
      </c>
      <c r="F55" s="481">
        <v>13406</v>
      </c>
      <c r="G55" s="481">
        <v>30993</v>
      </c>
      <c r="H55" s="481">
        <v>655</v>
      </c>
      <c r="I55" s="467"/>
      <c r="J55" s="467"/>
      <c r="K55" s="1672">
        <f>SUM(C55:J55)</f>
        <v>545596</v>
      </c>
      <c r="L55" s="481">
        <v>580800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404216</v>
      </c>
      <c r="D57" s="1674">
        <f t="shared" ref="D57:K57" si="6">SUM(D55:D56)</f>
        <v>91612</v>
      </c>
      <c r="E57" s="1674">
        <f t="shared" si="6"/>
        <v>4714</v>
      </c>
      <c r="F57" s="1674">
        <f t="shared" si="6"/>
        <v>13406</v>
      </c>
      <c r="G57" s="1674">
        <f t="shared" si="6"/>
        <v>30993</v>
      </c>
      <c r="H57" s="1674">
        <f t="shared" si="6"/>
        <v>655</v>
      </c>
      <c r="I57" s="1674">
        <f t="shared" si="6"/>
        <v>0</v>
      </c>
      <c r="J57" s="1674">
        <f t="shared" si="6"/>
        <v>0</v>
      </c>
      <c r="K57" s="1674">
        <f t="shared" si="6"/>
        <v>545596</v>
      </c>
      <c r="L57" s="1670">
        <f>SUM(L55:L56)</f>
        <v>580800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42327</v>
      </c>
      <c r="D60" s="466">
        <v>14289</v>
      </c>
      <c r="E60" s="466">
        <v>9029</v>
      </c>
      <c r="F60" s="466"/>
      <c r="G60" s="466"/>
      <c r="H60" s="466"/>
      <c r="I60" s="467"/>
      <c r="J60" s="467"/>
      <c r="K60" s="1672">
        <f t="shared" si="7"/>
        <v>65645</v>
      </c>
      <c r="L60" s="466">
        <v>72600</v>
      </c>
      <c r="M60" s="609"/>
      <c r="N60" s="609"/>
    </row>
    <row r="61" spans="1:14" s="343" customFormat="1" x14ac:dyDescent="0.2">
      <c r="A61" s="1504" t="s">
        <v>197</v>
      </c>
      <c r="B61" s="614">
        <v>2540</v>
      </c>
      <c r="C61" s="466"/>
      <c r="D61" s="466"/>
      <c r="E61" s="466">
        <v>37132</v>
      </c>
      <c r="F61" s="466">
        <v>127164</v>
      </c>
      <c r="G61" s="466"/>
      <c r="H61" s="466"/>
      <c r="I61" s="467"/>
      <c r="J61" s="467"/>
      <c r="K61" s="1672">
        <f t="shared" si="7"/>
        <v>164296</v>
      </c>
      <c r="L61" s="466">
        <v>167500</v>
      </c>
      <c r="M61" s="609"/>
      <c r="N61" s="609"/>
    </row>
    <row r="62" spans="1:14" s="343" customFormat="1" x14ac:dyDescent="0.2">
      <c r="A62" s="1504" t="s">
        <v>953</v>
      </c>
      <c r="B62" s="614">
        <v>2550</v>
      </c>
      <c r="C62" s="466">
        <v>13256</v>
      </c>
      <c r="D62" s="466"/>
      <c r="E62" s="466"/>
      <c r="F62" s="466"/>
      <c r="G62" s="466"/>
      <c r="H62" s="466"/>
      <c r="I62" s="467"/>
      <c r="J62" s="467"/>
      <c r="K62" s="1672">
        <f t="shared" si="7"/>
        <v>13256</v>
      </c>
      <c r="L62" s="466">
        <v>15000</v>
      </c>
      <c r="M62" s="609"/>
      <c r="N62" s="609"/>
    </row>
    <row r="63" spans="1:14" s="609" customFormat="1" x14ac:dyDescent="0.2">
      <c r="A63" s="1504" t="s">
        <v>100</v>
      </c>
      <c r="B63" s="614">
        <v>2560</v>
      </c>
      <c r="C63" s="466">
        <v>132119</v>
      </c>
      <c r="D63" s="466">
        <v>3239</v>
      </c>
      <c r="E63" s="466">
        <v>3346</v>
      </c>
      <c r="F63" s="466">
        <v>148907</v>
      </c>
      <c r="G63" s="466"/>
      <c r="H63" s="466">
        <v>1872</v>
      </c>
      <c r="I63" s="467"/>
      <c r="J63" s="467"/>
      <c r="K63" s="1672">
        <f t="shared" si="7"/>
        <v>289483</v>
      </c>
      <c r="L63" s="466">
        <v>308000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187702</v>
      </c>
      <c r="D65" s="1670">
        <f t="shared" ref="D65:L65" si="8">SUM(D59:D64)</f>
        <v>17528</v>
      </c>
      <c r="E65" s="1670">
        <f t="shared" si="8"/>
        <v>49507</v>
      </c>
      <c r="F65" s="1670">
        <f t="shared" si="8"/>
        <v>276071</v>
      </c>
      <c r="G65" s="1670">
        <f t="shared" si="8"/>
        <v>0</v>
      </c>
      <c r="H65" s="1670">
        <f t="shared" si="8"/>
        <v>1872</v>
      </c>
      <c r="I65" s="1670">
        <f t="shared" si="8"/>
        <v>0</v>
      </c>
      <c r="J65" s="1670">
        <f t="shared" si="8"/>
        <v>0</v>
      </c>
      <c r="K65" s="1670">
        <f t="shared" si="8"/>
        <v>532680</v>
      </c>
      <c r="L65" s="1670">
        <f t="shared" si="8"/>
        <v>563100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1453991</v>
      </c>
      <c r="D74" s="1677">
        <f t="shared" ref="D74:K74" si="10">SUM(D42,D47,D53,D57,D65,D72,D73)</f>
        <v>277100</v>
      </c>
      <c r="E74" s="1677">
        <f t="shared" si="10"/>
        <v>240954</v>
      </c>
      <c r="F74" s="1677">
        <f t="shared" si="10"/>
        <v>389064</v>
      </c>
      <c r="G74" s="1677">
        <f t="shared" si="10"/>
        <v>90879</v>
      </c>
      <c r="H74" s="1677">
        <f t="shared" si="10"/>
        <v>100714</v>
      </c>
      <c r="I74" s="1677">
        <f t="shared" si="10"/>
        <v>0</v>
      </c>
      <c r="J74" s="1677">
        <f t="shared" si="10"/>
        <v>0</v>
      </c>
      <c r="K74" s="1677">
        <f t="shared" si="10"/>
        <v>2552702</v>
      </c>
      <c r="L74" s="1677">
        <f>SUM(L42,L47,L53,L57,L65,L72,L73)</f>
        <v>2667448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406</v>
      </c>
      <c r="I78" s="477"/>
      <c r="J78" s="477"/>
      <c r="K78" s="1671">
        <f t="shared" ref="K78:K83" si="11">SUM(C78:J78)</f>
        <v>406</v>
      </c>
      <c r="L78" s="481">
        <v>1000</v>
      </c>
    </row>
    <row r="79" spans="1:14" x14ac:dyDescent="0.2">
      <c r="A79" s="1504" t="s">
        <v>304</v>
      </c>
      <c r="B79" s="614">
        <v>4120</v>
      </c>
      <c r="C79" s="616"/>
      <c r="D79" s="616"/>
      <c r="E79" s="466">
        <f>6874+188173</f>
        <v>195047</v>
      </c>
      <c r="F79" s="616"/>
      <c r="G79" s="616"/>
      <c r="H79" s="466">
        <v>182966</v>
      </c>
      <c r="I79" s="477"/>
      <c r="J79" s="477"/>
      <c r="K79" s="1671">
        <f t="shared" si="11"/>
        <v>378013</v>
      </c>
      <c r="L79" s="466">
        <v>391000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78407</v>
      </c>
      <c r="I81" s="477"/>
      <c r="J81" s="477"/>
      <c r="K81" s="1671">
        <f t="shared" si="11"/>
        <v>78407</v>
      </c>
      <c r="L81" s="466">
        <v>72700</v>
      </c>
    </row>
    <row r="82" spans="1:12" x14ac:dyDescent="0.2">
      <c r="A82" s="1504" t="s">
        <v>86</v>
      </c>
      <c r="B82" s="614">
        <v>4170</v>
      </c>
      <c r="C82" s="616"/>
      <c r="D82" s="616"/>
      <c r="E82" s="466"/>
      <c r="F82" s="616"/>
      <c r="G82" s="616"/>
      <c r="H82" s="466">
        <v>11173</v>
      </c>
      <c r="I82" s="477"/>
      <c r="J82" s="477"/>
      <c r="K82" s="1671">
        <f t="shared" si="11"/>
        <v>11173</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195047</v>
      </c>
      <c r="F84" s="616"/>
      <c r="G84" s="616"/>
      <c r="H84" s="1670">
        <f>SUM(H78:H83)</f>
        <v>272952</v>
      </c>
      <c r="I84" s="477"/>
      <c r="J84" s="477"/>
      <c r="K84" s="1670">
        <f>SUM(K78:K83)</f>
        <v>467999</v>
      </c>
      <c r="L84" s="1670">
        <f>SUM(L78:L83)</f>
        <v>464700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195047</v>
      </c>
      <c r="F102" s="616"/>
      <c r="G102" s="616"/>
      <c r="H102" s="1677">
        <f>SUM(H84,H92,H100,H101)</f>
        <v>272952</v>
      </c>
      <c r="I102" s="477"/>
      <c r="J102" s="477"/>
      <c r="K102" s="1677">
        <f>SUM(K84,K92,K100,K101)</f>
        <v>467999</v>
      </c>
      <c r="L102" s="1677">
        <f>SUM(L84,L92,L100,L101)</f>
        <v>464700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5529105</v>
      </c>
      <c r="D114" s="1670">
        <f t="shared" ref="D114:K114" si="13">SUM(D33,D74,D75,D102,D112,D113)</f>
        <v>1251797</v>
      </c>
      <c r="E114" s="1670">
        <f t="shared" si="13"/>
        <v>590113</v>
      </c>
      <c r="F114" s="1670">
        <f t="shared" si="13"/>
        <v>506086</v>
      </c>
      <c r="G114" s="1670">
        <f t="shared" si="13"/>
        <v>94335</v>
      </c>
      <c r="H114" s="1670">
        <f>SUM(H33,H74,H75,H102,H112,H113)</f>
        <v>386648</v>
      </c>
      <c r="I114" s="1670">
        <f t="shared" si="13"/>
        <v>0</v>
      </c>
      <c r="J114" s="1670">
        <f t="shared" si="13"/>
        <v>0</v>
      </c>
      <c r="K114" s="1670">
        <f t="shared" si="13"/>
        <v>8358084</v>
      </c>
      <c r="L114" s="1670">
        <f>SUM(L33,L74,L75,L102,L112,L113)</f>
        <v>8678548</v>
      </c>
    </row>
    <row r="115" spans="1:14" ht="13.5" thickTop="1" x14ac:dyDescent="0.2">
      <c r="A115" s="2184" t="s">
        <v>996</v>
      </c>
      <c r="B115" s="2185"/>
      <c r="C115" s="618"/>
      <c r="D115" s="618"/>
      <c r="E115" s="618"/>
      <c r="F115" s="618"/>
      <c r="G115" s="618"/>
      <c r="H115" s="618"/>
      <c r="I115" s="618"/>
      <c r="J115" s="618"/>
      <c r="K115" s="1684">
        <f>'Revenues 9-14'!C268-'Expenditures 15-22'!K114</f>
        <v>-1590787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340433</v>
      </c>
      <c r="D124" s="466">
        <v>90163</v>
      </c>
      <c r="E124" s="466">
        <v>157138</v>
      </c>
      <c r="F124" s="466">
        <v>282861</v>
      </c>
      <c r="G124" s="466">
        <v>11411</v>
      </c>
      <c r="H124" s="466"/>
      <c r="I124" s="467"/>
      <c r="J124" s="467"/>
      <c r="K124" s="1670">
        <f>SUM(C124:J124)</f>
        <v>882006</v>
      </c>
      <c r="L124" s="466">
        <v>866500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340433</v>
      </c>
      <c r="D127" s="1670">
        <f t="shared" ref="D127:L127" si="14">SUM(D122:D126)</f>
        <v>90163</v>
      </c>
      <c r="E127" s="1670">
        <f t="shared" si="14"/>
        <v>157138</v>
      </c>
      <c r="F127" s="1670">
        <f t="shared" si="14"/>
        <v>282861</v>
      </c>
      <c r="G127" s="1670">
        <f t="shared" si="14"/>
        <v>11411</v>
      </c>
      <c r="H127" s="1670">
        <f t="shared" si="14"/>
        <v>0</v>
      </c>
      <c r="I127" s="1670">
        <f t="shared" si="14"/>
        <v>0</v>
      </c>
      <c r="J127" s="1670">
        <f t="shared" si="14"/>
        <v>0</v>
      </c>
      <c r="K127" s="1670">
        <f t="shared" si="14"/>
        <v>882006</v>
      </c>
      <c r="L127" s="1670">
        <f t="shared" si="14"/>
        <v>866500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340433</v>
      </c>
      <c r="D129" s="1677">
        <f t="shared" ref="D129:L129" si="15">SUM(D120,D127,D128)</f>
        <v>90163</v>
      </c>
      <c r="E129" s="1677">
        <f t="shared" si="15"/>
        <v>157138</v>
      </c>
      <c r="F129" s="1677">
        <f t="shared" si="15"/>
        <v>282861</v>
      </c>
      <c r="G129" s="1677">
        <f t="shared" si="15"/>
        <v>11411</v>
      </c>
      <c r="H129" s="1677">
        <f t="shared" si="15"/>
        <v>0</v>
      </c>
      <c r="I129" s="1677">
        <f t="shared" si="15"/>
        <v>0</v>
      </c>
      <c r="J129" s="1677">
        <f t="shared" si="15"/>
        <v>0</v>
      </c>
      <c r="K129" s="1677">
        <f t="shared" si="15"/>
        <v>882006</v>
      </c>
      <c r="L129" s="1677">
        <f t="shared" si="15"/>
        <v>866500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340433</v>
      </c>
      <c r="D151" s="1670">
        <f t="shared" ref="D151:K151" si="16">SUM(D129,D130,D139,D149,D150)</f>
        <v>90163</v>
      </c>
      <c r="E151" s="1670">
        <f t="shared" si="16"/>
        <v>157138</v>
      </c>
      <c r="F151" s="1670">
        <f t="shared" si="16"/>
        <v>282861</v>
      </c>
      <c r="G151" s="1670">
        <f t="shared" si="16"/>
        <v>11411</v>
      </c>
      <c r="H151" s="1670">
        <f t="shared" si="16"/>
        <v>0</v>
      </c>
      <c r="I151" s="1670">
        <f t="shared" si="16"/>
        <v>0</v>
      </c>
      <c r="J151" s="1670">
        <f t="shared" si="16"/>
        <v>0</v>
      </c>
      <c r="K151" s="1670">
        <f t="shared" si="16"/>
        <v>882006</v>
      </c>
      <c r="L151" s="1670">
        <f>SUM(L129,L130,L139,L149,L150)</f>
        <v>866500</v>
      </c>
    </row>
    <row r="152" spans="1:14" ht="12.75" customHeight="1" thickTop="1" x14ac:dyDescent="0.2">
      <c r="A152" s="2177" t="s">
        <v>1178</v>
      </c>
      <c r="B152" s="2178"/>
      <c r="C152" s="618"/>
      <c r="D152" s="618"/>
      <c r="E152" s="618"/>
      <c r="F152" s="618"/>
      <c r="G152" s="618"/>
      <c r="H152" s="618"/>
      <c r="I152" s="618"/>
      <c r="J152" s="616"/>
      <c r="K152" s="1684">
        <f>'Revenues 9-14'!D268-'Expenditures 15-22'!K151</f>
        <v>-361854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1151932</v>
      </c>
      <c r="I169" s="616"/>
      <c r="J169" s="616"/>
      <c r="K169" s="1671">
        <f>SUM(C169:H169)</f>
        <v>1151932</v>
      </c>
      <c r="L169" s="656">
        <v>1151932</v>
      </c>
    </row>
    <row r="170" spans="1:14" ht="33.75" customHeight="1" x14ac:dyDescent="0.2">
      <c r="A170" s="669" t="s">
        <v>1670</v>
      </c>
      <c r="B170" s="671" t="s">
        <v>31</v>
      </c>
      <c r="C170" s="616"/>
      <c r="D170" s="616"/>
      <c r="E170" s="616"/>
      <c r="F170" s="616"/>
      <c r="G170" s="616"/>
      <c r="H170" s="569">
        <v>368068</v>
      </c>
      <c r="I170" s="616"/>
      <c r="J170" s="616"/>
      <c r="K170" s="1671">
        <f>SUM(C170:J170)</f>
        <v>368068</v>
      </c>
      <c r="L170" s="569">
        <v>368068</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1520000</v>
      </c>
      <c r="I172" s="638"/>
      <c r="J172" s="616"/>
      <c r="K172" s="1677">
        <f>SUM(K168,K169,K170,K171)</f>
        <v>1520000</v>
      </c>
      <c r="L172" s="1677">
        <f>SUM(L168,L169,L170,L171)</f>
        <v>1520000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1520000</v>
      </c>
      <c r="I174" s="638"/>
      <c r="J174" s="616"/>
      <c r="K174" s="1677">
        <f>SUM(K160,K172,K173)</f>
        <v>1520000</v>
      </c>
      <c r="L174" s="1677">
        <f>SUM(L160,L172,L173)</f>
        <v>1520000</v>
      </c>
    </row>
    <row r="175" spans="1:14" ht="13.5" thickTop="1" x14ac:dyDescent="0.2">
      <c r="A175" s="2184" t="s">
        <v>996</v>
      </c>
      <c r="B175" s="2185"/>
      <c r="C175" s="616"/>
      <c r="D175" s="616"/>
      <c r="E175" s="616"/>
      <c r="F175" s="616"/>
      <c r="G175" s="616"/>
      <c r="H175" s="618"/>
      <c r="I175" s="616"/>
      <c r="J175" s="616"/>
      <c r="K175" s="1684">
        <f>'Revenues 9-14'!E268-'Expenditures 15-22'!K174</f>
        <v>-549145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v>25000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272388</v>
      </c>
      <c r="D182" s="466">
        <v>6723</v>
      </c>
      <c r="E182" s="466">
        <v>216760</v>
      </c>
      <c r="F182" s="466">
        <v>48931</v>
      </c>
      <c r="G182" s="466"/>
      <c r="H182" s="466"/>
      <c r="I182" s="467"/>
      <c r="J182" s="467"/>
      <c r="K182" s="1671">
        <f>SUM(C182:J182)</f>
        <v>544802</v>
      </c>
      <c r="L182" s="466">
        <v>524300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272388</v>
      </c>
      <c r="D184" s="1677">
        <f t="shared" ref="D184:J184" si="17">SUM(D180,D182,D183)</f>
        <v>6723</v>
      </c>
      <c r="E184" s="1677">
        <f t="shared" si="17"/>
        <v>216760</v>
      </c>
      <c r="F184" s="1677">
        <f t="shared" si="17"/>
        <v>48931</v>
      </c>
      <c r="G184" s="1677">
        <f t="shared" si="17"/>
        <v>0</v>
      </c>
      <c r="H184" s="1677">
        <f t="shared" si="17"/>
        <v>0</v>
      </c>
      <c r="I184" s="1677">
        <f t="shared" si="17"/>
        <v>0</v>
      </c>
      <c r="J184" s="1677">
        <f t="shared" si="17"/>
        <v>0</v>
      </c>
      <c r="K184" s="1677">
        <f>SUM(K180,K182,K183)</f>
        <v>544802</v>
      </c>
      <c r="L184" s="1677">
        <f>SUM(L180, L182:L183)</f>
        <v>549300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272388</v>
      </c>
      <c r="D210" s="1670">
        <f>SUM(D184,D185)</f>
        <v>6723</v>
      </c>
      <c r="E210" s="1670">
        <f>SUM(E184,E185,E196)</f>
        <v>216760</v>
      </c>
      <c r="F210" s="1670">
        <f>SUM(F184,F185)</f>
        <v>48931</v>
      </c>
      <c r="G210" s="1670">
        <f>SUM(G184,G185)</f>
        <v>0</v>
      </c>
      <c r="H210" s="1670">
        <f>SUM(H184,H185,H196,H208,H209)</f>
        <v>0</v>
      </c>
      <c r="I210" s="1670">
        <f>SUM(I184,I185)</f>
        <v>0</v>
      </c>
      <c r="J210" s="1670">
        <f>SUM(J184,J185)</f>
        <v>0</v>
      </c>
      <c r="K210" s="1671">
        <f>SUM(K184,K185,K196,K208,K209)</f>
        <v>544802</v>
      </c>
      <c r="L210" s="1670">
        <f>SUM(L184,L185,L196,L208,L209)</f>
        <v>549300</v>
      </c>
    </row>
    <row r="211" spans="1:14" ht="13.5" thickTop="1" x14ac:dyDescent="0.2">
      <c r="A211" s="2184" t="s">
        <v>996</v>
      </c>
      <c r="B211" s="2185"/>
      <c r="C211" s="618"/>
      <c r="D211" s="618"/>
      <c r="E211" s="618"/>
      <c r="F211" s="618"/>
      <c r="G211" s="618"/>
      <c r="H211" s="618"/>
      <c r="I211" s="616"/>
      <c r="J211" s="616"/>
      <c r="K211" s="1684">
        <f>'Revenues 9-14'!F268-'Expenditures 15-22'!K210</f>
        <v>-10962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42091</v>
      </c>
      <c r="E215" s="616"/>
      <c r="F215" s="616"/>
      <c r="G215" s="616"/>
      <c r="H215" s="616"/>
      <c r="I215" s="616"/>
      <c r="J215" s="616"/>
      <c r="K215" s="1671">
        <f>D215</f>
        <v>42091</v>
      </c>
      <c r="L215" s="466">
        <v>31200</v>
      </c>
    </row>
    <row r="216" spans="1:14" x14ac:dyDescent="0.2">
      <c r="A216" s="1504" t="s">
        <v>163</v>
      </c>
      <c r="B216" s="614" t="s">
        <v>967</v>
      </c>
      <c r="C216" s="616"/>
      <c r="D216" s="467"/>
      <c r="E216" s="616"/>
      <c r="F216" s="616"/>
      <c r="G216" s="616"/>
      <c r="H216" s="616"/>
      <c r="I216" s="616"/>
      <c r="J216" s="616"/>
      <c r="K216" s="1671">
        <f t="shared" ref="K216:K228" si="19">D216</f>
        <v>0</v>
      </c>
      <c r="L216" s="466">
        <v>12500</v>
      </c>
    </row>
    <row r="217" spans="1:14" x14ac:dyDescent="0.2">
      <c r="A217" s="1504" t="s">
        <v>164</v>
      </c>
      <c r="B217" s="614">
        <v>1200</v>
      </c>
      <c r="C217" s="616"/>
      <c r="D217" s="466">
        <v>71529</v>
      </c>
      <c r="E217" s="616"/>
      <c r="F217" s="616"/>
      <c r="G217" s="616"/>
      <c r="H217" s="616"/>
      <c r="I217" s="616"/>
      <c r="J217" s="616"/>
      <c r="K217" s="1671">
        <f t="shared" si="19"/>
        <v>71529</v>
      </c>
      <c r="L217" s="466">
        <v>79800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4583</v>
      </c>
      <c r="E219" s="616"/>
      <c r="F219" s="616"/>
      <c r="G219" s="616"/>
      <c r="H219" s="616"/>
      <c r="I219" s="616"/>
      <c r="J219" s="616"/>
      <c r="K219" s="1671">
        <f t="shared" si="19"/>
        <v>4583</v>
      </c>
      <c r="L219" s="466">
        <v>5600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1830</v>
      </c>
      <c r="E222" s="616"/>
      <c r="F222" s="616"/>
      <c r="G222" s="616"/>
      <c r="H222" s="616"/>
      <c r="I222" s="616"/>
      <c r="J222" s="616"/>
      <c r="K222" s="1671">
        <f t="shared" si="19"/>
        <v>1830</v>
      </c>
      <c r="L222" s="466">
        <v>1920</v>
      </c>
    </row>
    <row r="223" spans="1:14" x14ac:dyDescent="0.2">
      <c r="A223" s="1504" t="s">
        <v>963</v>
      </c>
      <c r="B223" s="614">
        <v>1500</v>
      </c>
      <c r="C223" s="616"/>
      <c r="D223" s="466">
        <v>10530</v>
      </c>
      <c r="E223" s="616"/>
      <c r="F223" s="616"/>
      <c r="G223" s="616"/>
      <c r="H223" s="616"/>
      <c r="I223" s="616"/>
      <c r="J223" s="616"/>
      <c r="K223" s="1671">
        <f t="shared" si="19"/>
        <v>10530</v>
      </c>
      <c r="L223" s="466">
        <v>9050</v>
      </c>
    </row>
    <row r="224" spans="1:14" x14ac:dyDescent="0.2">
      <c r="A224" s="1504" t="s">
        <v>964</v>
      </c>
      <c r="B224" s="614">
        <v>1600</v>
      </c>
      <c r="C224" s="616"/>
      <c r="D224" s="466">
        <v>59</v>
      </c>
      <c r="E224" s="616"/>
      <c r="F224" s="616"/>
      <c r="G224" s="616"/>
      <c r="H224" s="616"/>
      <c r="I224" s="616"/>
      <c r="J224" s="616"/>
      <c r="K224" s="1671">
        <f t="shared" si="19"/>
        <v>59</v>
      </c>
      <c r="L224" s="466">
        <v>150</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130622</v>
      </c>
      <c r="E229" s="616"/>
      <c r="F229" s="616"/>
      <c r="G229" s="616"/>
      <c r="H229" s="616"/>
      <c r="I229" s="616"/>
      <c r="J229" s="616"/>
      <c r="K229" s="1670">
        <f>SUM(K215:K228)</f>
        <v>130622</v>
      </c>
      <c r="L229" s="1670">
        <f>SUM(L215:L228)</f>
        <v>140220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905</v>
      </c>
      <c r="E232" s="616"/>
      <c r="F232" s="616"/>
      <c r="G232" s="616"/>
      <c r="H232" s="616"/>
      <c r="I232" s="616"/>
      <c r="J232" s="616"/>
      <c r="K232" s="1671">
        <f t="shared" ref="K232:K237" si="20">D232</f>
        <v>905</v>
      </c>
      <c r="L232" s="466">
        <v>900</v>
      </c>
    </row>
    <row r="233" spans="1:12" x14ac:dyDescent="0.2">
      <c r="A233" s="1504" t="s">
        <v>1090</v>
      </c>
      <c r="B233" s="614">
        <v>2120</v>
      </c>
      <c r="C233" s="616"/>
      <c r="D233" s="466">
        <v>1944</v>
      </c>
      <c r="E233" s="616"/>
      <c r="F233" s="616"/>
      <c r="G233" s="616"/>
      <c r="H233" s="616"/>
      <c r="I233" s="616"/>
      <c r="J233" s="616"/>
      <c r="K233" s="1671">
        <f t="shared" si="20"/>
        <v>1944</v>
      </c>
      <c r="L233" s="466">
        <v>2400</v>
      </c>
    </row>
    <row r="234" spans="1:12" x14ac:dyDescent="0.2">
      <c r="A234" s="1504" t="s">
        <v>198</v>
      </c>
      <c r="B234" s="614">
        <v>2130</v>
      </c>
      <c r="C234" s="616"/>
      <c r="D234" s="466">
        <v>7861</v>
      </c>
      <c r="E234" s="616"/>
      <c r="F234" s="616"/>
      <c r="G234" s="616"/>
      <c r="H234" s="616"/>
      <c r="I234" s="616"/>
      <c r="J234" s="616"/>
      <c r="K234" s="1671">
        <f t="shared" si="20"/>
        <v>7861</v>
      </c>
      <c r="L234" s="466">
        <v>8200</v>
      </c>
    </row>
    <row r="235" spans="1:12" x14ac:dyDescent="0.2">
      <c r="A235" s="1504" t="s">
        <v>199</v>
      </c>
      <c r="B235" s="614">
        <v>2140</v>
      </c>
      <c r="C235" s="616"/>
      <c r="D235" s="466">
        <v>853</v>
      </c>
      <c r="E235" s="616"/>
      <c r="F235" s="616"/>
      <c r="G235" s="616"/>
      <c r="H235" s="616"/>
      <c r="I235" s="616"/>
      <c r="J235" s="616"/>
      <c r="K235" s="1671">
        <f t="shared" si="20"/>
        <v>853</v>
      </c>
      <c r="L235" s="466">
        <v>850</v>
      </c>
    </row>
    <row r="236" spans="1:12" x14ac:dyDescent="0.2">
      <c r="A236" s="1504" t="s">
        <v>200</v>
      </c>
      <c r="B236" s="614">
        <v>2150</v>
      </c>
      <c r="C236" s="616"/>
      <c r="D236" s="466">
        <v>920</v>
      </c>
      <c r="E236" s="616"/>
      <c r="F236" s="616"/>
      <c r="G236" s="616"/>
      <c r="H236" s="616"/>
      <c r="I236" s="616"/>
      <c r="J236" s="616"/>
      <c r="K236" s="1671">
        <f t="shared" si="20"/>
        <v>920</v>
      </c>
      <c r="L236" s="466">
        <v>910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12483</v>
      </c>
      <c r="E238" s="616"/>
      <c r="F238" s="616"/>
      <c r="G238" s="616"/>
      <c r="H238" s="616"/>
      <c r="I238" s="616"/>
      <c r="J238" s="616"/>
      <c r="K238" s="1670">
        <f>SUM(K232:K237)</f>
        <v>12483</v>
      </c>
      <c r="L238" s="1670">
        <f>SUM(L232:L237)</f>
        <v>13260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1400</v>
      </c>
    </row>
    <row r="241" spans="1:12" x14ac:dyDescent="0.2">
      <c r="A241" s="1504" t="s">
        <v>815</v>
      </c>
      <c r="B241" s="614">
        <v>2220</v>
      </c>
      <c r="C241" s="616"/>
      <c r="D241" s="466">
        <v>7154</v>
      </c>
      <c r="E241" s="616"/>
      <c r="F241" s="616"/>
      <c r="G241" s="616"/>
      <c r="H241" s="616"/>
      <c r="I241" s="616"/>
      <c r="J241" s="616"/>
      <c r="K241" s="1672">
        <f>D241</f>
        <v>7154</v>
      </c>
      <c r="L241" s="466">
        <v>11400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7154</v>
      </c>
      <c r="E243" s="616"/>
      <c r="F243" s="616"/>
      <c r="G243" s="616"/>
      <c r="H243" s="616"/>
      <c r="I243" s="616"/>
      <c r="J243" s="616"/>
      <c r="K243" s="1670">
        <f>SUM(K240:K242)</f>
        <v>7154</v>
      </c>
      <c r="L243" s="1670">
        <f>SUM(L240:L242)</f>
        <v>12800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22598</v>
      </c>
      <c r="E245" s="616"/>
      <c r="F245" s="616"/>
      <c r="G245" s="616"/>
      <c r="H245" s="616"/>
      <c r="I245" s="616"/>
      <c r="J245" s="616"/>
      <c r="K245" s="1672">
        <f>D245</f>
        <v>22598</v>
      </c>
      <c r="L245" s="481">
        <v>24500</v>
      </c>
    </row>
    <row r="246" spans="1:12" x14ac:dyDescent="0.2">
      <c r="A246" s="1504" t="s">
        <v>818</v>
      </c>
      <c r="B246" s="614">
        <v>2320</v>
      </c>
      <c r="C246" s="616"/>
      <c r="D246" s="466">
        <v>9750</v>
      </c>
      <c r="E246" s="616"/>
      <c r="F246" s="616"/>
      <c r="G246" s="616"/>
      <c r="H246" s="616"/>
      <c r="I246" s="616"/>
      <c r="J246" s="616"/>
      <c r="K246" s="1672">
        <f t="shared" ref="K246:K256" si="21">D246</f>
        <v>9750</v>
      </c>
      <c r="L246" s="466">
        <v>10600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32348</v>
      </c>
      <c r="E257" s="616"/>
      <c r="F257" s="616"/>
      <c r="G257" s="616"/>
      <c r="H257" s="616"/>
      <c r="I257" s="616"/>
      <c r="J257" s="616"/>
      <c r="K257" s="1670">
        <f>SUM(K245:K256)</f>
        <v>32348</v>
      </c>
      <c r="L257" s="1670">
        <f>SUM(L245:L256)</f>
        <v>35100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22426</v>
      </c>
      <c r="E259" s="616"/>
      <c r="F259" s="616"/>
      <c r="G259" s="616"/>
      <c r="H259" s="616"/>
      <c r="I259" s="616"/>
      <c r="J259" s="616"/>
      <c r="K259" s="1672">
        <f>D259</f>
        <v>22426</v>
      </c>
      <c r="L259" s="481">
        <v>24700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22426</v>
      </c>
      <c r="E261" s="616"/>
      <c r="F261" s="616"/>
      <c r="G261" s="616"/>
      <c r="H261" s="616"/>
      <c r="I261" s="616"/>
      <c r="J261" s="616"/>
      <c r="K261" s="1670">
        <f>SUM(K259:K260)</f>
        <v>22426</v>
      </c>
      <c r="L261" s="1670">
        <f>SUM(L259:L260)</f>
        <v>24700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6438</v>
      </c>
      <c r="E264" s="616"/>
      <c r="F264" s="616"/>
      <c r="G264" s="616"/>
      <c r="H264" s="616"/>
      <c r="I264" s="616"/>
      <c r="J264" s="616"/>
      <c r="K264" s="1672">
        <f t="shared" ref="K264:K269" si="22">D264</f>
        <v>6438</v>
      </c>
      <c r="L264" s="466">
        <v>7300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53550</v>
      </c>
      <c r="E266" s="616"/>
      <c r="F266" s="616"/>
      <c r="G266" s="616"/>
      <c r="H266" s="616"/>
      <c r="I266" s="616"/>
      <c r="J266" s="616"/>
      <c r="K266" s="1672">
        <f t="shared" si="22"/>
        <v>53550</v>
      </c>
      <c r="L266" s="466">
        <v>65500</v>
      </c>
    </row>
    <row r="267" spans="1:14" x14ac:dyDescent="0.2">
      <c r="A267" s="1504" t="s">
        <v>953</v>
      </c>
      <c r="B267" s="614">
        <v>2550</v>
      </c>
      <c r="C267" s="616"/>
      <c r="D267" s="466">
        <v>36845</v>
      </c>
      <c r="E267" s="616"/>
      <c r="F267" s="616"/>
      <c r="G267" s="616"/>
      <c r="H267" s="616"/>
      <c r="I267" s="616"/>
      <c r="J267" s="616"/>
      <c r="K267" s="1672">
        <f t="shared" si="22"/>
        <v>36845</v>
      </c>
      <c r="L267" s="466">
        <v>47500</v>
      </c>
    </row>
    <row r="268" spans="1:14" x14ac:dyDescent="0.2">
      <c r="A268" s="1504" t="s">
        <v>100</v>
      </c>
      <c r="B268" s="614">
        <v>2560</v>
      </c>
      <c r="C268" s="616"/>
      <c r="D268" s="466">
        <v>21141</v>
      </c>
      <c r="E268" s="616"/>
      <c r="F268" s="616"/>
      <c r="G268" s="616"/>
      <c r="H268" s="616"/>
      <c r="I268" s="616"/>
      <c r="J268" s="616"/>
      <c r="K268" s="1672">
        <f t="shared" si="22"/>
        <v>21141</v>
      </c>
      <c r="L268" s="466">
        <v>25000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117974</v>
      </c>
      <c r="E270" s="616"/>
      <c r="F270" s="616"/>
      <c r="G270" s="616"/>
      <c r="H270" s="616"/>
      <c r="I270" s="616"/>
      <c r="J270" s="616"/>
      <c r="K270" s="1670">
        <f>SUM(K263:K269)</f>
        <v>117974</v>
      </c>
      <c r="L270" s="1670">
        <f>SUM(L263:L269)</f>
        <v>145300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192385</v>
      </c>
      <c r="E279" s="616"/>
      <c r="F279" s="616"/>
      <c r="G279" s="616"/>
      <c r="H279" s="616"/>
      <c r="I279" s="616"/>
      <c r="J279" s="616"/>
      <c r="K279" s="1677">
        <f>SUM(K238,K243,K257,K261,K270,K277,K278)</f>
        <v>192385</v>
      </c>
      <c r="L279" s="1677">
        <f>SUM(L238,L243,L257,L261,L270,L277,L278)</f>
        <v>231160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323007</v>
      </c>
      <c r="E295" s="616"/>
      <c r="F295" s="616"/>
      <c r="G295" s="616"/>
      <c r="H295" s="1670">
        <f>H293</f>
        <v>0</v>
      </c>
      <c r="I295" s="616"/>
      <c r="J295" s="616"/>
      <c r="K295" s="1670">
        <f>SUM(K229,K279,K280,K285,K293,K294)</f>
        <v>323007</v>
      </c>
      <c r="L295" s="1670">
        <f>SUM(L229,L279,L280,L285,L293,L294)</f>
        <v>371380</v>
      </c>
    </row>
    <row r="296" spans="1:14" ht="13.5" thickTop="1" x14ac:dyDescent="0.2">
      <c r="A296" s="2184" t="s">
        <v>996</v>
      </c>
      <c r="B296" s="2185"/>
      <c r="C296" s="616"/>
      <c r="D296" s="618"/>
      <c r="E296" s="616"/>
      <c r="F296" s="616"/>
      <c r="G296" s="616"/>
      <c r="H296" s="687"/>
      <c r="I296" s="616"/>
      <c r="J296" s="616"/>
      <c r="K296" s="1684">
        <f>'Revenues 9-14'!G268-'Expenditures 15-22'!K295</f>
        <v>-65626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10398</v>
      </c>
      <c r="F322" s="467"/>
      <c r="G322" s="467"/>
      <c r="H322" s="467"/>
      <c r="I322" s="467"/>
      <c r="J322" s="467"/>
      <c r="K322" s="1671">
        <f t="shared" si="24"/>
        <v>10398</v>
      </c>
      <c r="L322" s="467">
        <v>10398</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10398</v>
      </c>
      <c r="F330" s="1670">
        <f t="shared" si="25"/>
        <v>0</v>
      </c>
      <c r="G330" s="1670">
        <f t="shared" si="25"/>
        <v>0</v>
      </c>
      <c r="H330" s="1670">
        <f t="shared" si="25"/>
        <v>0</v>
      </c>
      <c r="I330" s="1670">
        <f t="shared" si="25"/>
        <v>0</v>
      </c>
      <c r="J330" s="1670">
        <f t="shared" si="25"/>
        <v>0</v>
      </c>
      <c r="K330" s="1670">
        <f>SUM(K319:K329)</f>
        <v>10398</v>
      </c>
      <c r="L330" s="1670">
        <f>SUM(L319:L329)</f>
        <v>10398</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10398</v>
      </c>
      <c r="F342" s="1670">
        <f>SUM(F330)</f>
        <v>0</v>
      </c>
      <c r="G342" s="1670">
        <f>SUM(G330)</f>
        <v>0</v>
      </c>
      <c r="H342" s="1670">
        <f>SUM(H330,H334,H340)</f>
        <v>0</v>
      </c>
      <c r="I342" s="1670">
        <f>SUM(I330)</f>
        <v>0</v>
      </c>
      <c r="J342" s="1670">
        <f>SUM(J330)</f>
        <v>0</v>
      </c>
      <c r="K342" s="1670">
        <f>SUM(K330,K334,K340)</f>
        <v>10398</v>
      </c>
      <c r="L342" s="1677">
        <f>SUM(L330,L340,L341)</f>
        <v>10398</v>
      </c>
    </row>
    <row r="343" spans="1:14" ht="12.75" customHeight="1" thickTop="1" x14ac:dyDescent="0.2">
      <c r="A343" s="2170" t="s">
        <v>996</v>
      </c>
      <c r="B343" s="2171"/>
      <c r="C343" s="616"/>
      <c r="D343" s="616"/>
      <c r="E343" s="616"/>
      <c r="F343" s="616"/>
      <c r="G343" s="616"/>
      <c r="H343" s="616"/>
      <c r="I343" s="616"/>
      <c r="J343" s="616"/>
      <c r="K343" s="1684">
        <f>'Revenues 9-14'!J268-'Expenditures 15-22'!K342</f>
        <v>-3354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215542</v>
      </c>
      <c r="F349" s="466"/>
      <c r="G349" s="466"/>
      <c r="H349" s="466"/>
      <c r="I349" s="467"/>
      <c r="J349" s="467"/>
      <c r="K349" s="1671">
        <f>SUM(C349:J349)</f>
        <v>215542</v>
      </c>
      <c r="L349" s="466">
        <v>215000</v>
      </c>
    </row>
    <row r="350" spans="1:14" ht="12.75" customHeight="1" thickBot="1" x14ac:dyDescent="0.25">
      <c r="A350" s="1668" t="s">
        <v>719</v>
      </c>
      <c r="B350" s="1669" t="s">
        <v>35</v>
      </c>
      <c r="C350" s="1670">
        <f>SUM(C348:C349)</f>
        <v>0</v>
      </c>
      <c r="D350" s="1670">
        <f t="shared" ref="D350:L350" si="26">SUM(D348:D349)</f>
        <v>0</v>
      </c>
      <c r="E350" s="1670">
        <f t="shared" si="26"/>
        <v>215542</v>
      </c>
      <c r="F350" s="1670">
        <f t="shared" si="26"/>
        <v>0</v>
      </c>
      <c r="G350" s="1670">
        <f t="shared" si="26"/>
        <v>0</v>
      </c>
      <c r="H350" s="1670">
        <f t="shared" si="26"/>
        <v>0</v>
      </c>
      <c r="I350" s="1670">
        <f t="shared" si="26"/>
        <v>0</v>
      </c>
      <c r="J350" s="1670">
        <f t="shared" si="26"/>
        <v>0</v>
      </c>
      <c r="K350" s="1670">
        <f t="shared" si="26"/>
        <v>215542</v>
      </c>
      <c r="L350" s="1670">
        <f t="shared" si="26"/>
        <v>215000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215542</v>
      </c>
      <c r="F352" s="1670">
        <f t="shared" si="27"/>
        <v>0</v>
      </c>
      <c r="G352" s="1670">
        <f t="shared" si="27"/>
        <v>0</v>
      </c>
      <c r="H352" s="1670">
        <f t="shared" si="27"/>
        <v>0</v>
      </c>
      <c r="I352" s="1670">
        <f t="shared" si="27"/>
        <v>0</v>
      </c>
      <c r="J352" s="1670">
        <f t="shared" si="27"/>
        <v>0</v>
      </c>
      <c r="K352" s="1670">
        <f t="shared" si="27"/>
        <v>215542</v>
      </c>
      <c r="L352" s="1670">
        <f t="shared" si="27"/>
        <v>215000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215542</v>
      </c>
      <c r="F367" s="1670">
        <f t="shared" si="28"/>
        <v>0</v>
      </c>
      <c r="G367" s="1670">
        <f t="shared" si="28"/>
        <v>0</v>
      </c>
      <c r="H367" s="1670">
        <f t="shared" si="28"/>
        <v>0</v>
      </c>
      <c r="I367" s="1670">
        <f t="shared" si="28"/>
        <v>0</v>
      </c>
      <c r="J367" s="1670">
        <f t="shared" si="28"/>
        <v>0</v>
      </c>
      <c r="K367" s="1670">
        <f t="shared" si="28"/>
        <v>215542</v>
      </c>
      <c r="L367" s="1670">
        <f t="shared" si="28"/>
        <v>215000</v>
      </c>
    </row>
    <row r="368" spans="1:14" ht="13.5" thickTop="1" x14ac:dyDescent="0.2">
      <c r="A368" s="2184" t="s">
        <v>996</v>
      </c>
      <c r="B368" s="2185"/>
      <c r="C368" s="654"/>
      <c r="D368" s="654"/>
      <c r="E368" s="626"/>
      <c r="F368" s="626"/>
      <c r="G368" s="626"/>
      <c r="H368" s="626"/>
      <c r="I368" s="626"/>
      <c r="J368" s="623"/>
      <c r="K368" s="1671">
        <f>'Revenues 9-14'!K268-'Expenditures 15-22'!K367</f>
        <v>-162931</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56" firstPageNumber="15" fitToHeight="0" orientation="landscape" useFirstPageNumber="1" r:id="rId1"/>
  <headerFooter alignWithMargins="0">
    <oddHeader>&amp;C&amp;"Arial,Bold"&amp;9STATEMENT OF EXPENDITURES DISBURSED, BUDGET TO ACTUAL
FOR THE YEAR ENDING JUNE 30, 2019</oddHeader>
    <oddFooter>&amp;L&amp;8Print Date: &amp;D
&amp;F&amp;CSee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E5" sqref="E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1951</v>
      </c>
      <c r="C2" s="714" t="s">
        <v>1952</v>
      </c>
      <c r="D2" s="714" t="s">
        <v>1953</v>
      </c>
      <c r="E2" s="714" t="s">
        <v>1954</v>
      </c>
      <c r="F2" s="714" t="s">
        <v>1955</v>
      </c>
    </row>
    <row r="3" spans="1:6" ht="12" customHeight="1" x14ac:dyDescent="0.2">
      <c r="A3" s="2187"/>
      <c r="B3" s="1525"/>
      <c r="C3" s="1526"/>
      <c r="D3" s="1527" t="s">
        <v>256</v>
      </c>
      <c r="E3" s="1526"/>
      <c r="F3" s="1527" t="s">
        <v>257</v>
      </c>
    </row>
    <row r="4" spans="1:6" ht="13.7" customHeight="1" x14ac:dyDescent="0.2">
      <c r="A4" s="715" t="s">
        <v>1155</v>
      </c>
      <c r="B4" s="1749">
        <f>'Revenues 9-14'!C5</f>
        <v>2417970</v>
      </c>
      <c r="C4" s="1524">
        <v>622834</v>
      </c>
      <c r="D4" s="1752">
        <f>B4-C4</f>
        <v>1795136</v>
      </c>
      <c r="E4" s="1524">
        <v>4022037</v>
      </c>
      <c r="F4" s="1752">
        <f>E4-C4</f>
        <v>3399203</v>
      </c>
    </row>
    <row r="5" spans="1:6" ht="13.7" customHeight="1" x14ac:dyDescent="0.2">
      <c r="A5" s="715" t="s">
        <v>870</v>
      </c>
      <c r="B5" s="1750">
        <f>'Revenues 9-14'!D5</f>
        <v>431355</v>
      </c>
      <c r="C5" s="585">
        <v>110793</v>
      </c>
      <c r="D5" s="1753">
        <f t="shared" ref="D5:D18" si="0">B5-C5</f>
        <v>320562</v>
      </c>
      <c r="E5" s="585">
        <v>715498</v>
      </c>
      <c r="F5" s="1753">
        <f>E5-C5</f>
        <v>604705</v>
      </c>
    </row>
    <row r="6" spans="1:6" ht="13.7" customHeight="1" x14ac:dyDescent="0.2">
      <c r="A6" s="715" t="s">
        <v>411</v>
      </c>
      <c r="B6" s="1750">
        <f>'Revenues 9-14'!E5</f>
        <v>956867</v>
      </c>
      <c r="C6" s="585">
        <v>250864</v>
      </c>
      <c r="D6" s="1753">
        <f t="shared" si="0"/>
        <v>706003</v>
      </c>
      <c r="E6" s="585">
        <v>1620078</v>
      </c>
      <c r="F6" s="1753">
        <f t="shared" ref="F6:F18" si="1">E6-C6</f>
        <v>1369214</v>
      </c>
    </row>
    <row r="7" spans="1:6" ht="13.7" customHeight="1" x14ac:dyDescent="0.2">
      <c r="A7" s="715" t="s">
        <v>155</v>
      </c>
      <c r="B7" s="1750">
        <f>'Revenues 9-14'!F5</f>
        <v>211154</v>
      </c>
      <c r="C7" s="585">
        <v>54377</v>
      </c>
      <c r="D7" s="1753">
        <f t="shared" si="0"/>
        <v>156777</v>
      </c>
      <c r="E7" s="585">
        <v>351166</v>
      </c>
      <c r="F7" s="1753">
        <f t="shared" si="1"/>
        <v>296789</v>
      </c>
    </row>
    <row r="8" spans="1:6" ht="13.7" customHeight="1" x14ac:dyDescent="0.2">
      <c r="A8" s="715" t="s">
        <v>1179</v>
      </c>
      <c r="B8" s="1750">
        <f>'Revenues 9-14'!G5</f>
        <v>113184</v>
      </c>
      <c r="C8" s="585">
        <v>27787</v>
      </c>
      <c r="D8" s="1753">
        <f t="shared" si="0"/>
        <v>85397</v>
      </c>
      <c r="E8" s="585">
        <v>179447</v>
      </c>
      <c r="F8" s="1753">
        <f t="shared" si="1"/>
        <v>151660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22705</v>
      </c>
      <c r="C10" s="585">
        <v>5864</v>
      </c>
      <c r="D10" s="1753">
        <f t="shared" si="0"/>
        <v>16841</v>
      </c>
      <c r="E10" s="585">
        <v>37874</v>
      </c>
      <c r="F10" s="1753">
        <f t="shared" si="1"/>
        <v>32010</v>
      </c>
    </row>
    <row r="11" spans="1:6" x14ac:dyDescent="0.2">
      <c r="A11" s="715" t="s">
        <v>409</v>
      </c>
      <c r="B11" s="1750">
        <f>'Revenues 9-14'!J5</f>
        <v>6514</v>
      </c>
      <c r="C11" s="585">
        <v>1684</v>
      </c>
      <c r="D11" s="1753">
        <f t="shared" si="0"/>
        <v>4830</v>
      </c>
      <c r="E11" s="585">
        <v>10876</v>
      </c>
      <c r="F11" s="1753">
        <f t="shared" si="1"/>
        <v>9192</v>
      </c>
    </row>
    <row r="12" spans="1:6" ht="13.7" customHeight="1" x14ac:dyDescent="0.2">
      <c r="A12" s="715" t="s">
        <v>157</v>
      </c>
      <c r="B12" s="1750">
        <f>'Revenues 9-14'!K5</f>
        <v>51245</v>
      </c>
      <c r="C12" s="585">
        <v>13207</v>
      </c>
      <c r="D12" s="1753">
        <f t="shared" si="0"/>
        <v>38038</v>
      </c>
      <c r="E12" s="585">
        <v>85287</v>
      </c>
      <c r="F12" s="1753">
        <f t="shared" si="1"/>
        <v>72080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21484</v>
      </c>
      <c r="C14" s="585">
        <v>5540</v>
      </c>
      <c r="D14" s="1753">
        <f t="shared" si="0"/>
        <v>15944</v>
      </c>
      <c r="E14" s="585">
        <v>35775</v>
      </c>
      <c r="F14" s="1753">
        <f t="shared" si="1"/>
        <v>30235</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101122</v>
      </c>
      <c r="C16" s="585">
        <v>25512</v>
      </c>
      <c r="D16" s="1753">
        <f t="shared" si="0"/>
        <v>75610</v>
      </c>
      <c r="E16" s="585">
        <v>164755</v>
      </c>
      <c r="F16" s="1753">
        <f t="shared" si="1"/>
        <v>139243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4333600</v>
      </c>
      <c r="C19" s="1751">
        <f>SUM(C4:C18)</f>
        <v>1118462</v>
      </c>
      <c r="D19" s="1751">
        <f>SUM(D4:D18)</f>
        <v>3215138</v>
      </c>
      <c r="E19" s="1751">
        <f>SUM(E4:E18)</f>
        <v>7222793</v>
      </c>
      <c r="F19" s="1751">
        <f>SUM(F4:F18)</f>
        <v>6104331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1956</v>
      </c>
      <c r="D2" s="723" t="s">
        <v>1957</v>
      </c>
      <c r="E2" s="723" t="s">
        <v>1958</v>
      </c>
      <c r="F2" s="1884" t="s">
        <v>1959</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1937" t="s">
        <v>2081</v>
      </c>
      <c r="B31" s="1938">
        <v>37061</v>
      </c>
      <c r="C31" s="1939">
        <v>6999972</v>
      </c>
      <c r="D31" s="1940">
        <v>6</v>
      </c>
      <c r="E31" s="734">
        <v>1085212</v>
      </c>
      <c r="F31" s="734"/>
      <c r="G31" s="734"/>
      <c r="H31" s="734">
        <v>368068</v>
      </c>
      <c r="I31" s="1756">
        <f>((E31+F31)-H31)+G31</f>
        <v>717144</v>
      </c>
      <c r="J31" s="734">
        <v>410038</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6999972</v>
      </c>
      <c r="D49" s="745"/>
      <c r="E49" s="1756">
        <f t="shared" ref="E49:J49" si="2">SUM(E31:E48)</f>
        <v>1085212</v>
      </c>
      <c r="F49" s="1756">
        <f t="shared" si="2"/>
        <v>0</v>
      </c>
      <c r="G49" s="1756">
        <f t="shared" si="2"/>
        <v>0</v>
      </c>
      <c r="H49" s="1756">
        <f t="shared" si="2"/>
        <v>368068</v>
      </c>
      <c r="I49" s="1756">
        <f t="shared" si="2"/>
        <v>717144</v>
      </c>
      <c r="J49" s="1756">
        <f t="shared" si="2"/>
        <v>410038</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1964</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21482</v>
      </c>
      <c r="I5" s="772"/>
      <c r="J5" s="773"/>
      <c r="K5" s="773"/>
    </row>
    <row r="6" spans="1:11" x14ac:dyDescent="0.2">
      <c r="A6" s="774" t="s">
        <v>720</v>
      </c>
      <c r="B6" s="775"/>
      <c r="C6" s="775"/>
      <c r="D6" s="775"/>
      <c r="E6" s="776"/>
      <c r="F6" s="777" t="s">
        <v>849</v>
      </c>
      <c r="G6" s="764"/>
      <c r="H6" s="764">
        <v>322</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21804</v>
      </c>
      <c r="I12" s="1758">
        <f>SUM(I5:I11)</f>
        <v>0</v>
      </c>
      <c r="J12" s="1758">
        <f>SUM(J5:J11)</f>
        <v>0</v>
      </c>
      <c r="K12" s="1758">
        <f>SUM(K5:K11)</f>
        <v>0</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v>21804</v>
      </c>
      <c r="I14" s="771"/>
      <c r="J14" s="773"/>
      <c r="K14" s="765"/>
    </row>
    <row r="15" spans="1:11" x14ac:dyDescent="0.2">
      <c r="A15" s="2217" t="s">
        <v>4</v>
      </c>
      <c r="B15" s="2217"/>
      <c r="C15" s="2217"/>
      <c r="D15" s="2217"/>
      <c r="E15" s="2245"/>
      <c r="F15" s="789" t="s">
        <v>855</v>
      </c>
      <c r="G15" s="771"/>
      <c r="H15" s="764"/>
      <c r="I15" s="764"/>
      <c r="J15" s="765"/>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21804</v>
      </c>
      <c r="I23" s="1758">
        <f>SUM(I14:I16,I21,I22)</f>
        <v>0</v>
      </c>
      <c r="J23" s="1758">
        <f>SUM(J14:J16,J21,J22)</f>
        <v>0</v>
      </c>
      <c r="K23" s="1758">
        <f>SUM(K14:K16,K21,K22)</f>
        <v>0</v>
      </c>
    </row>
    <row r="24" spans="1:11" ht="14.25" thickTop="1" thickBot="1" x14ac:dyDescent="0.25">
      <c r="A24" s="2238" t="s">
        <v>1965</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1909</v>
      </c>
      <c r="B1" s="2257"/>
      <c r="C1" s="2258"/>
      <c r="D1" s="826"/>
      <c r="E1" s="827"/>
      <c r="F1" s="827"/>
      <c r="G1" s="828"/>
      <c r="H1" s="829"/>
      <c r="I1" s="830"/>
      <c r="J1" s="2254"/>
      <c r="K1" s="2255"/>
      <c r="L1" s="2255"/>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c r="E3" s="835"/>
      <c r="F3" s="1760">
        <f>(C3+D3)-E3</f>
        <v>0</v>
      </c>
      <c r="G3" s="836"/>
      <c r="H3" s="835">
        <v>0</v>
      </c>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215049</v>
      </c>
      <c r="D5" s="841"/>
      <c r="E5" s="841"/>
      <c r="F5" s="1760">
        <f>(C5+D5)-E5</f>
        <v>215049</v>
      </c>
      <c r="G5" s="837"/>
      <c r="H5" s="842"/>
      <c r="I5" s="842"/>
      <c r="J5" s="842"/>
      <c r="K5" s="793"/>
      <c r="L5" s="1769">
        <f>F5-K5</f>
        <v>215049</v>
      </c>
    </row>
    <row r="6" spans="1:14" ht="14.25" thickTop="1" thickBot="1" x14ac:dyDescent="0.25">
      <c r="A6" s="778" t="s">
        <v>1117</v>
      </c>
      <c r="B6" s="840">
        <v>222</v>
      </c>
      <c r="C6" s="765">
        <v>0</v>
      </c>
      <c r="D6" s="765"/>
      <c r="E6" s="765"/>
      <c r="F6" s="1760">
        <f>(C6+D6)-E6</f>
        <v>0</v>
      </c>
      <c r="G6" s="837">
        <v>50</v>
      </c>
      <c r="H6" s="765">
        <v>0</v>
      </c>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21020631</v>
      </c>
      <c r="D8" s="844"/>
      <c r="E8" s="844"/>
      <c r="F8" s="1760">
        <f>(C8+D8)-E8</f>
        <v>21020631</v>
      </c>
      <c r="G8" s="843">
        <v>50</v>
      </c>
      <c r="H8" s="765">
        <v>7626527</v>
      </c>
      <c r="I8" s="765">
        <v>420413</v>
      </c>
      <c r="J8" s="765"/>
      <c r="K8" s="1769">
        <f>(H8+I8)-J8</f>
        <v>8046940</v>
      </c>
      <c r="L8" s="1769">
        <f>F8-K8</f>
        <v>12973691</v>
      </c>
    </row>
    <row r="9" spans="1:14" ht="14.25" thickTop="1" thickBot="1" x14ac:dyDescent="0.25">
      <c r="A9" s="778" t="s">
        <v>1119</v>
      </c>
      <c r="B9" s="840">
        <v>232</v>
      </c>
      <c r="C9" s="765">
        <v>0</v>
      </c>
      <c r="D9" s="765"/>
      <c r="E9" s="765"/>
      <c r="F9" s="1760">
        <f>(C9+D9)-E9</f>
        <v>0</v>
      </c>
      <c r="G9" s="843">
        <v>20</v>
      </c>
      <c r="H9" s="765">
        <v>0</v>
      </c>
      <c r="I9" s="765"/>
      <c r="J9" s="765"/>
      <c r="K9" s="1769">
        <f>(H9+I9)-J9</f>
        <v>0</v>
      </c>
      <c r="L9" s="1769">
        <f>F9-K9</f>
        <v>0</v>
      </c>
    </row>
    <row r="10" spans="1:14" ht="24" thickTop="1" thickBot="1" x14ac:dyDescent="0.25">
      <c r="A10" s="845" t="s">
        <v>1120</v>
      </c>
      <c r="B10" s="840">
        <v>240</v>
      </c>
      <c r="C10" s="846">
        <v>0</v>
      </c>
      <c r="D10" s="846"/>
      <c r="E10" s="846"/>
      <c r="F10" s="1764">
        <f>(C10+D10)-E10</f>
        <v>0</v>
      </c>
      <c r="G10" s="843">
        <v>20</v>
      </c>
      <c r="H10" s="847">
        <v>0</v>
      </c>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1426303</v>
      </c>
      <c r="D12" s="844">
        <v>105746</v>
      </c>
      <c r="E12" s="844">
        <v>136674</v>
      </c>
      <c r="F12" s="1760">
        <f>(C12+D12)-E12</f>
        <v>1395375</v>
      </c>
      <c r="G12" s="843">
        <v>10</v>
      </c>
      <c r="H12" s="765">
        <v>803637</v>
      </c>
      <c r="I12" s="765">
        <v>139538</v>
      </c>
      <c r="J12" s="765">
        <v>136674</v>
      </c>
      <c r="K12" s="1769">
        <f>(H12+I12)-J12</f>
        <v>806501</v>
      </c>
      <c r="L12" s="1769">
        <f>F12-K12</f>
        <v>588874</v>
      </c>
    </row>
    <row r="13" spans="1:14" ht="14.25" thickTop="1" thickBot="1" x14ac:dyDescent="0.25">
      <c r="A13" s="848" t="s">
        <v>1122</v>
      </c>
      <c r="B13" s="840">
        <v>252</v>
      </c>
      <c r="C13" s="844">
        <v>48314</v>
      </c>
      <c r="D13" s="844"/>
      <c r="E13" s="844">
        <v>20621</v>
      </c>
      <c r="F13" s="1760">
        <f>(C13+D13)-E13</f>
        <v>27693</v>
      </c>
      <c r="G13" s="843">
        <v>5</v>
      </c>
      <c r="H13" s="765">
        <v>26159</v>
      </c>
      <c r="I13" s="765">
        <v>5539</v>
      </c>
      <c r="J13" s="765">
        <v>20621</v>
      </c>
      <c r="K13" s="1769">
        <f>(H13+I13)-J13</f>
        <v>11077</v>
      </c>
      <c r="L13" s="1769">
        <f>F13-K13</f>
        <v>16616</v>
      </c>
    </row>
    <row r="14" spans="1:14" ht="14.25" thickTop="1" thickBot="1" x14ac:dyDescent="0.25">
      <c r="A14" s="848" t="s">
        <v>1123</v>
      </c>
      <c r="B14" s="840">
        <v>253</v>
      </c>
      <c r="C14" s="765">
        <v>0</v>
      </c>
      <c r="D14" s="765"/>
      <c r="E14" s="765"/>
      <c r="F14" s="1760">
        <f>(C14+D14)-E14</f>
        <v>0</v>
      </c>
      <c r="G14" s="843">
        <v>3</v>
      </c>
      <c r="H14" s="765">
        <v>0</v>
      </c>
      <c r="I14" s="765"/>
      <c r="J14" s="765"/>
      <c r="K14" s="1769">
        <f>(H14+I14)-J14</f>
        <v>0</v>
      </c>
      <c r="L14" s="1769">
        <f>F14-K14</f>
        <v>0</v>
      </c>
    </row>
    <row r="15" spans="1:14" ht="15" customHeight="1" thickTop="1" thickBot="1" x14ac:dyDescent="0.25">
      <c r="A15" s="1631" t="s">
        <v>528</v>
      </c>
      <c r="B15" s="1630">
        <v>260</v>
      </c>
      <c r="C15" s="844">
        <v>0</v>
      </c>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22710297</v>
      </c>
      <c r="D16" s="1760">
        <f>SUM(D3,D5:D6,D8:D10,D12:D15)</f>
        <v>105746</v>
      </c>
      <c r="E16" s="1760">
        <f>SUM(E3,E5:E6,E8:E10,E12:E15)</f>
        <v>157295</v>
      </c>
      <c r="F16" s="1760">
        <f>SUM(F3,F5:F6,F8:F10,F12:F15)</f>
        <v>22658748</v>
      </c>
      <c r="G16" s="843"/>
      <c r="H16" s="1760">
        <f>SUM(H3,H6,H8:H10,H12:H14,)</f>
        <v>8456323</v>
      </c>
      <c r="I16" s="1760">
        <f>SUM(I3,I6,I8:I10,I12:I14,)</f>
        <v>565490</v>
      </c>
      <c r="J16" s="1760">
        <f>SUM(J3,J6,J8:J10,J12:J14,)</f>
        <v>157295</v>
      </c>
      <c r="K16" s="1760">
        <f>(H16+I16)-J16</f>
        <v>8864518</v>
      </c>
      <c r="L16" s="1760">
        <f>F16-K16</f>
        <v>13794230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565490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45" activePane="bottomLeft" state="frozen"/>
      <selection activeCell="X29" sqref="X29"/>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1975</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8358084</v>
      </c>
      <c r="G8" s="865"/>
    </row>
    <row r="9" spans="1:7" x14ac:dyDescent="0.2">
      <c r="A9" s="869" t="s">
        <v>460</v>
      </c>
      <c r="B9" s="870" t="s">
        <v>1877</v>
      </c>
      <c r="C9" s="871"/>
      <c r="D9" s="869" t="s">
        <v>501</v>
      </c>
      <c r="E9" s="868"/>
      <c r="F9" s="1909">
        <f>'Expenditures 15-22'!K151</f>
        <v>882006</v>
      </c>
      <c r="G9" s="872"/>
    </row>
    <row r="10" spans="1:7" x14ac:dyDescent="0.2">
      <c r="A10" s="869" t="s">
        <v>499</v>
      </c>
      <c r="B10" s="870" t="s">
        <v>1878</v>
      </c>
      <c r="C10" s="871"/>
      <c r="D10" s="869" t="s">
        <v>501</v>
      </c>
      <c r="E10" s="868"/>
      <c r="F10" s="1909">
        <f>'Expenditures 15-22'!K174</f>
        <v>1520000</v>
      </c>
      <c r="G10" s="872"/>
    </row>
    <row r="11" spans="1:7" x14ac:dyDescent="0.2">
      <c r="A11" s="869" t="s">
        <v>461</v>
      </c>
      <c r="B11" s="870" t="s">
        <v>1879</v>
      </c>
      <c r="C11" s="871"/>
      <c r="D11" s="869" t="s">
        <v>501</v>
      </c>
      <c r="E11" s="868"/>
      <c r="F11" s="1909">
        <f>'Expenditures 15-22'!K210</f>
        <v>544802</v>
      </c>
      <c r="G11" s="872"/>
    </row>
    <row r="12" spans="1:7" x14ac:dyDescent="0.2">
      <c r="A12" s="869" t="s">
        <v>462</v>
      </c>
      <c r="B12" s="870" t="s">
        <v>1880</v>
      </c>
      <c r="C12" s="871"/>
      <c r="D12" s="869" t="s">
        <v>501</v>
      </c>
      <c r="E12" s="868"/>
      <c r="F12" s="1909">
        <f>'Expenditures 15-22'!K295</f>
        <v>323007</v>
      </c>
      <c r="G12" s="872"/>
    </row>
    <row r="13" spans="1:7" x14ac:dyDescent="0.2">
      <c r="A13" s="869" t="s">
        <v>106</v>
      </c>
      <c r="B13" s="870" t="s">
        <v>1881</v>
      </c>
      <c r="C13" s="871"/>
      <c r="D13" s="869" t="s">
        <v>501</v>
      </c>
      <c r="E13" s="868"/>
      <c r="F13" s="1909">
        <f>'Expenditures 15-22'!K342</f>
        <v>10398</v>
      </c>
      <c r="G13" s="873"/>
    </row>
    <row r="14" spans="1:7" ht="12" customHeight="1" thickBot="1" x14ac:dyDescent="0.25">
      <c r="A14" s="1770"/>
      <c r="B14" s="1771"/>
      <c r="C14" s="1772"/>
      <c r="D14" s="1773" t="s">
        <v>501</v>
      </c>
      <c r="E14" s="1774" t="s">
        <v>958</v>
      </c>
      <c r="F14" s="1775">
        <f>SUM(F8:F13)</f>
        <v>11638297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4793</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467999</v>
      </c>
      <c r="G53" s="865"/>
    </row>
    <row r="54" spans="1:7" x14ac:dyDescent="0.2">
      <c r="A54" s="869" t="s">
        <v>459</v>
      </c>
      <c r="B54" s="869" t="s">
        <v>1476</v>
      </c>
      <c r="C54" s="889" t="s">
        <v>982</v>
      </c>
      <c r="D54" s="885" t="s">
        <v>1095</v>
      </c>
      <c r="E54" s="868"/>
      <c r="F54" s="1913">
        <f>'Expenditures 15-22'!G114</f>
        <v>94335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11411</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368068</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59</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946665</v>
      </c>
      <c r="G76" s="865"/>
    </row>
    <row r="77" spans="1:8" s="893" customFormat="1" ht="12" customHeight="1" thickTop="1" thickBot="1" x14ac:dyDescent="0.25">
      <c r="A77" s="1779"/>
      <c r="B77" s="1776"/>
      <c r="C77" s="1772"/>
      <c r="D77" s="1777" t="s">
        <v>1900</v>
      </c>
      <c r="E77" s="1774"/>
      <c r="F77" s="1780">
        <f>(F14-F76)</f>
        <v>10691632</v>
      </c>
      <c r="G77" s="869"/>
    </row>
    <row r="78" spans="1:8" s="893" customFormat="1" ht="12" customHeight="1" thickTop="1" x14ac:dyDescent="0.2">
      <c r="A78" s="1781"/>
      <c r="B78" s="1776"/>
      <c r="C78" s="1772"/>
      <c r="D78" s="1777" t="s">
        <v>2062</v>
      </c>
      <c r="E78" s="1774"/>
      <c r="F78" s="898">
        <v>816</v>
      </c>
      <c r="G78" s="899"/>
      <c r="H78" s="869"/>
    </row>
    <row r="79" spans="1:8" s="893" customFormat="1" ht="12" customHeight="1" thickBot="1" x14ac:dyDescent="0.25">
      <c r="A79" s="1782"/>
      <c r="B79" s="1776"/>
      <c r="C79" s="1772"/>
      <c r="D79" s="1777" t="s">
        <v>1901</v>
      </c>
      <c r="E79" s="1774" t="s">
        <v>958</v>
      </c>
      <c r="F79" s="1783">
        <f>IF(F78&gt;0,F77/F78," Complete Line 78")</f>
        <v>13102.490196078432</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193781</v>
      </c>
      <c r="G94" s="912"/>
    </row>
    <row r="95" spans="1:7" x14ac:dyDescent="0.2">
      <c r="A95" s="908" t="s">
        <v>140</v>
      </c>
      <c r="B95" s="908" t="s">
        <v>175</v>
      </c>
      <c r="C95" s="910">
        <v>1700</v>
      </c>
      <c r="D95" s="918" t="str">
        <f>'Revenues 9-14'!A82</f>
        <v>Total District/School Activity Income</v>
      </c>
      <c r="E95" s="906"/>
      <c r="F95" s="1789">
        <f>SUM('Revenues 9-14'!C82,'Revenues 9-14'!D82)</f>
        <v>43920</v>
      </c>
      <c r="G95" s="912"/>
    </row>
    <row r="96" spans="1:7" x14ac:dyDescent="0.2">
      <c r="A96" s="908" t="s">
        <v>459</v>
      </c>
      <c r="B96" s="908" t="s">
        <v>176</v>
      </c>
      <c r="C96" s="910">
        <f>'Revenues 9-14'!B84</f>
        <v>1811</v>
      </c>
      <c r="D96" s="911" t="str">
        <f>'Revenues 9-14'!A84</f>
        <v>Rentals - Regular Textbooks</v>
      </c>
      <c r="E96" s="906"/>
      <c r="F96" s="1789">
        <f>'Revenues 9-14'!C84</f>
        <v>85615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676</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1920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42902</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22544</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1439</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307281</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1431</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98670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98740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155840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5906</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24141</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17437</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58972</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287459</v>
      </c>
      <c r="G171" s="927"/>
    </row>
    <row r="172" spans="1:7" x14ac:dyDescent="0.2">
      <c r="A172" s="1918" t="s">
        <v>664</v>
      </c>
      <c r="B172" s="1919" t="s">
        <v>1920</v>
      </c>
      <c r="C172" s="1920">
        <v>3300</v>
      </c>
      <c r="D172" s="1921" t="s">
        <v>1923</v>
      </c>
      <c r="E172" s="906"/>
      <c r="F172" s="1906">
        <v>169</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1448843</v>
      </c>
    </row>
    <row r="175" spans="1:7" ht="12" customHeight="1" x14ac:dyDescent="0.2">
      <c r="A175" s="1770"/>
      <c r="B175" s="1784"/>
      <c r="C175" s="1785"/>
      <c r="D175" s="1786" t="s">
        <v>2057</v>
      </c>
      <c r="E175" s="1787"/>
      <c r="F175" s="1789">
        <f>'PCTC-OEPP 27-28'!F77-F174</f>
        <v>9242789</v>
      </c>
    </row>
    <row r="176" spans="1:7" ht="12" customHeight="1" x14ac:dyDescent="0.2">
      <c r="A176" s="1770"/>
      <c r="B176" s="1784"/>
      <c r="C176" s="1785"/>
      <c r="D176" s="1786" t="s">
        <v>1817</v>
      </c>
      <c r="E176" s="1787"/>
      <c r="F176" s="1789">
        <f>'Cap Outlay Deprec 26'!I18</f>
        <v>565490</v>
      </c>
    </row>
    <row r="177" spans="1:7" ht="12" customHeight="1" x14ac:dyDescent="0.2">
      <c r="A177" s="1770"/>
      <c r="B177" s="1784"/>
      <c r="C177" s="1785"/>
      <c r="D177" s="1786" t="s">
        <v>2058</v>
      </c>
      <c r="E177" s="1787"/>
      <c r="F177" s="1789">
        <f>F175+F176</f>
        <v>9808279</v>
      </c>
    </row>
    <row r="178" spans="1:7" ht="12" customHeight="1" x14ac:dyDescent="0.2">
      <c r="A178" s="1770"/>
      <c r="B178" s="1790"/>
      <c r="C178" s="1785"/>
      <c r="D178" s="1786" t="str">
        <f>D78</f>
        <v>9 Month ADA from District Average Daily Attendance/Prior General State Aid Inquiry 2018-2019</v>
      </c>
      <c r="E178" s="1787"/>
      <c r="F178" s="1791">
        <f>'PCTC-OEPP 27-28'!F78</f>
        <v>816</v>
      </c>
      <c r="G178" s="930"/>
    </row>
    <row r="179" spans="1:7" ht="12" customHeight="1" thickBot="1" x14ac:dyDescent="0.25">
      <c r="A179" s="1770"/>
      <c r="B179" s="1790"/>
      <c r="C179" s="1785"/>
      <c r="D179" s="1786" t="s">
        <v>2059</v>
      </c>
      <c r="E179" s="1787" t="s">
        <v>1545</v>
      </c>
      <c r="F179" s="1792">
        <f>F177/F178</f>
        <v>12019.949754901962</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 xml:space="preserve">&amp;C </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0" zoomScaleNormal="100" workbookViewId="0">
      <selection activeCell="A18" sqref="A18"/>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534" t="s">
        <v>1819</v>
      </c>
      <c r="B6" s="1535"/>
      <c r="C6" s="1535"/>
      <c r="D6" s="1535"/>
      <c r="E6" s="1535"/>
      <c r="F6" s="1535"/>
      <c r="G6" s="1536"/>
    </row>
    <row r="7" spans="1:7" ht="30.75" customHeight="1" x14ac:dyDescent="0.25">
      <c r="A7" s="2279" t="s">
        <v>1932</v>
      </c>
      <c r="B7" s="2280"/>
      <c r="C7" s="2280"/>
      <c r="D7" s="2280"/>
      <c r="E7" s="2280"/>
      <c r="F7" s="2280"/>
      <c r="G7" s="2281"/>
    </row>
    <row r="8" spans="1:7" ht="15.75" customHeight="1" x14ac:dyDescent="0.25">
      <c r="A8" s="2282" t="s">
        <v>1907</v>
      </c>
      <c r="B8" s="2283"/>
      <c r="C8" s="2283"/>
      <c r="D8" s="2283"/>
      <c r="E8" s="2283"/>
      <c r="F8" s="2283"/>
      <c r="G8" s="2284"/>
    </row>
    <row r="9" spans="1:7" ht="35.25" customHeight="1" x14ac:dyDescent="0.25">
      <c r="A9" s="2279" t="s">
        <v>1935</v>
      </c>
      <c r="B9" s="2280"/>
      <c r="C9" s="2280"/>
      <c r="D9" s="2280"/>
      <c r="E9" s="2280"/>
      <c r="F9" s="2280"/>
      <c r="G9" s="2281"/>
    </row>
    <row r="10" spans="1:7" ht="15" customHeight="1" x14ac:dyDescent="0.25">
      <c r="A10" s="1537" t="s">
        <v>1820</v>
      </c>
      <c r="B10" s="1538"/>
      <c r="C10" s="1538"/>
      <c r="D10" s="1538"/>
      <c r="E10" s="1538"/>
      <c r="F10" s="1538"/>
      <c r="G10" s="1539"/>
    </row>
    <row r="11" spans="1:7" ht="17.25" customHeight="1" x14ac:dyDescent="0.25">
      <c r="A11" s="2279" t="s">
        <v>1934</v>
      </c>
      <c r="B11" s="2280"/>
      <c r="C11" s="2280"/>
      <c r="D11" s="2280"/>
      <c r="E11" s="2280"/>
      <c r="F11" s="2280"/>
      <c r="G11" s="2281"/>
    </row>
    <row r="12" spans="1:7" ht="15" customHeight="1" x14ac:dyDescent="0.25">
      <c r="A12" s="1537" t="s">
        <v>1825</v>
      </c>
      <c r="B12" s="1538"/>
      <c r="C12" s="1538"/>
      <c r="D12" s="1538"/>
      <c r="E12" s="1538"/>
      <c r="F12" s="1538"/>
      <c r="G12" s="1539"/>
    </row>
    <row r="13" spans="1:7" ht="32.25" customHeight="1" x14ac:dyDescent="0.25">
      <c r="A13" s="2270" t="s">
        <v>1976</v>
      </c>
      <c r="B13" s="2271"/>
      <c r="C13" s="2271"/>
      <c r="D13" s="2271"/>
      <c r="E13" s="2271"/>
      <c r="F13" s="2271"/>
      <c r="G13" s="2272"/>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1" t="s">
        <v>2082</v>
      </c>
      <c r="B17" s="1942" t="s">
        <v>2083</v>
      </c>
      <c r="C17" s="1943" t="s">
        <v>2083</v>
      </c>
      <c r="D17" s="1844">
        <v>0</v>
      </c>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90" t="s">
        <v>1977</v>
      </c>
      <c r="B11" s="2291"/>
      <c r="C11" s="2291"/>
      <c r="D11" s="2292"/>
      <c r="E11" s="977">
        <v>21239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5464549</v>
      </c>
      <c r="F19" s="1799"/>
      <c r="G19" s="1801">
        <f>'Expenditures 15-22'!K33-SUM('Expenditures 15-22'!G33,'Expenditures 15-22'!I33)+'Expenditures 15-22'!D229</f>
        <v>5464549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515771</v>
      </c>
      <c r="F21" s="1802"/>
      <c r="G21" s="1805">
        <f>'Expenditures 15-22'!K42-SUM('Expenditures 15-22'!G42,'Expenditures 15-22'!I42)+'Expenditures 15-22'!K120-SUM('Expenditures 15-22'!G120,'Expenditures 15-22'!I120)+'Expenditures 15-22'!K180-SUM('Expenditures 15-22'!G180,'Expenditures 15-22'!I180)+'Expenditures 15-22'!D238</f>
        <v>515771</v>
      </c>
      <c r="H21" s="987"/>
      <c r="I21" s="162"/>
    </row>
    <row r="22" spans="1:9" s="668" customFormat="1" ht="12" customHeight="1" x14ac:dyDescent="0.2">
      <c r="A22" s="994" t="s">
        <v>564</v>
      </c>
      <c r="B22" s="995"/>
      <c r="C22" s="993">
        <v>2200</v>
      </c>
      <c r="D22" s="1802"/>
      <c r="E22" s="1804">
        <f>'Expenditures 15-22'!K47-SUM('Expenditures 15-22'!G47,'Expenditures 15-22'!I47)+'Expenditures 15-22'!D243</f>
        <v>266200</v>
      </c>
      <c r="F22" s="1802"/>
      <c r="G22" s="1805">
        <f>'Expenditures 15-22'!K47-SUM('Expenditures 15-22'!G47,'Expenditures 15-22'!I47)+'Expenditures 15-22'!D243</f>
        <v>266200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694952</v>
      </c>
      <c r="F23" s="1802"/>
      <c r="G23" s="1804">
        <f>'Expenditures 15-22'!K53-SUM('Expenditures 15-22'!G53,'Expenditures 15-22'!I53)+'Expenditures 15-22'!D257+'Expenditures 15-22'!K330-SUM('Expenditures 15-22'!G330,'Expenditures 15-22'!I330)</f>
        <v>694952</v>
      </c>
      <c r="H23" s="987"/>
      <c r="I23" s="162"/>
    </row>
    <row r="24" spans="1:9" s="668" customFormat="1" ht="12" customHeight="1" x14ac:dyDescent="0.2">
      <c r="A24" s="994" t="s">
        <v>566</v>
      </c>
      <c r="B24" s="995"/>
      <c r="C24" s="993">
        <v>2400</v>
      </c>
      <c r="D24" s="1802"/>
      <c r="E24" s="1804">
        <f>'Expenditures 15-22'!K57-SUM('Expenditures 15-22'!G57,'Expenditures 15-22'!I57)+'Expenditures 15-22'!D261</f>
        <v>537029</v>
      </c>
      <c r="F24" s="1802"/>
      <c r="G24" s="1805">
        <f>'Expenditures 15-22'!K57-SUM('Expenditures 15-22'!G57,'Expenditures 15-22'!I57)+'Expenditures 15-22'!D261</f>
        <v>537029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72083</v>
      </c>
      <c r="E27" s="1804">
        <f>E8</f>
        <v>0</v>
      </c>
      <c r="F27" s="1804">
        <f>'Expenditures 15-22'!K60-SUM('Expenditures 15-22'!G60,'Expenditures 15-22'!I60)+'Expenditures 15-22'!D264-E8</f>
        <v>72083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1088441</v>
      </c>
      <c r="F28" s="1806">
        <f>'Expenditures 15-22'!K61-SUM('Expenditures 15-22'!G61,'Expenditures 15-22'!I61)+'Expenditures 15-22'!K124-SUM('Expenditures 15-22'!G124,'Expenditures 15-22'!I124)+'Expenditures 15-22'!D266-E9</f>
        <v>1088441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594903</v>
      </c>
      <c r="F29" s="1802"/>
      <c r="G29" s="1805">
        <f>'Expenditures 15-22'!K62-SUM('Expenditures 15-22'!G62,'Expenditures 15-22'!I62)+'Expenditures 15-22'!K125-SUM('Expenditures 15-22'!G125,'Expenditures 15-22'!I125)+'Expenditures 15-22'!K182-SUM('Expenditures 15-22'!G182,'Expenditures 15-22'!I182)+'Expenditures 15-22'!D267</f>
        <v>594903</v>
      </c>
      <c r="H29" s="985"/>
    </row>
    <row r="30" spans="1:9" ht="12" customHeight="1" x14ac:dyDescent="0.2">
      <c r="A30" s="994" t="s">
        <v>100</v>
      </c>
      <c r="B30" s="997"/>
      <c r="C30" s="993">
        <v>2560</v>
      </c>
      <c r="D30" s="1802"/>
      <c r="E30" s="1804">
        <f>'Expenditures 15-22'!K63-SUM('Expenditures 15-22'!G63,'Expenditures 15-22'!I63)+'Expenditures 15-22'!D268-E10</f>
        <v>310624</v>
      </c>
      <c r="F30" s="1802"/>
      <c r="G30" s="1804">
        <f>'Expenditures 15-22'!K63-SUM('Expenditures 15-22'!G63,'Expenditures 15-22'!I63)+'Expenditures 15-22'!D268-E10</f>
        <v>310624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72083</v>
      </c>
      <c r="E41" s="1806">
        <f>SUM(E19:E40)</f>
        <v>9472469</v>
      </c>
      <c r="F41" s="1806">
        <f>SUM(F19:F39)</f>
        <v>1160524</v>
      </c>
      <c r="G41" s="1806">
        <f>SUM(G19:G40)</f>
        <v>8384028</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72083</v>
      </c>
      <c r="F43" s="1807" t="s">
        <v>473</v>
      </c>
      <c r="G43" s="1808">
        <f>F41</f>
        <v>1160524</v>
      </c>
    </row>
    <row r="44" spans="1:7" ht="12" customHeight="1" x14ac:dyDescent="0.2">
      <c r="A44" s="987"/>
      <c r="B44" s="162"/>
      <c r="C44" s="1001"/>
      <c r="D44" s="1807" t="s">
        <v>474</v>
      </c>
      <c r="E44" s="1808">
        <f>E41</f>
        <v>9472469</v>
      </c>
      <c r="F44" s="1807" t="s">
        <v>474</v>
      </c>
      <c r="G44" s="1808">
        <f>G41</f>
        <v>8384028</v>
      </c>
    </row>
    <row r="45" spans="1:7" ht="12" customHeight="1" x14ac:dyDescent="0.2">
      <c r="A45" s="987"/>
      <c r="B45" s="162"/>
      <c r="C45" s="162"/>
      <c r="D45" s="1809" t="s">
        <v>1006</v>
      </c>
      <c r="E45" s="1810">
        <f>(E43/E44)</f>
        <v>7.6097372290160042E-3</v>
      </c>
      <c r="F45" s="1809" t="s">
        <v>1006</v>
      </c>
      <c r="G45" s="1810">
        <f>(G43/G44)</f>
        <v>0.13842081634269351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11" activePane="bottomLeft" state="frozen"/>
      <selection activeCell="X29" sqref="X29"/>
      <selection pane="bottomLeft" activeCell="D18" sqref="D1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Pecatonica CUSD 321</v>
      </c>
      <c r="D6" s="2300"/>
      <c r="E6" s="2300"/>
      <c r="F6" s="1852"/>
    </row>
    <row r="7" spans="1:10" ht="11.25" customHeight="1" thickBot="1" x14ac:dyDescent="0.3">
      <c r="A7" s="1850"/>
      <c r="B7" s="1851"/>
      <c r="C7" s="2301">
        <f>COVER!A13</f>
        <v>4101321026</v>
      </c>
      <c r="D7" s="2301"/>
      <c r="E7" s="2301"/>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2072</v>
      </c>
      <c r="D26" s="1865" t="s">
        <v>2072</v>
      </c>
      <c r="E26" s="1868"/>
      <c r="F26" s="1867" t="s">
        <v>2084</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2072</v>
      </c>
      <c r="D31" s="1865" t="s">
        <v>2072</v>
      </c>
      <c r="E31" s="1868"/>
      <c r="F31" s="1867" t="s">
        <v>2085</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F4" colorId="8" zoomScale="110" zoomScaleNormal="110" workbookViewId="0">
      <selection activeCell="J18" sqref="J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Pecatonica CUSD 321</v>
      </c>
      <c r="J6" s="2321"/>
      <c r="Q6" s="1664"/>
    </row>
    <row r="7" spans="1:17" x14ac:dyDescent="0.2">
      <c r="A7" s="2322" t="s">
        <v>869</v>
      </c>
      <c r="B7" s="2323"/>
      <c r="C7" s="2323"/>
      <c r="D7" s="2323"/>
      <c r="E7" s="2324"/>
      <c r="F7" s="1017"/>
      <c r="G7" s="1009"/>
      <c r="H7" s="1016" t="s">
        <v>372</v>
      </c>
      <c r="I7" s="2325">
        <f>COVER!A13</f>
        <v>4101321026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285524</v>
      </c>
      <c r="F12" s="1039"/>
      <c r="G12" s="1811">
        <f t="shared" ref="G12:G18" si="0">SUM(E12:F12)</f>
        <v>285524</v>
      </c>
      <c r="H12" s="1040">
        <v>298500</v>
      </c>
      <c r="I12" s="1039"/>
      <c r="J12" s="1811">
        <f t="shared" ref="J12:J18" si="1">SUM(H12:I12)</f>
        <v>298500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285524</v>
      </c>
      <c r="F19" s="1813">
        <f t="shared" si="2"/>
        <v>0</v>
      </c>
      <c r="G19" s="1813">
        <f t="shared" si="2"/>
        <v>285524</v>
      </c>
      <c r="H19" s="1813">
        <f t="shared" si="2"/>
        <v>298500</v>
      </c>
      <c r="I19" s="1813">
        <f t="shared" si="2"/>
        <v>0</v>
      </c>
      <c r="J19" s="1813">
        <f t="shared" si="2"/>
        <v>298500</v>
      </c>
    </row>
    <row r="20" spans="1:10" ht="13.5" thickTop="1" x14ac:dyDescent="0.2">
      <c r="A20" s="1035">
        <v>9</v>
      </c>
      <c r="B20" s="2332" t="s">
        <v>1981</v>
      </c>
      <c r="C20" s="2332"/>
      <c r="D20" s="2333"/>
      <c r="E20" s="1046"/>
      <c r="F20" s="1046"/>
      <c r="G20" s="1046"/>
      <c r="H20" s="1046"/>
      <c r="I20" s="1046"/>
      <c r="J20" s="1814">
        <f>IF(AND(G19&gt;0,J19&gt;0),(((J19-G19)/G19)),"Enter Budget Data")</f>
        <v>4.5446267213964497E-2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1983</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2087</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Pecatonica CUSD 321</v>
      </c>
    </row>
    <row r="65" spans="2:2" x14ac:dyDescent="0.2">
      <c r="B65" s="1070">
        <f>COVER!A13</f>
        <v>4101321026</v>
      </c>
    </row>
  </sheetData>
  <phoneticPr fontId="15" type="noConversion"/>
  <pageMargins left="0.2" right="0.2" top="1.17" bottom="0.75" header="0.19" footer="0.16"/>
  <pageSetup scale="80" firstPageNumber="32" orientation="portrait" useFirstPageNumber="1" r:id="rId1"/>
  <headerFooter alignWithMargins="0">
    <oddHeader xml:space="preserve">&amp;C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X29" sqref="X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5841" r:id="rId4">
          <objectPr defaultSize="0" r:id="rId5">
            <anchor moveWithCells="1">
              <from>
                <xdr:col>1</xdr:col>
                <xdr:colOff>533400</xdr:colOff>
                <xdr:row>2</xdr:row>
                <xdr:rowOff>114300</xdr:rowOff>
              </from>
              <to>
                <xdr:col>1</xdr:col>
                <xdr:colOff>1447800</xdr:colOff>
                <xdr:row>6</xdr:row>
                <xdr:rowOff>152400</xdr:rowOff>
              </to>
            </anchor>
          </objectPr>
        </oleObject>
      </mc:Choice>
      <mc:Fallback>
        <oleObject progId="Acrobat.Document.2015"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X29" sqref="X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1987</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1988</v>
      </c>
      <c r="B4" s="2360"/>
      <c r="C4" s="2360"/>
      <c r="D4" s="2360"/>
      <c r="E4" s="2360"/>
      <c r="F4" s="2361"/>
      <c r="G4" s="1074"/>
      <c r="H4" s="1074"/>
    </row>
    <row r="5" spans="1:8" ht="14.25" customHeight="1" x14ac:dyDescent="0.2">
      <c r="A5" s="2362" t="s">
        <v>1984</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6767297</v>
      </c>
      <c r="C8" s="1815">
        <f>'Acct Summary 7-8'!D8</f>
        <v>520152</v>
      </c>
      <c r="D8" s="1815">
        <f>'Acct Summary 7-8'!F8</f>
        <v>533840</v>
      </c>
      <c r="E8" s="1815">
        <f>'Acct Summary 7-8'!I8</f>
        <v>37340</v>
      </c>
      <c r="F8" s="1815">
        <f>SUM(B8:E8)</f>
        <v>7858629</v>
      </c>
    </row>
    <row r="9" spans="1:8" s="1079" customFormat="1" ht="14.25" customHeight="1" thickBot="1" x14ac:dyDescent="0.25">
      <c r="A9" s="1078" t="s">
        <v>1369</v>
      </c>
      <c r="B9" s="1816">
        <f>'Acct Summary 7-8'!C17</f>
        <v>8358084</v>
      </c>
      <c r="C9" s="1816">
        <f>'Acct Summary 7-8'!D17</f>
        <v>882006</v>
      </c>
      <c r="D9" s="1816">
        <f>'Acct Summary 7-8'!F17</f>
        <v>544802</v>
      </c>
      <c r="E9" s="1815"/>
      <c r="F9" s="1815">
        <f>SUM(B9:E9)</f>
        <v>9784892</v>
      </c>
    </row>
    <row r="10" spans="1:8" s="1079" customFormat="1" ht="14.25" thickTop="1" thickBot="1" x14ac:dyDescent="0.25">
      <c r="A10" s="1080" t="s">
        <v>1370</v>
      </c>
      <c r="B10" s="1817">
        <f>(B8-B9)</f>
        <v>-1590787</v>
      </c>
      <c r="C10" s="1817">
        <f>(C8-C9)</f>
        <v>-361854</v>
      </c>
      <c r="D10" s="1817">
        <f>(D8-D9)</f>
        <v>-10962</v>
      </c>
      <c r="E10" s="1816">
        <f>(E8-E9)</f>
        <v>37340</v>
      </c>
      <c r="F10" s="1818">
        <f>SUM(F8-F9)</f>
        <v>-1926263</v>
      </c>
    </row>
    <row r="11" spans="1:8" s="1079" customFormat="1" ht="14.25" thickTop="1" thickBot="1" x14ac:dyDescent="0.25">
      <c r="A11" s="1081" t="s">
        <v>1985</v>
      </c>
      <c r="B11" s="1819">
        <f>'Acct Summary 7-8'!C81</f>
        <v>5755617</v>
      </c>
      <c r="C11" s="1819">
        <f>'Acct Summary 7-8'!D81</f>
        <v>722210</v>
      </c>
      <c r="D11" s="1819">
        <f>'Acct Summary 7-8'!F81</f>
        <v>793608</v>
      </c>
      <c r="E11" s="1819">
        <f>'Acct Summary 7-8'!I81</f>
        <v>802599</v>
      </c>
      <c r="F11" s="1820">
        <f>SUM(B11:E11)</f>
        <v>8074034</v>
      </c>
    </row>
    <row r="12" spans="1:8" ht="16.5" customHeight="1" thickTop="1" x14ac:dyDescent="0.2">
      <c r="A12" s="1082"/>
      <c r="B12" s="1083"/>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5" colorId="8" zoomScale="110" zoomScaleNormal="110" workbookViewId="0">
      <selection activeCell="D57" sqref="D5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4101321026</v>
      </c>
    </row>
    <row r="3" spans="1:2" x14ac:dyDescent="0.2">
      <c r="A3" t="s">
        <v>956</v>
      </c>
      <c r="B3" s="138" t="str">
        <f>COVER!A15</f>
        <v>Winnebago</v>
      </c>
    </row>
    <row r="4" spans="1:2" x14ac:dyDescent="0.2">
      <c r="A4" t="s">
        <v>1007</v>
      </c>
      <c r="B4" s="138" t="str">
        <f>COVER!A17</f>
        <v>Pecatonica CUSD 321</v>
      </c>
    </row>
    <row r="5" spans="1:2" x14ac:dyDescent="0.2">
      <c r="A5" t="s">
        <v>704</v>
      </c>
      <c r="B5" s="138" t="str">
        <f>COVER!A38</f>
        <v>William Faller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066-004023</v>
      </c>
    </row>
    <row r="16" spans="1:2" x14ac:dyDescent="0.2">
      <c r="A16" t="s">
        <v>422</v>
      </c>
      <c r="B16" s="138" t="str">
        <f>COVER!T13</f>
        <v>Wipfli LLP</v>
      </c>
    </row>
    <row r="17" spans="1:2" x14ac:dyDescent="0.2">
      <c r="A17" t="s">
        <v>884</v>
      </c>
      <c r="B17" s="138" t="str">
        <f>COVER!T15</f>
        <v>Matthew Schueler</v>
      </c>
    </row>
    <row r="18" spans="1:2" x14ac:dyDescent="0.2">
      <c r="A18" t="s">
        <v>1150</v>
      </c>
      <c r="B18" s="138" t="str">
        <f>COVER!T17</f>
        <v>403 East 3rd Street</v>
      </c>
    </row>
    <row r="19" spans="1:2" x14ac:dyDescent="0.2">
      <c r="A19" t="s">
        <v>886</v>
      </c>
      <c r="B19" s="138" t="str">
        <f>COVER!T25</f>
        <v>mschueler@wipfli.com</v>
      </c>
    </row>
    <row r="20" spans="1:2" x14ac:dyDescent="0.2">
      <c r="A20" t="s">
        <v>887</v>
      </c>
      <c r="B20" s="138" t="str">
        <f>COVER!T19</f>
        <v>Sterling</v>
      </c>
    </row>
    <row r="21" spans="1:2" x14ac:dyDescent="0.2">
      <c r="A21" t="s">
        <v>479</v>
      </c>
      <c r="B21" s="138" t="str">
        <f>COVER!X19</f>
        <v>IL</v>
      </c>
    </row>
    <row r="22" spans="1:2" x14ac:dyDescent="0.2">
      <c r="A22" t="s">
        <v>888</v>
      </c>
      <c r="B22" s="138">
        <f>COVER!Z19</f>
        <v>61081</v>
      </c>
    </row>
    <row r="23" spans="1:2" x14ac:dyDescent="0.2">
      <c r="A23" t="s">
        <v>1152</v>
      </c>
      <c r="B23" s="138" t="str">
        <f>COVER!T21</f>
        <v>815-626-1277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5661076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5755621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v>
      </c>
      <c r="C91" s="2" t="s">
        <v>573</v>
      </c>
      <c r="D91" s="2" t="str">
        <f t="shared" si="0"/>
        <v>Error?</v>
      </c>
    </row>
    <row r="92" spans="1:4" x14ac:dyDescent="0.2">
      <c r="A92" s="5">
        <v>31</v>
      </c>
      <c r="B92" s="138">
        <f>'Assets-Liab 5-6'!C39</f>
        <v>5697775</v>
      </c>
      <c r="D92" s="2" t="str">
        <f t="shared" si="0"/>
        <v>Error?</v>
      </c>
    </row>
    <row r="93" spans="1:4" x14ac:dyDescent="0.2">
      <c r="A93" s="5">
        <v>32</v>
      </c>
      <c r="B93" s="138">
        <f>'Assets-Liab 5-6'!C41</f>
        <v>5755621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716448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725128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2918</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2918</v>
      </c>
      <c r="C122" s="2" t="s">
        <v>573</v>
      </c>
      <c r="D122" s="2" t="str">
        <f t="shared" si="0"/>
        <v>Error?</v>
      </c>
    </row>
    <row r="123" spans="1:4" x14ac:dyDescent="0.2">
      <c r="A123" s="5">
        <v>62</v>
      </c>
      <c r="B123" s="138">
        <f>'Assets-Liab 5-6'!D39</f>
        <v>722210</v>
      </c>
      <c r="D123" s="2" t="str">
        <f t="shared" si="0"/>
        <v>Error?</v>
      </c>
    </row>
    <row r="124" spans="1:4" x14ac:dyDescent="0.2">
      <c r="A124" s="5">
        <v>63</v>
      </c>
      <c r="B124" s="138">
        <f>'Assets-Liab 5-6'!D41</f>
        <v>725128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306906</v>
      </c>
      <c r="D129" s="2" t="str">
        <f t="shared" si="1"/>
        <v>Error?</v>
      </c>
    </row>
    <row r="130" spans="1:4" x14ac:dyDescent="0.2">
      <c r="A130" s="5">
        <v>69</v>
      </c>
      <c r="B130" s="138">
        <f>'Assets-Liab 5-6'!E12</f>
        <v>0</v>
      </c>
      <c r="D130" s="2" t="str">
        <f t="shared" si="1"/>
        <v>Error?</v>
      </c>
    </row>
    <row r="131" spans="1:4" x14ac:dyDescent="0.2">
      <c r="A131" s="5">
        <v>70</v>
      </c>
      <c r="B131" s="138">
        <f>'Assets-Liab 5-6'!E13</f>
        <v>307106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307106</v>
      </c>
      <c r="D140" s="2" t="str">
        <f t="shared" si="1"/>
        <v>Error?</v>
      </c>
    </row>
    <row r="141" spans="1:4" x14ac:dyDescent="0.2">
      <c r="A141" s="5">
        <v>80</v>
      </c>
      <c r="B141" s="138">
        <f>'Assets-Liab 5-6'!E41</f>
        <v>307106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792750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794596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988</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988</v>
      </c>
      <c r="C169" s="2" t="s">
        <v>573</v>
      </c>
      <c r="D169" s="2" t="str">
        <f t="shared" si="1"/>
        <v>Error?</v>
      </c>
    </row>
    <row r="170" spans="1:4" x14ac:dyDescent="0.2">
      <c r="A170" s="5">
        <v>109</v>
      </c>
      <c r="B170" s="138">
        <f>'Assets-Liab 5-6'!F39</f>
        <v>793608</v>
      </c>
      <c r="D170" s="2" t="str">
        <f t="shared" si="1"/>
        <v>Error?</v>
      </c>
    </row>
    <row r="171" spans="1:4" x14ac:dyDescent="0.2">
      <c r="A171" s="5">
        <v>110</v>
      </c>
      <c r="B171" s="138">
        <f>'Assets-Liab 5-6'!F41</f>
        <v>794596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729763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729947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4052</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4052</v>
      </c>
      <c r="C188" s="2" t="s">
        <v>573</v>
      </c>
      <c r="D188" s="2" t="str">
        <f t="shared" si="1"/>
        <v>Error?</v>
      </c>
    </row>
    <row r="189" spans="1:4" x14ac:dyDescent="0.2">
      <c r="A189" s="5">
        <v>128</v>
      </c>
      <c r="B189" s="138">
        <f>'Assets-Liab 5-6'!G39</f>
        <v>316741</v>
      </c>
      <c r="D189" s="2" t="str">
        <f t="shared" si="1"/>
        <v>Error?</v>
      </c>
    </row>
    <row r="190" spans="1:4" x14ac:dyDescent="0.2">
      <c r="A190" s="5">
        <v>129</v>
      </c>
      <c r="B190" s="138">
        <f>'Assets-Liab 5-6'!G41</f>
        <v>729947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215049</v>
      </c>
      <c r="D273" s="2" t="str">
        <f t="shared" si="3"/>
        <v>Error?</v>
      </c>
    </row>
    <row r="274" spans="1:4" x14ac:dyDescent="0.2">
      <c r="A274" s="5">
        <v>213</v>
      </c>
      <c r="B274" s="138">
        <f>'Assets-Liab 5-6'!M17</f>
        <v>21020631</v>
      </c>
      <c r="D274" s="2" t="str">
        <f t="shared" si="3"/>
        <v>Error?</v>
      </c>
    </row>
    <row r="275" spans="1:4" x14ac:dyDescent="0.2">
      <c r="A275" s="5">
        <v>214</v>
      </c>
      <c r="B275" s="138">
        <f>'Assets-Liab 5-6'!M18</f>
        <v>0</v>
      </c>
      <c r="D275" s="2" t="str">
        <f t="shared" si="3"/>
        <v>Error?</v>
      </c>
    </row>
    <row r="276" spans="1:4" x14ac:dyDescent="0.2">
      <c r="A276" s="5">
        <v>215</v>
      </c>
      <c r="B276" s="138">
        <f>'Assets-Liab 5-6'!M19</f>
        <v>1423068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22658748</v>
      </c>
      <c r="C279" s="2" t="s">
        <v>573</v>
      </c>
      <c r="D279" s="2" t="str">
        <f t="shared" si="3"/>
        <v>Error?</v>
      </c>
    </row>
    <row r="280" spans="1:4" x14ac:dyDescent="0.2">
      <c r="A280" s="5">
        <v>219</v>
      </c>
      <c r="B280" s="138">
        <f>'Assets-Liab 5-6'!M40</f>
        <v>22658748</v>
      </c>
      <c r="D280" s="2" t="str">
        <f t="shared" si="3"/>
        <v>Error?</v>
      </c>
    </row>
    <row r="281" spans="1:4" x14ac:dyDescent="0.2">
      <c r="A281" s="5">
        <v>220</v>
      </c>
      <c r="B281" s="138">
        <f>'Assets-Liab 5-6'!M41</f>
        <v>22658748</v>
      </c>
      <c r="C281" s="2" t="s">
        <v>573</v>
      </c>
      <c r="D281" s="2" t="str">
        <f t="shared" si="3"/>
        <v>Error?</v>
      </c>
    </row>
    <row r="282" spans="1:4" x14ac:dyDescent="0.2">
      <c r="A282" s="5">
        <v>221</v>
      </c>
      <c r="B282" s="138">
        <f>'Assets-Liab 5-6'!N21</f>
        <v>307106</v>
      </c>
      <c r="D282" s="2" t="str">
        <f t="shared" si="3"/>
        <v>Error?</v>
      </c>
    </row>
    <row r="283" spans="1:4" x14ac:dyDescent="0.2">
      <c r="A283" s="5">
        <v>222</v>
      </c>
      <c r="B283" s="138">
        <f>'Assets-Liab 5-6'!N22</f>
        <v>410038</v>
      </c>
      <c r="D283" s="2" t="str">
        <f t="shared" si="3"/>
        <v>Error?</v>
      </c>
    </row>
    <row r="284" spans="1:4" x14ac:dyDescent="0.2">
      <c r="A284" s="5">
        <v>223</v>
      </c>
      <c r="B284" s="138">
        <f>'Assets-Liab 5-6'!N23</f>
        <v>717144</v>
      </c>
      <c r="C284" s="2" t="s">
        <v>573</v>
      </c>
      <c r="D284" s="2" t="str">
        <f t="shared" si="3"/>
        <v>Error?</v>
      </c>
    </row>
    <row r="285" spans="1:4" x14ac:dyDescent="0.2">
      <c r="A285" s="5">
        <v>224</v>
      </c>
      <c r="B285" s="138">
        <f>'Assets-Liab 5-6'!N36</f>
        <v>717144</v>
      </c>
      <c r="D285" s="2" t="str">
        <f t="shared" si="3"/>
        <v>Error?</v>
      </c>
    </row>
    <row r="286" spans="1:4" x14ac:dyDescent="0.2">
      <c r="A286" s="10">
        <v>225</v>
      </c>
      <c r="D286" s="2" t="str">
        <f t="shared" si="3"/>
        <v>OK</v>
      </c>
    </row>
    <row r="287" spans="1:4" x14ac:dyDescent="0.2">
      <c r="A287" s="5">
        <v>226</v>
      </c>
      <c r="B287" s="138">
        <f>'Assets-Liab 5-6'!N37</f>
        <v>717144</v>
      </c>
      <c r="C287" s="2" t="s">
        <v>573</v>
      </c>
      <c r="D287" s="2" t="str">
        <f t="shared" si="3"/>
        <v>Error?</v>
      </c>
    </row>
    <row r="288" spans="1:4" x14ac:dyDescent="0.2">
      <c r="A288" s="5">
        <v>227</v>
      </c>
      <c r="B288" s="138">
        <f>'Assets-Liab 5-6'!N41</f>
        <v>717144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2738580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128746</v>
      </c>
      <c r="D717" s="2" t="str">
        <f t="shared" si="10"/>
        <v>Error?</v>
      </c>
    </row>
    <row r="718" spans="1:4" x14ac:dyDescent="0.2">
      <c r="A718" s="5">
        <v>657</v>
      </c>
      <c r="B718" s="138">
        <f>'Expenditures 15-22'!C14</f>
        <v>189488</v>
      </c>
      <c r="D718" s="2" t="str">
        <f t="shared" si="10"/>
        <v>Error?</v>
      </c>
    </row>
    <row r="719" spans="1:4" x14ac:dyDescent="0.2">
      <c r="A719" s="5">
        <v>658</v>
      </c>
      <c r="B719" s="138">
        <f>'Expenditures 15-22'!C15</f>
        <v>4350</v>
      </c>
      <c r="D719" s="2" t="str">
        <f t="shared" si="10"/>
        <v>Error?</v>
      </c>
    </row>
    <row r="720" spans="1:4" x14ac:dyDescent="0.2">
      <c r="A720" s="5">
        <v>659</v>
      </c>
      <c r="B720" s="138">
        <f>'Expenditures 15-22'!C33</f>
        <v>4075114</v>
      </c>
      <c r="C720" s="2" t="s">
        <v>573</v>
      </c>
      <c r="D720" s="2" t="str">
        <f t="shared" si="10"/>
        <v>Error?</v>
      </c>
    </row>
    <row r="721" spans="1:4" x14ac:dyDescent="0.2">
      <c r="A721" s="5">
        <v>660</v>
      </c>
      <c r="B721" s="138">
        <f>'Expenditures 15-22'!C36</f>
        <v>69630</v>
      </c>
      <c r="D721" s="2" t="str">
        <f t="shared" si="10"/>
        <v>Error?</v>
      </c>
    </row>
    <row r="722" spans="1:4" x14ac:dyDescent="0.2">
      <c r="A722" s="5">
        <v>661</v>
      </c>
      <c r="B722" s="138">
        <f>'Expenditures 15-22'!C37</f>
        <v>138386</v>
      </c>
      <c r="D722" s="2" t="str">
        <f t="shared" si="10"/>
        <v>Error?</v>
      </c>
    </row>
    <row r="723" spans="1:4" x14ac:dyDescent="0.2">
      <c r="A723" s="5">
        <v>662</v>
      </c>
      <c r="B723" s="138">
        <f>'Expenditures 15-22'!C38</f>
        <v>51187</v>
      </c>
      <c r="D723" s="2" t="str">
        <f t="shared" si="10"/>
        <v>Error?</v>
      </c>
    </row>
    <row r="724" spans="1:4" x14ac:dyDescent="0.2">
      <c r="A724" s="5">
        <v>663</v>
      </c>
      <c r="B724" s="138">
        <f>'Expenditures 15-22'!C39</f>
        <v>66375</v>
      </c>
      <c r="D724" s="2" t="str">
        <f t="shared" si="10"/>
        <v>Error?</v>
      </c>
    </row>
    <row r="725" spans="1:4" x14ac:dyDescent="0.2">
      <c r="A725" s="5">
        <v>664</v>
      </c>
      <c r="B725" s="138">
        <f>'Expenditures 15-22'!C40</f>
        <v>67751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393329</v>
      </c>
      <c r="C727" s="2" t="s">
        <v>573</v>
      </c>
      <c r="D727" s="2" t="str">
        <f t="shared" si="10"/>
        <v>Error?</v>
      </c>
    </row>
    <row r="728" spans="1:4" x14ac:dyDescent="0.2">
      <c r="A728" s="5">
        <v>667</v>
      </c>
      <c r="B728" s="138">
        <f>'Expenditures 15-22'!C44</f>
        <v>91082</v>
      </c>
      <c r="D728" s="2" t="str">
        <f t="shared" si="10"/>
        <v>Error?</v>
      </c>
    </row>
    <row r="729" spans="1:4" x14ac:dyDescent="0.2">
      <c r="A729" s="5">
        <v>668</v>
      </c>
      <c r="B729" s="138">
        <f>'Expenditures 15-22'!C45</f>
        <v>43036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134118</v>
      </c>
      <c r="C731" s="2" t="s">
        <v>573</v>
      </c>
      <c r="D731" s="2" t="str">
        <f t="shared" si="10"/>
        <v>Error?</v>
      </c>
    </row>
    <row r="732" spans="1:4" x14ac:dyDescent="0.2">
      <c r="A732" s="5">
        <v>671</v>
      </c>
      <c r="B732" s="138">
        <f>'Expenditures 15-22'!C49</f>
        <v>140476</v>
      </c>
      <c r="D732" s="2" t="str">
        <f t="shared" si="10"/>
        <v>Error?</v>
      </c>
    </row>
    <row r="733" spans="1:4" x14ac:dyDescent="0.2">
      <c r="A733" s="5">
        <v>672</v>
      </c>
      <c r="B733" s="138">
        <f>'Expenditures 15-22'!C50</f>
        <v>194150</v>
      </c>
      <c r="D733" s="2" t="str">
        <f t="shared" si="10"/>
        <v>Error?</v>
      </c>
    </row>
    <row r="734" spans="1:4" x14ac:dyDescent="0.2">
      <c r="A734" s="5">
        <v>673</v>
      </c>
      <c r="B734" s="138">
        <f>'Expenditures 15-22'!C53</f>
        <v>334626</v>
      </c>
      <c r="C734" s="2" t="s">
        <v>573</v>
      </c>
      <c r="D734" s="2" t="str">
        <f t="shared" si="10"/>
        <v>Error?</v>
      </c>
    </row>
    <row r="735" spans="1:4" x14ac:dyDescent="0.2">
      <c r="A735" s="5">
        <v>674</v>
      </c>
      <c r="B735" s="138">
        <f>'Expenditures 15-22'!C55</f>
        <v>404216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404216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42327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13256</v>
      </c>
      <c r="D741" s="2" t="str">
        <f t="shared" si="10"/>
        <v>Error?</v>
      </c>
    </row>
    <row r="742" spans="1:4" x14ac:dyDescent="0.2">
      <c r="A742" s="5">
        <v>681</v>
      </c>
      <c r="B742" s="138">
        <f>'Expenditures 15-22'!C63</f>
        <v>132119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187702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1453991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5529105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839060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20139</v>
      </c>
      <c r="D775" s="2" t="str">
        <f t="shared" si="11"/>
        <v>Error?</v>
      </c>
    </row>
    <row r="776" spans="1:4" x14ac:dyDescent="0.2">
      <c r="A776" s="5">
        <v>715</v>
      </c>
      <c r="B776" s="138">
        <f>'Expenditures 15-22'!D14</f>
        <v>8973</v>
      </c>
      <c r="D776" s="2" t="str">
        <f t="shared" si="11"/>
        <v>Error?</v>
      </c>
    </row>
    <row r="777" spans="1:4" x14ac:dyDescent="0.2">
      <c r="A777" s="5">
        <v>716</v>
      </c>
      <c r="B777" s="138">
        <f>'Expenditures 15-22'!D15</f>
        <v>443</v>
      </c>
      <c r="D777" s="2" t="str">
        <f t="shared" si="11"/>
        <v>Error?</v>
      </c>
    </row>
    <row r="778" spans="1:4" x14ac:dyDescent="0.2">
      <c r="A778" s="5">
        <v>717</v>
      </c>
      <c r="B778" s="138">
        <f>'Expenditures 15-22'!D33</f>
        <v>974697</v>
      </c>
      <c r="C778" s="2" t="s">
        <v>573</v>
      </c>
      <c r="D778" s="2" t="str">
        <f t="shared" si="11"/>
        <v>Error?</v>
      </c>
    </row>
    <row r="779" spans="1:4" x14ac:dyDescent="0.2">
      <c r="A779" s="5">
        <v>718</v>
      </c>
      <c r="B779" s="138">
        <f>'Expenditures 15-22'!D36</f>
        <v>21154</v>
      </c>
      <c r="D779" s="2" t="str">
        <f t="shared" si="11"/>
        <v>Error?</v>
      </c>
    </row>
    <row r="780" spans="1:4" x14ac:dyDescent="0.2">
      <c r="A780" s="5">
        <v>719</v>
      </c>
      <c r="B780" s="138">
        <f>'Expenditures 15-22'!D37</f>
        <v>31552</v>
      </c>
      <c r="D780" s="2" t="str">
        <f t="shared" si="11"/>
        <v>Error?</v>
      </c>
    </row>
    <row r="781" spans="1:4" x14ac:dyDescent="0.2">
      <c r="A781" s="5">
        <v>720</v>
      </c>
      <c r="B781" s="138">
        <f>'Expenditures 15-22'!D38</f>
        <v>14199</v>
      </c>
      <c r="D781" s="2" t="str">
        <f t="shared" si="11"/>
        <v>Error?</v>
      </c>
    </row>
    <row r="782" spans="1:4" x14ac:dyDescent="0.2">
      <c r="A782" s="5">
        <v>721</v>
      </c>
      <c r="B782" s="138">
        <f>'Expenditures 15-22'!D39</f>
        <v>20957</v>
      </c>
      <c r="D782" s="2" t="str">
        <f t="shared" si="11"/>
        <v>Error?</v>
      </c>
    </row>
    <row r="783" spans="1:4" x14ac:dyDescent="0.2">
      <c r="A783" s="5">
        <v>722</v>
      </c>
      <c r="B783" s="138">
        <f>'Expenditures 15-22'!D40</f>
        <v>12217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100079</v>
      </c>
      <c r="C785" s="2" t="s">
        <v>573</v>
      </c>
      <c r="D785" s="2" t="str">
        <f t="shared" si="11"/>
        <v>Error?</v>
      </c>
    </row>
    <row r="786" spans="1:4" x14ac:dyDescent="0.2">
      <c r="A786" s="5">
        <v>725</v>
      </c>
      <c r="B786" s="138">
        <f>'Expenditures 15-22'!D44</f>
        <v>27907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27907</v>
      </c>
      <c r="C789" s="2" t="s">
        <v>573</v>
      </c>
      <c r="D789" s="2" t="str">
        <f t="shared" si="11"/>
        <v>Error?</v>
      </c>
    </row>
    <row r="790" spans="1:4" x14ac:dyDescent="0.2">
      <c r="A790" s="5">
        <v>729</v>
      </c>
      <c r="B790" s="138">
        <f>'Expenditures 15-22'!D49</f>
        <v>11514</v>
      </c>
      <c r="D790" s="2" t="str">
        <f t="shared" si="11"/>
        <v>Error?</v>
      </c>
    </row>
    <row r="791" spans="1:4" x14ac:dyDescent="0.2">
      <c r="A791" s="5">
        <v>730</v>
      </c>
      <c r="B791" s="138">
        <f>'Expenditures 15-22'!D50</f>
        <v>28460</v>
      </c>
      <c r="D791" s="2" t="str">
        <f t="shared" si="11"/>
        <v>Error?</v>
      </c>
    </row>
    <row r="792" spans="1:4" x14ac:dyDescent="0.2">
      <c r="A792" s="5">
        <v>731</v>
      </c>
      <c r="B792" s="138">
        <f>'Expenditures 15-22'!D53</f>
        <v>39974</v>
      </c>
      <c r="C792" s="2" t="s">
        <v>573</v>
      </c>
      <c r="D792" s="2" t="str">
        <f t="shared" si="11"/>
        <v>Error?</v>
      </c>
    </row>
    <row r="793" spans="1:4" x14ac:dyDescent="0.2">
      <c r="A793" s="5">
        <v>732</v>
      </c>
      <c r="B793" s="138">
        <f>'Expenditures 15-22'!D55</f>
        <v>91612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91612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14289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3239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17528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277100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1251797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36980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450</v>
      </c>
      <c r="D833" s="2" t="str">
        <f t="shared" si="12"/>
        <v>Error?</v>
      </c>
    </row>
    <row r="834" spans="1:4" x14ac:dyDescent="0.2">
      <c r="A834" s="5">
        <v>773</v>
      </c>
      <c r="B834" s="138">
        <f>'Expenditures 15-22'!E14</f>
        <v>52745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154112</v>
      </c>
      <c r="C836" s="2" t="s">
        <v>573</v>
      </c>
      <c r="D836" s="2" t="str">
        <f t="shared" si="12"/>
        <v>Error?</v>
      </c>
    </row>
    <row r="837" spans="1:4" x14ac:dyDescent="0.2">
      <c r="A837" s="5">
        <v>776</v>
      </c>
      <c r="B837" s="138">
        <f>'Expenditures 15-22'!E36</f>
        <v>912</v>
      </c>
      <c r="D837" s="2" t="str">
        <f t="shared" si="12"/>
        <v>Error?</v>
      </c>
    </row>
    <row r="838" spans="1:4" x14ac:dyDescent="0.2">
      <c r="A838" s="5">
        <v>777</v>
      </c>
      <c r="B838" s="138">
        <f>'Expenditures 15-22'!E37</f>
        <v>2778</v>
      </c>
      <c r="D838" s="2" t="str">
        <f t="shared" si="12"/>
        <v>Error?</v>
      </c>
    </row>
    <row r="839" spans="1:4" x14ac:dyDescent="0.2">
      <c r="A839" s="5">
        <v>778</v>
      </c>
      <c r="B839" s="138">
        <f>'Expenditures 15-22'!E38</f>
        <v>114</v>
      </c>
      <c r="D839" s="2" t="str">
        <f t="shared" si="12"/>
        <v>Error?</v>
      </c>
    </row>
    <row r="840" spans="1:4" x14ac:dyDescent="0.2">
      <c r="A840" s="5">
        <v>779</v>
      </c>
      <c r="B840" s="138">
        <f>'Expenditures 15-22'!E39</f>
        <v>2809</v>
      </c>
      <c r="D840" s="2" t="str">
        <f t="shared" si="12"/>
        <v>Error?</v>
      </c>
    </row>
    <row r="841" spans="1:4" x14ac:dyDescent="0.2">
      <c r="A841" s="5">
        <v>780</v>
      </c>
      <c r="B841" s="138">
        <f>'Expenditures 15-22'!E40</f>
        <v>233</v>
      </c>
      <c r="D841" s="2" t="str">
        <f t="shared" si="12"/>
        <v>Error?</v>
      </c>
    </row>
    <row r="842" spans="1:4" x14ac:dyDescent="0.2">
      <c r="A842" s="5">
        <v>781</v>
      </c>
      <c r="B842" s="138">
        <f>'Expenditures 15-22'!E41</f>
        <v>361</v>
      </c>
      <c r="D842" s="2" t="str">
        <f t="shared" si="12"/>
        <v>Error?</v>
      </c>
    </row>
    <row r="843" spans="1:4" x14ac:dyDescent="0.2">
      <c r="A843" s="5">
        <v>782</v>
      </c>
      <c r="B843" s="138">
        <f>'Expenditures 15-22'!E42</f>
        <v>7207</v>
      </c>
      <c r="C843" s="2" t="s">
        <v>573</v>
      </c>
      <c r="D843" s="2" t="str">
        <f t="shared" si="12"/>
        <v>Error?</v>
      </c>
    </row>
    <row r="844" spans="1:4" x14ac:dyDescent="0.2">
      <c r="A844" s="5">
        <v>783</v>
      </c>
      <c r="B844" s="138">
        <f>'Expenditures 15-22'!E44</f>
        <v>2713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2713</v>
      </c>
      <c r="C847" s="2" t="s">
        <v>573</v>
      </c>
      <c r="D847" s="2" t="str">
        <f t="shared" si="12"/>
        <v>Error?</v>
      </c>
    </row>
    <row r="848" spans="1:4" x14ac:dyDescent="0.2">
      <c r="A848" s="5">
        <v>787</v>
      </c>
      <c r="B848" s="138">
        <f>'Expenditures 15-22'!E49</f>
        <v>155404</v>
      </c>
      <c r="D848" s="2" t="str">
        <f t="shared" si="12"/>
        <v>Error?</v>
      </c>
    </row>
    <row r="849" spans="1:4" x14ac:dyDescent="0.2">
      <c r="A849" s="5">
        <v>788</v>
      </c>
      <c r="B849" s="138">
        <f>'Expenditures 15-22'!E50</f>
        <v>21409</v>
      </c>
      <c r="D849" s="2" t="str">
        <f t="shared" si="12"/>
        <v>Error?</v>
      </c>
    </row>
    <row r="850" spans="1:4" x14ac:dyDescent="0.2">
      <c r="A850" s="5">
        <v>789</v>
      </c>
      <c r="B850" s="138">
        <f>'Expenditures 15-22'!E53</f>
        <v>176813</v>
      </c>
      <c r="C850" s="2" t="s">
        <v>573</v>
      </c>
      <c r="D850" s="2" t="str">
        <f t="shared" si="12"/>
        <v>Error?</v>
      </c>
    </row>
    <row r="851" spans="1:4" x14ac:dyDescent="0.2">
      <c r="A851" s="5">
        <v>790</v>
      </c>
      <c r="B851" s="138">
        <f>'Expenditures 15-22'!E55</f>
        <v>4714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4714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9029</v>
      </c>
      <c r="D855" s="2" t="str">
        <f t="shared" si="12"/>
        <v>Error?</v>
      </c>
    </row>
    <row r="856" spans="1:4" x14ac:dyDescent="0.2">
      <c r="A856" s="5">
        <v>795</v>
      </c>
      <c r="B856" s="138">
        <f>'Expenditures 15-22'!E61</f>
        <v>37132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3346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49507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240954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590113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33937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12021</v>
      </c>
      <c r="D891" s="2" t="str">
        <f t="shared" si="12"/>
        <v>Error?</v>
      </c>
    </row>
    <row r="892" spans="1:4" x14ac:dyDescent="0.2">
      <c r="A892" s="5">
        <v>831</v>
      </c>
      <c r="B892" s="138">
        <f>'Expenditures 15-22'!F14</f>
        <v>8614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117022</v>
      </c>
      <c r="C894" s="2" t="s">
        <v>573</v>
      </c>
      <c r="D894" s="2" t="str">
        <f t="shared" si="12"/>
        <v>Error?</v>
      </c>
    </row>
    <row r="895" spans="1:4" x14ac:dyDescent="0.2">
      <c r="A895" s="5">
        <v>834</v>
      </c>
      <c r="B895" s="138">
        <f>'Expenditures 15-22'!F36</f>
        <v>380</v>
      </c>
      <c r="D895" s="2" t="str">
        <f t="shared" ref="D895:D958" si="13">IF(ISBLANK(B895),"OK",IF(A895-B895=0,"OK","Error?"))</f>
        <v>Error?</v>
      </c>
    </row>
    <row r="896" spans="1:4" x14ac:dyDescent="0.2">
      <c r="A896" s="5">
        <v>835</v>
      </c>
      <c r="B896" s="138">
        <f>'Expenditures 15-22'!F37</f>
        <v>578</v>
      </c>
      <c r="D896" s="2" t="str">
        <f t="shared" si="13"/>
        <v>Error?</v>
      </c>
    </row>
    <row r="897" spans="1:4" x14ac:dyDescent="0.2">
      <c r="A897" s="5">
        <v>836</v>
      </c>
      <c r="B897" s="138">
        <f>'Expenditures 15-22'!F38</f>
        <v>903</v>
      </c>
      <c r="D897" s="2" t="str">
        <f t="shared" si="13"/>
        <v>Error?</v>
      </c>
    </row>
    <row r="898" spans="1:4" x14ac:dyDescent="0.2">
      <c r="A898" s="5">
        <v>837</v>
      </c>
      <c r="B898" s="138">
        <f>'Expenditures 15-22'!F39</f>
        <v>614</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2475</v>
      </c>
      <c r="C901" s="2" t="s">
        <v>573</v>
      </c>
      <c r="D901" s="2" t="str">
        <f t="shared" si="13"/>
        <v>Error?</v>
      </c>
    </row>
    <row r="902" spans="1:4" x14ac:dyDescent="0.2">
      <c r="A902" s="5">
        <v>841</v>
      </c>
      <c r="B902" s="138">
        <f>'Expenditures 15-22'!F44</f>
        <v>5689</v>
      </c>
      <c r="D902" s="2" t="str">
        <f t="shared" si="13"/>
        <v>Error?</v>
      </c>
    </row>
    <row r="903" spans="1:4" x14ac:dyDescent="0.2">
      <c r="A903" s="5">
        <v>842</v>
      </c>
      <c r="B903" s="138">
        <f>'Expenditures 15-22'!F45</f>
        <v>4910</v>
      </c>
      <c r="D903" s="2" t="str">
        <f t="shared" si="13"/>
        <v>Error?</v>
      </c>
    </row>
    <row r="904" spans="1:4" x14ac:dyDescent="0.2">
      <c r="A904" s="5">
        <v>843</v>
      </c>
      <c r="B904" s="138">
        <f>'Expenditures 15-22'!F46</f>
        <v>992</v>
      </c>
      <c r="D904" s="2" t="str">
        <f t="shared" si="13"/>
        <v>Error?</v>
      </c>
    </row>
    <row r="905" spans="1:4" x14ac:dyDescent="0.2">
      <c r="A905" s="5">
        <v>844</v>
      </c>
      <c r="B905" s="138">
        <f>'Expenditures 15-22'!F47</f>
        <v>11591</v>
      </c>
      <c r="C905" s="2" t="s">
        <v>573</v>
      </c>
      <c r="D905" s="2" t="str">
        <f t="shared" si="13"/>
        <v>Error?</v>
      </c>
    </row>
    <row r="906" spans="1:4" x14ac:dyDescent="0.2">
      <c r="A906" s="5">
        <v>845</v>
      </c>
      <c r="B906" s="138">
        <f>'Expenditures 15-22'!F49</f>
        <v>80539</v>
      </c>
      <c r="D906" s="2" t="str">
        <f t="shared" si="13"/>
        <v>Error?</v>
      </c>
    </row>
    <row r="907" spans="1:4" x14ac:dyDescent="0.2">
      <c r="A907" s="5">
        <v>846</v>
      </c>
      <c r="B907" s="138">
        <f>'Expenditures 15-22'!F50</f>
        <v>4982</v>
      </c>
      <c r="D907" s="2" t="str">
        <f t="shared" si="13"/>
        <v>Error?</v>
      </c>
    </row>
    <row r="908" spans="1:4" x14ac:dyDescent="0.2">
      <c r="A908" s="5">
        <v>847</v>
      </c>
      <c r="B908" s="138">
        <f>'Expenditures 15-22'!F53</f>
        <v>85521</v>
      </c>
      <c r="C908" s="2" t="s">
        <v>573</v>
      </c>
      <c r="D908" s="2" t="str">
        <f t="shared" si="13"/>
        <v>Error?</v>
      </c>
    </row>
    <row r="909" spans="1:4" x14ac:dyDescent="0.2">
      <c r="A909" s="5">
        <v>848</v>
      </c>
      <c r="B909" s="138">
        <f>'Expenditures 15-22'!F55</f>
        <v>13406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13406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127164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148907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276071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389064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506086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1757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3456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33915</v>
      </c>
      <c r="D964" s="2" t="str">
        <f t="shared" si="14"/>
        <v>Error?</v>
      </c>
    </row>
    <row r="965" spans="1:4" x14ac:dyDescent="0.2">
      <c r="A965" s="5">
        <v>904</v>
      </c>
      <c r="B965" s="138">
        <f>'Expenditures 15-22'!G50</f>
        <v>25971</v>
      </c>
      <c r="D965" s="2" t="str">
        <f t="shared" si="14"/>
        <v>Error?</v>
      </c>
    </row>
    <row r="966" spans="1:4" x14ac:dyDescent="0.2">
      <c r="A966" s="5">
        <v>905</v>
      </c>
      <c r="B966" s="138">
        <f>'Expenditures 15-22'!G53</f>
        <v>59886</v>
      </c>
      <c r="C966" s="2" t="s">
        <v>573</v>
      </c>
      <c r="D966" s="2" t="str">
        <f t="shared" si="14"/>
        <v>Error?</v>
      </c>
    </row>
    <row r="967" spans="1:4" x14ac:dyDescent="0.2">
      <c r="A967" s="5">
        <v>906</v>
      </c>
      <c r="B967" s="138">
        <f>'Expenditures 15-22'!G55</f>
        <v>30993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30993</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90879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94335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2559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10423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12982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113</v>
      </c>
      <c r="D1012" s="2" t="str">
        <f t="shared" si="14"/>
        <v>Error?</v>
      </c>
    </row>
    <row r="1013" spans="1:4" x14ac:dyDescent="0.2">
      <c r="A1013" s="5">
        <v>952</v>
      </c>
      <c r="B1013" s="138">
        <f>'Expenditures 15-22'!H38</f>
        <v>85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198</v>
      </c>
      <c r="C1017" s="2" t="s">
        <v>573</v>
      </c>
      <c r="D1017" s="2" t="str">
        <f t="shared" si="14"/>
        <v>Error?</v>
      </c>
    </row>
    <row r="1018" spans="1:4" x14ac:dyDescent="0.2">
      <c r="A1018" s="5">
        <v>957</v>
      </c>
      <c r="B1018" s="138">
        <f>'Expenditures 15-22'!H44</f>
        <v>77709</v>
      </c>
      <c r="D1018" s="2" t="str">
        <f t="shared" si="14"/>
        <v>Error?</v>
      </c>
    </row>
    <row r="1019" spans="1:4" x14ac:dyDescent="0.2">
      <c r="A1019" s="5">
        <v>958</v>
      </c>
      <c r="B1019" s="138">
        <f>'Expenditures 15-22'!H45</f>
        <v>5008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82717</v>
      </c>
      <c r="C1021" s="2" t="s">
        <v>573</v>
      </c>
      <c r="D1021" s="2" t="str">
        <f t="shared" si="14"/>
        <v>Error?</v>
      </c>
    </row>
    <row r="1022" spans="1:4" x14ac:dyDescent="0.2">
      <c r="A1022" s="5">
        <v>961</v>
      </c>
      <c r="B1022" s="138">
        <f>'Expenditures 15-22'!H49</f>
        <v>4720</v>
      </c>
      <c r="D1022" s="2" t="str">
        <f t="shared" si="14"/>
        <v>Error?</v>
      </c>
    </row>
    <row r="1023" spans="1:4" x14ac:dyDescent="0.2">
      <c r="A1023" s="5">
        <v>962</v>
      </c>
      <c r="B1023" s="138">
        <f>'Expenditures 15-22'!H50</f>
        <v>10552</v>
      </c>
      <c r="D1023" s="2" t="str">
        <f t="shared" ref="D1023:D1086" si="15">IF(ISBLANK(B1023),"OK",IF(A1023-B1023=0,"OK","Error?"))</f>
        <v>Error?</v>
      </c>
    </row>
    <row r="1024" spans="1:4" x14ac:dyDescent="0.2">
      <c r="A1024" s="5">
        <v>963</v>
      </c>
      <c r="B1024" s="138">
        <f>'Expenditures 15-22'!H53</f>
        <v>15272</v>
      </c>
      <c r="C1024" s="2" t="s">
        <v>573</v>
      </c>
      <c r="D1024" s="2" t="str">
        <f t="shared" si="15"/>
        <v>Error?</v>
      </c>
    </row>
    <row r="1025" spans="1:4" x14ac:dyDescent="0.2">
      <c r="A1025" s="5">
        <v>964</v>
      </c>
      <c r="B1025" s="138">
        <f>'Expenditures 15-22'!H55</f>
        <v>655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655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1872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1872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100714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272952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386648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3652815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161356</v>
      </c>
      <c r="C1105" s="2" t="s">
        <v>573</v>
      </c>
      <c r="D1105" s="2" t="str">
        <f t="shared" si="16"/>
        <v>Error?</v>
      </c>
    </row>
    <row r="1106" spans="1:4" x14ac:dyDescent="0.2">
      <c r="A1106" s="5">
        <v>1045</v>
      </c>
      <c r="B1106" s="138">
        <f>'Expenditures 15-22'!K14</f>
        <v>272000</v>
      </c>
      <c r="C1106" s="2" t="s">
        <v>573</v>
      </c>
      <c r="D1106" s="2" t="str">
        <f t="shared" si="16"/>
        <v>Error?</v>
      </c>
    </row>
    <row r="1107" spans="1:4" x14ac:dyDescent="0.2">
      <c r="A1107" s="5">
        <v>1046</v>
      </c>
      <c r="B1107" s="138">
        <f>'Expenditures 15-22'!K15</f>
        <v>4793</v>
      </c>
      <c r="C1107" s="2" t="s">
        <v>573</v>
      </c>
      <c r="D1107" s="2" t="str">
        <f t="shared" si="16"/>
        <v>Error?</v>
      </c>
    </row>
    <row r="1108" spans="1:4" x14ac:dyDescent="0.2">
      <c r="A1108" s="5">
        <v>1047</v>
      </c>
      <c r="B1108" s="138">
        <f>'Expenditures 15-22'!K33</f>
        <v>5337383</v>
      </c>
      <c r="C1108" s="2" t="s">
        <v>573</v>
      </c>
      <c r="D1108" s="2" t="str">
        <f t="shared" si="16"/>
        <v>Error?</v>
      </c>
    </row>
    <row r="1109" spans="1:4" x14ac:dyDescent="0.2">
      <c r="A1109" s="5">
        <v>1048</v>
      </c>
      <c r="B1109" s="138">
        <f>'Expenditures 15-22'!K36</f>
        <v>92076</v>
      </c>
      <c r="C1109" s="2" t="s">
        <v>573</v>
      </c>
      <c r="D1109" s="2" t="str">
        <f t="shared" si="16"/>
        <v>Error?</v>
      </c>
    </row>
    <row r="1110" spans="1:4" x14ac:dyDescent="0.2">
      <c r="A1110" s="5">
        <v>1049</v>
      </c>
      <c r="B1110" s="138">
        <f>'Expenditures 15-22'!K37</f>
        <v>173407</v>
      </c>
      <c r="C1110" s="2" t="s">
        <v>573</v>
      </c>
      <c r="D1110" s="2" t="str">
        <f t="shared" si="16"/>
        <v>Error?</v>
      </c>
    </row>
    <row r="1111" spans="1:4" x14ac:dyDescent="0.2">
      <c r="A1111" s="5">
        <v>1050</v>
      </c>
      <c r="B1111" s="138">
        <f>'Expenditures 15-22'!K38</f>
        <v>66488</v>
      </c>
      <c r="C1111" s="2" t="s">
        <v>573</v>
      </c>
      <c r="D1111" s="2" t="str">
        <f t="shared" si="16"/>
        <v>Error?</v>
      </c>
    </row>
    <row r="1112" spans="1:4" x14ac:dyDescent="0.2">
      <c r="A1112" s="5">
        <v>1051</v>
      </c>
      <c r="B1112" s="138">
        <f>'Expenditures 15-22'!K39</f>
        <v>90755</v>
      </c>
      <c r="C1112" s="2" t="s">
        <v>573</v>
      </c>
      <c r="D1112" s="2" t="str">
        <f t="shared" si="16"/>
        <v>Error?</v>
      </c>
    </row>
    <row r="1113" spans="1:4" x14ac:dyDescent="0.2">
      <c r="A1113" s="5">
        <v>1052</v>
      </c>
      <c r="B1113" s="138">
        <f>'Expenditures 15-22'!K40</f>
        <v>80201</v>
      </c>
      <c r="C1113" s="2" t="s">
        <v>573</v>
      </c>
      <c r="D1113" s="2" t="str">
        <f t="shared" si="16"/>
        <v>Error?</v>
      </c>
    </row>
    <row r="1114" spans="1:4" x14ac:dyDescent="0.2">
      <c r="A1114" s="5">
        <v>1053</v>
      </c>
      <c r="B1114" s="138">
        <f>'Expenditures 15-22'!K41</f>
        <v>361</v>
      </c>
      <c r="C1114" s="2" t="s">
        <v>573</v>
      </c>
      <c r="D1114" s="2" t="str">
        <f t="shared" si="16"/>
        <v>Error?</v>
      </c>
    </row>
    <row r="1115" spans="1:4" x14ac:dyDescent="0.2">
      <c r="A1115" s="5">
        <v>1054</v>
      </c>
      <c r="B1115" s="138">
        <f>'Expenditures 15-22'!K42</f>
        <v>503288</v>
      </c>
      <c r="C1115" s="2" t="s">
        <v>573</v>
      </c>
      <c r="D1115" s="2" t="str">
        <f t="shared" si="16"/>
        <v>Error?</v>
      </c>
    </row>
    <row r="1116" spans="1:4" x14ac:dyDescent="0.2">
      <c r="A1116" s="5">
        <v>1055</v>
      </c>
      <c r="B1116" s="138">
        <f>'Expenditures 15-22'!K44</f>
        <v>205100</v>
      </c>
      <c r="C1116" s="2" t="s">
        <v>573</v>
      </c>
      <c r="D1116" s="2" t="str">
        <f t="shared" si="16"/>
        <v>Error?</v>
      </c>
    </row>
    <row r="1117" spans="1:4" x14ac:dyDescent="0.2">
      <c r="A1117" s="5">
        <v>1056</v>
      </c>
      <c r="B1117" s="138">
        <f>'Expenditures 15-22'!K45</f>
        <v>52954</v>
      </c>
      <c r="C1117" s="2" t="s">
        <v>573</v>
      </c>
      <c r="D1117" s="2" t="str">
        <f t="shared" si="16"/>
        <v>Error?</v>
      </c>
    </row>
    <row r="1118" spans="1:4" x14ac:dyDescent="0.2">
      <c r="A1118" s="5">
        <v>1057</v>
      </c>
      <c r="B1118" s="138">
        <f>'Expenditures 15-22'!K46</f>
        <v>992</v>
      </c>
      <c r="C1118" s="2" t="s">
        <v>573</v>
      </c>
      <c r="D1118" s="2" t="str">
        <f t="shared" si="16"/>
        <v>Error?</v>
      </c>
    </row>
    <row r="1119" spans="1:4" x14ac:dyDescent="0.2">
      <c r="A1119" s="5">
        <v>1058</v>
      </c>
      <c r="B1119" s="138">
        <f>'Expenditures 15-22'!K47</f>
        <v>259046</v>
      </c>
      <c r="C1119" s="2" t="s">
        <v>573</v>
      </c>
      <c r="D1119" s="2" t="str">
        <f t="shared" si="16"/>
        <v>Error?</v>
      </c>
    </row>
    <row r="1120" spans="1:4" x14ac:dyDescent="0.2">
      <c r="A1120" s="5">
        <v>1059</v>
      </c>
      <c r="B1120" s="138">
        <f>'Expenditures 15-22'!K49</f>
        <v>426568</v>
      </c>
      <c r="C1120" s="2" t="s">
        <v>573</v>
      </c>
      <c r="D1120" s="2" t="str">
        <f t="shared" si="16"/>
        <v>Error?</v>
      </c>
    </row>
    <row r="1121" spans="1:4" x14ac:dyDescent="0.2">
      <c r="A1121" s="5">
        <v>1060</v>
      </c>
      <c r="B1121" s="138">
        <f>'Expenditures 15-22'!K50</f>
        <v>285524</v>
      </c>
      <c r="C1121" s="2" t="s">
        <v>573</v>
      </c>
      <c r="D1121" s="2" t="str">
        <f t="shared" si="16"/>
        <v>Error?</v>
      </c>
    </row>
    <row r="1122" spans="1:4" x14ac:dyDescent="0.2">
      <c r="A1122" s="5">
        <v>1061</v>
      </c>
      <c r="B1122" s="138">
        <f>'Expenditures 15-22'!K53</f>
        <v>712092</v>
      </c>
      <c r="C1122" s="2" t="s">
        <v>573</v>
      </c>
      <c r="D1122" s="2" t="str">
        <f t="shared" si="16"/>
        <v>Error?</v>
      </c>
    </row>
    <row r="1123" spans="1:4" x14ac:dyDescent="0.2">
      <c r="A1123" s="5">
        <v>1062</v>
      </c>
      <c r="B1123" s="138">
        <f>'Expenditures 15-22'!K55</f>
        <v>545596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545596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65645</v>
      </c>
      <c r="C1127" s="2" t="s">
        <v>573</v>
      </c>
      <c r="D1127" s="2" t="str">
        <f t="shared" si="16"/>
        <v>Error?</v>
      </c>
    </row>
    <row r="1128" spans="1:4" x14ac:dyDescent="0.2">
      <c r="A1128" s="5">
        <v>1067</v>
      </c>
      <c r="B1128" s="138">
        <f>'Expenditures 15-22'!K61</f>
        <v>164296</v>
      </c>
      <c r="C1128" s="2" t="s">
        <v>573</v>
      </c>
      <c r="D1128" s="2" t="str">
        <f t="shared" si="16"/>
        <v>Error?</v>
      </c>
    </row>
    <row r="1129" spans="1:4" x14ac:dyDescent="0.2">
      <c r="A1129" s="5">
        <v>1068</v>
      </c>
      <c r="B1129" s="138">
        <f>'Expenditures 15-22'!K62</f>
        <v>13256</v>
      </c>
      <c r="C1129" s="2" t="s">
        <v>573</v>
      </c>
      <c r="D1129" s="2" t="str">
        <f t="shared" si="16"/>
        <v>Error?</v>
      </c>
    </row>
    <row r="1130" spans="1:4" x14ac:dyDescent="0.2">
      <c r="A1130" s="5">
        <v>1069</v>
      </c>
      <c r="B1130" s="138">
        <f>'Expenditures 15-22'!K63</f>
        <v>289483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532680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2552702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467999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8358084</v>
      </c>
      <c r="C1152" s="2" t="s">
        <v>573</v>
      </c>
      <c r="D1152" s="2" t="str">
        <f t="shared" si="17"/>
        <v>Error?</v>
      </c>
    </row>
    <row r="1153" spans="1:4" x14ac:dyDescent="0.2">
      <c r="A1153" s="5">
        <v>1092</v>
      </c>
      <c r="B1153" s="138">
        <f>'Expenditures 15-22'!K115</f>
        <v>-1590787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340433</v>
      </c>
      <c r="D1221" s="2" t="str">
        <f t="shared" si="18"/>
        <v>Error?</v>
      </c>
    </row>
    <row r="1222" spans="1:4" x14ac:dyDescent="0.2">
      <c r="A1222" s="10">
        <v>1161</v>
      </c>
      <c r="D1222" s="2" t="str">
        <f t="shared" si="18"/>
        <v>OK</v>
      </c>
    </row>
    <row r="1223" spans="1:4" x14ac:dyDescent="0.2">
      <c r="A1223" s="5">
        <v>1162</v>
      </c>
      <c r="B1223" s="138">
        <f>'Expenditures 15-22'!C127</f>
        <v>340433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340433</v>
      </c>
      <c r="C1225" s="2" t="s">
        <v>573</v>
      </c>
      <c r="D1225" s="2" t="str">
        <f t="shared" si="18"/>
        <v>Error?</v>
      </c>
    </row>
    <row r="1226" spans="1:4" x14ac:dyDescent="0.2">
      <c r="A1226" s="5">
        <v>1165</v>
      </c>
      <c r="B1226" s="138">
        <f>'Expenditures 15-22'!C151</f>
        <v>340433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90163</v>
      </c>
      <c r="D1229" s="2" t="str">
        <f t="shared" si="18"/>
        <v>Error?</v>
      </c>
    </row>
    <row r="1230" spans="1:4" x14ac:dyDescent="0.2">
      <c r="A1230" s="10">
        <v>1169</v>
      </c>
      <c r="D1230" s="2" t="str">
        <f t="shared" si="18"/>
        <v>OK</v>
      </c>
    </row>
    <row r="1231" spans="1:4" x14ac:dyDescent="0.2">
      <c r="A1231" s="5">
        <v>1170</v>
      </c>
      <c r="B1231" s="138">
        <f>'Expenditures 15-22'!D127</f>
        <v>90163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90163</v>
      </c>
      <c r="C1233" s="2" t="s">
        <v>573</v>
      </c>
      <c r="D1233" s="2" t="str">
        <f t="shared" si="18"/>
        <v>Error?</v>
      </c>
    </row>
    <row r="1234" spans="1:4" x14ac:dyDescent="0.2">
      <c r="A1234" s="5">
        <v>1173</v>
      </c>
      <c r="B1234" s="138">
        <f>'Expenditures 15-22'!D151</f>
        <v>90163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157138</v>
      </c>
      <c r="D1237" s="2" t="str">
        <f t="shared" si="18"/>
        <v>Error?</v>
      </c>
    </row>
    <row r="1238" spans="1:4" x14ac:dyDescent="0.2">
      <c r="A1238" s="10">
        <v>1177</v>
      </c>
      <c r="D1238" s="2" t="str">
        <f t="shared" si="18"/>
        <v>OK</v>
      </c>
    </row>
    <row r="1239" spans="1:4" x14ac:dyDescent="0.2">
      <c r="A1239" s="5">
        <v>1178</v>
      </c>
      <c r="B1239" s="138">
        <f>'Expenditures 15-22'!E127</f>
        <v>157138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157138</v>
      </c>
      <c r="C1241" s="2" t="s">
        <v>573</v>
      </c>
      <c r="D1241" s="2" t="str">
        <f t="shared" si="18"/>
        <v>Error?</v>
      </c>
    </row>
    <row r="1242" spans="1:4" x14ac:dyDescent="0.2">
      <c r="A1242" s="5">
        <v>1181</v>
      </c>
      <c r="B1242" s="138">
        <f>'Expenditures 15-22'!E151</f>
        <v>157138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282861</v>
      </c>
      <c r="D1245" s="2" t="str">
        <f t="shared" si="18"/>
        <v>Error?</v>
      </c>
    </row>
    <row r="1246" spans="1:4" x14ac:dyDescent="0.2">
      <c r="A1246" s="10">
        <v>1185</v>
      </c>
      <c r="D1246" s="2" t="str">
        <f t="shared" si="18"/>
        <v>OK</v>
      </c>
    </row>
    <row r="1247" spans="1:4" x14ac:dyDescent="0.2">
      <c r="A1247" s="5">
        <v>1186</v>
      </c>
      <c r="B1247" s="138">
        <f>'Expenditures 15-22'!F127</f>
        <v>282861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282861</v>
      </c>
      <c r="C1249" s="2" t="s">
        <v>573</v>
      </c>
      <c r="D1249" s="2" t="str">
        <f t="shared" si="18"/>
        <v>Error?</v>
      </c>
    </row>
    <row r="1250" spans="1:4" x14ac:dyDescent="0.2">
      <c r="A1250" s="5">
        <v>1189</v>
      </c>
      <c r="B1250" s="138">
        <f>'Expenditures 15-22'!F151</f>
        <v>282861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11411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11411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11411</v>
      </c>
      <c r="C1258" s="2" t="s">
        <v>573</v>
      </c>
      <c r="D1258" s="2" t="str">
        <f t="shared" si="18"/>
        <v>Error?</v>
      </c>
    </row>
    <row r="1259" spans="1:4" x14ac:dyDescent="0.2">
      <c r="A1259" s="5">
        <v>1198</v>
      </c>
      <c r="B1259" s="138">
        <f>'Expenditures 15-22'!G151</f>
        <v>11411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882006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882006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882006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882006</v>
      </c>
      <c r="C1288" s="2" t="s">
        <v>573</v>
      </c>
      <c r="D1288" s="2" t="str">
        <f t="shared" si="19"/>
        <v>Error?</v>
      </c>
    </row>
    <row r="1289" spans="1:4" x14ac:dyDescent="0.2">
      <c r="A1289" s="5">
        <v>1228</v>
      </c>
      <c r="B1289" s="138">
        <f>'Expenditures 15-22'!K152</f>
        <v>-361854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1151932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368068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1520000</v>
      </c>
      <c r="C1317" s="2" t="s">
        <v>573</v>
      </c>
      <c r="D1317" s="2" t="str">
        <f t="shared" si="19"/>
        <v>Error?</v>
      </c>
    </row>
    <row r="1318" spans="1:4" x14ac:dyDescent="0.2">
      <c r="A1318" s="5">
        <v>1257</v>
      </c>
      <c r="B1318" s="138">
        <f>'Expenditures 15-22'!H174</f>
        <v>1520000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1151932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368068</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1520000</v>
      </c>
      <c r="C1331" s="2" t="s">
        <v>573</v>
      </c>
      <c r="D1331" s="2" t="str">
        <f t="shared" si="19"/>
        <v>Error?</v>
      </c>
    </row>
    <row r="1332" spans="1:4" x14ac:dyDescent="0.2">
      <c r="A1332" s="5">
        <v>1271</v>
      </c>
      <c r="B1332" s="138">
        <f>'Expenditures 15-22'!K174</f>
        <v>1520000</v>
      </c>
      <c r="C1332" s="2" t="s">
        <v>573</v>
      </c>
      <c r="D1332" s="2" t="str">
        <f t="shared" si="19"/>
        <v>Error?</v>
      </c>
    </row>
    <row r="1333" spans="1:4" x14ac:dyDescent="0.2">
      <c r="A1333" s="5">
        <v>1272</v>
      </c>
      <c r="B1333" s="138">
        <f>'Expenditures 15-22'!K175</f>
        <v>-549145</v>
      </c>
      <c r="C1333" s="2" t="s">
        <v>573</v>
      </c>
      <c r="D1333" s="2" t="str">
        <f t="shared" si="19"/>
        <v>Error?</v>
      </c>
    </row>
    <row r="1334" spans="1:4" x14ac:dyDescent="0.2">
      <c r="A1334" s="10">
        <v>1273</v>
      </c>
      <c r="D1334" s="2" t="str">
        <f t="shared" si="19"/>
        <v>OK</v>
      </c>
    </row>
    <row r="1335" spans="1:4" x14ac:dyDescent="0.2">
      <c r="A1335" s="5">
        <v>1274</v>
      </c>
      <c r="B1335" s="138">
        <f>'Expenditures 15-22'!C182</f>
        <v>272388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272388</v>
      </c>
      <c r="C1339" s="2" t="s">
        <v>573</v>
      </c>
      <c r="D1339" s="2" t="str">
        <f t="shared" si="19"/>
        <v>Error?</v>
      </c>
    </row>
    <row r="1340" spans="1:4" x14ac:dyDescent="0.2">
      <c r="A1340" s="5">
        <v>1279</v>
      </c>
      <c r="B1340" s="138">
        <f>'Expenditures 15-22'!C210</f>
        <v>272388</v>
      </c>
      <c r="C1340" s="2" t="s">
        <v>573</v>
      </c>
      <c r="D1340" s="2" t="str">
        <f t="shared" si="19"/>
        <v>Error?</v>
      </c>
    </row>
    <row r="1341" spans="1:4" x14ac:dyDescent="0.2">
      <c r="A1341" s="5">
        <v>1280</v>
      </c>
      <c r="B1341" s="138">
        <f>'Expenditures 15-22'!D182</f>
        <v>6723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6723</v>
      </c>
      <c r="C1345" s="2" t="s">
        <v>573</v>
      </c>
      <c r="D1345" s="2" t="str">
        <f t="shared" si="20"/>
        <v>Error?</v>
      </c>
    </row>
    <row r="1346" spans="1:4" x14ac:dyDescent="0.2">
      <c r="A1346" s="5">
        <v>1285</v>
      </c>
      <c r="B1346" s="138">
        <f>'Expenditures 15-22'!D210</f>
        <v>6723</v>
      </c>
      <c r="C1346" s="2" t="s">
        <v>573</v>
      </c>
      <c r="D1346" s="2" t="str">
        <f t="shared" si="20"/>
        <v>Error?</v>
      </c>
    </row>
    <row r="1347" spans="1:4" x14ac:dyDescent="0.2">
      <c r="A1347" s="5">
        <v>1286</v>
      </c>
      <c r="B1347" s="138">
        <f>'Expenditures 15-22'!E182</f>
        <v>216760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216760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216760</v>
      </c>
      <c r="C1353" s="2" t="s">
        <v>573</v>
      </c>
      <c r="D1353" s="2" t="str">
        <f t="shared" si="20"/>
        <v>Error?</v>
      </c>
    </row>
    <row r="1354" spans="1:4" x14ac:dyDescent="0.2">
      <c r="A1354" s="5">
        <v>1293</v>
      </c>
      <c r="B1354" s="138">
        <f>'Expenditures 15-22'!F182</f>
        <v>48931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48931</v>
      </c>
      <c r="C1358" s="2" t="s">
        <v>573</v>
      </c>
      <c r="D1358" s="2" t="str">
        <f t="shared" si="20"/>
        <v>Error?</v>
      </c>
    </row>
    <row r="1359" spans="1:4" x14ac:dyDescent="0.2">
      <c r="A1359" s="5">
        <v>1298</v>
      </c>
      <c r="B1359" s="138">
        <f>'Expenditures 15-22'!F210</f>
        <v>48931</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544802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544802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544802</v>
      </c>
      <c r="C1388" s="2" t="s">
        <v>573</v>
      </c>
      <c r="D1388" s="2" t="str">
        <f t="shared" si="20"/>
        <v>Error?</v>
      </c>
    </row>
    <row r="1389" spans="1:4" x14ac:dyDescent="0.2">
      <c r="A1389" s="5">
        <v>1328</v>
      </c>
      <c r="B1389" s="138">
        <f>'Expenditures 15-22'!K211</f>
        <v>-10962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1830</v>
      </c>
      <c r="D1407" s="2" t="str">
        <f t="shared" ref="D1407:D1470" si="21">IF(ISBLANK(B1407),"OK",IF(A1407-B1407=0,"OK","Error?"))</f>
        <v>Error?</v>
      </c>
    </row>
    <row r="1408" spans="1:4" x14ac:dyDescent="0.2">
      <c r="A1408" s="5">
        <v>1347</v>
      </c>
      <c r="B1408" s="138">
        <f>'Expenditures 15-22'!D223</f>
        <v>10530</v>
      </c>
      <c r="D1408" s="2" t="str">
        <f t="shared" si="21"/>
        <v>Error?</v>
      </c>
    </row>
    <row r="1409" spans="1:4" x14ac:dyDescent="0.2">
      <c r="A1409" s="5">
        <v>1348</v>
      </c>
      <c r="B1409" s="138">
        <f>'Expenditures 15-22'!D224</f>
        <v>59</v>
      </c>
      <c r="D1409" s="2" t="str">
        <f t="shared" si="21"/>
        <v>Error?</v>
      </c>
    </row>
    <row r="1410" spans="1:4" x14ac:dyDescent="0.2">
      <c r="A1410" s="5">
        <v>1349</v>
      </c>
      <c r="B1410" s="138">
        <f>'Expenditures 15-22'!D229</f>
        <v>130622</v>
      </c>
      <c r="C1410" s="2" t="s">
        <v>573</v>
      </c>
      <c r="D1410" s="2" t="str">
        <f t="shared" si="21"/>
        <v>Error?</v>
      </c>
    </row>
    <row r="1411" spans="1:4" x14ac:dyDescent="0.2">
      <c r="A1411" s="5">
        <v>1350</v>
      </c>
      <c r="B1411" s="138">
        <f>'Expenditures 15-22'!D232</f>
        <v>905</v>
      </c>
      <c r="D1411" s="2" t="str">
        <f t="shared" si="21"/>
        <v>Error?</v>
      </c>
    </row>
    <row r="1412" spans="1:4" x14ac:dyDescent="0.2">
      <c r="A1412" s="5">
        <v>1351</v>
      </c>
      <c r="B1412" s="138">
        <f>'Expenditures 15-22'!D233</f>
        <v>1944</v>
      </c>
      <c r="D1412" s="2" t="str">
        <f t="shared" si="21"/>
        <v>Error?</v>
      </c>
    </row>
    <row r="1413" spans="1:4" x14ac:dyDescent="0.2">
      <c r="A1413" s="5">
        <v>1352</v>
      </c>
      <c r="B1413" s="138">
        <f>'Expenditures 15-22'!D234</f>
        <v>7861</v>
      </c>
      <c r="D1413" s="2" t="str">
        <f t="shared" si="21"/>
        <v>Error?</v>
      </c>
    </row>
    <row r="1414" spans="1:4" x14ac:dyDescent="0.2">
      <c r="A1414" s="5">
        <v>1353</v>
      </c>
      <c r="B1414" s="138">
        <f>'Expenditures 15-22'!D235</f>
        <v>853</v>
      </c>
      <c r="D1414" s="2" t="str">
        <f t="shared" si="21"/>
        <v>Error?</v>
      </c>
    </row>
    <row r="1415" spans="1:4" x14ac:dyDescent="0.2">
      <c r="A1415" s="5">
        <v>1354</v>
      </c>
      <c r="B1415" s="138">
        <f>'Expenditures 15-22'!D236</f>
        <v>920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12483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7154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7154</v>
      </c>
      <c r="C1421" s="2" t="s">
        <v>573</v>
      </c>
      <c r="D1421" s="2" t="str">
        <f t="shared" si="21"/>
        <v>Error?</v>
      </c>
    </row>
    <row r="1422" spans="1:4" x14ac:dyDescent="0.2">
      <c r="A1422" s="5">
        <v>1361</v>
      </c>
      <c r="B1422" s="138">
        <f>'Expenditures 15-22'!D245</f>
        <v>22598</v>
      </c>
      <c r="D1422" s="2" t="str">
        <f t="shared" si="21"/>
        <v>Error?</v>
      </c>
    </row>
    <row r="1423" spans="1:4" x14ac:dyDescent="0.2">
      <c r="A1423" s="5">
        <v>1362</v>
      </c>
      <c r="B1423" s="138">
        <f>'Expenditures 15-22'!D246</f>
        <v>9750</v>
      </c>
      <c r="D1423" s="2" t="str">
        <f t="shared" si="21"/>
        <v>Error?</v>
      </c>
    </row>
    <row r="1424" spans="1:4" x14ac:dyDescent="0.2">
      <c r="A1424" s="5">
        <v>1363</v>
      </c>
      <c r="B1424" s="138">
        <f>'Expenditures 15-22'!D257</f>
        <v>32348</v>
      </c>
      <c r="C1424" s="2" t="s">
        <v>573</v>
      </c>
      <c r="D1424" s="2" t="str">
        <f t="shared" si="21"/>
        <v>Error?</v>
      </c>
    </row>
    <row r="1425" spans="1:4" x14ac:dyDescent="0.2">
      <c r="A1425" s="5">
        <v>1364</v>
      </c>
      <c r="B1425" s="138">
        <f>'Expenditures 15-22'!D259</f>
        <v>22426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22426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6438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53550</v>
      </c>
      <c r="D1431" s="2" t="str">
        <f t="shared" si="21"/>
        <v>Error?</v>
      </c>
    </row>
    <row r="1432" spans="1:4" x14ac:dyDescent="0.2">
      <c r="A1432" s="5">
        <v>1371</v>
      </c>
      <c r="B1432" s="138">
        <f>'Expenditures 15-22'!D267</f>
        <v>36845</v>
      </c>
      <c r="D1432" s="2" t="str">
        <f t="shared" si="21"/>
        <v>Error?</v>
      </c>
    </row>
    <row r="1433" spans="1:4" x14ac:dyDescent="0.2">
      <c r="A1433" s="5">
        <v>1372</v>
      </c>
      <c r="B1433" s="138">
        <f>'Expenditures 15-22'!D268</f>
        <v>21141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117974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192385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323007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1830</v>
      </c>
      <c r="C1471" s="2" t="s">
        <v>573</v>
      </c>
      <c r="D1471" s="2" t="str">
        <f t="shared" ref="D1471:D1534" si="22">IF(ISBLANK(B1471),"OK",IF(A1471-B1471=0,"OK","Error?"))</f>
        <v>Error?</v>
      </c>
    </row>
    <row r="1472" spans="1:4" x14ac:dyDescent="0.2">
      <c r="A1472" s="5">
        <v>1411</v>
      </c>
      <c r="B1472" s="138">
        <f>'Expenditures 15-22'!K223</f>
        <v>10530</v>
      </c>
      <c r="C1472" s="2" t="s">
        <v>573</v>
      </c>
      <c r="D1472" s="2" t="str">
        <f t="shared" si="22"/>
        <v>Error?</v>
      </c>
    </row>
    <row r="1473" spans="1:4" x14ac:dyDescent="0.2">
      <c r="A1473" s="5">
        <v>1412</v>
      </c>
      <c r="B1473" s="138">
        <f>'Expenditures 15-22'!K224</f>
        <v>59</v>
      </c>
      <c r="C1473" s="2" t="s">
        <v>573</v>
      </c>
      <c r="D1473" s="2" t="str">
        <f t="shared" si="22"/>
        <v>Error?</v>
      </c>
    </row>
    <row r="1474" spans="1:4" x14ac:dyDescent="0.2">
      <c r="A1474" s="5">
        <v>1413</v>
      </c>
      <c r="B1474" s="138">
        <f>'Expenditures 15-22'!K229</f>
        <v>130622</v>
      </c>
      <c r="C1474" s="2" t="s">
        <v>573</v>
      </c>
      <c r="D1474" s="2" t="str">
        <f t="shared" si="22"/>
        <v>Error?</v>
      </c>
    </row>
    <row r="1475" spans="1:4" x14ac:dyDescent="0.2">
      <c r="A1475" s="5">
        <v>1414</v>
      </c>
      <c r="B1475" s="138">
        <f>'Expenditures 15-22'!K232</f>
        <v>905</v>
      </c>
      <c r="C1475" s="2" t="s">
        <v>573</v>
      </c>
      <c r="D1475" s="2" t="str">
        <f t="shared" si="22"/>
        <v>Error?</v>
      </c>
    </row>
    <row r="1476" spans="1:4" x14ac:dyDescent="0.2">
      <c r="A1476" s="5">
        <v>1415</v>
      </c>
      <c r="B1476" s="138">
        <f>'Expenditures 15-22'!K233</f>
        <v>1944</v>
      </c>
      <c r="C1476" s="2" t="s">
        <v>573</v>
      </c>
      <c r="D1476" s="2" t="str">
        <f t="shared" si="22"/>
        <v>Error?</v>
      </c>
    </row>
    <row r="1477" spans="1:4" x14ac:dyDescent="0.2">
      <c r="A1477" s="5">
        <v>1416</v>
      </c>
      <c r="B1477" s="138">
        <f>'Expenditures 15-22'!K234</f>
        <v>7861</v>
      </c>
      <c r="C1477" s="2" t="s">
        <v>573</v>
      </c>
      <c r="D1477" s="2" t="str">
        <f t="shared" si="22"/>
        <v>Error?</v>
      </c>
    </row>
    <row r="1478" spans="1:4" x14ac:dyDescent="0.2">
      <c r="A1478" s="5">
        <v>1417</v>
      </c>
      <c r="B1478" s="138">
        <f>'Expenditures 15-22'!K235</f>
        <v>853</v>
      </c>
      <c r="C1478" s="2" t="s">
        <v>573</v>
      </c>
      <c r="D1478" s="2" t="str">
        <f t="shared" si="22"/>
        <v>Error?</v>
      </c>
    </row>
    <row r="1479" spans="1:4" x14ac:dyDescent="0.2">
      <c r="A1479" s="5">
        <v>1418</v>
      </c>
      <c r="B1479" s="138">
        <f>'Expenditures 15-22'!K236</f>
        <v>920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12483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7154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7154</v>
      </c>
      <c r="C1485" s="2" t="s">
        <v>573</v>
      </c>
      <c r="D1485" s="2" t="str">
        <f t="shared" si="22"/>
        <v>Error?</v>
      </c>
    </row>
    <row r="1486" spans="1:4" x14ac:dyDescent="0.2">
      <c r="A1486" s="5">
        <v>1425</v>
      </c>
      <c r="B1486" s="138">
        <f>'Expenditures 15-22'!K245</f>
        <v>22598</v>
      </c>
      <c r="C1486" s="2" t="s">
        <v>573</v>
      </c>
      <c r="D1486" s="2" t="str">
        <f t="shared" si="22"/>
        <v>Error?</v>
      </c>
    </row>
    <row r="1487" spans="1:4" x14ac:dyDescent="0.2">
      <c r="A1487" s="5">
        <v>1426</v>
      </c>
      <c r="B1487" s="138">
        <f>'Expenditures 15-22'!K246</f>
        <v>9750</v>
      </c>
      <c r="C1487" s="2" t="s">
        <v>573</v>
      </c>
      <c r="D1487" s="2" t="str">
        <f t="shared" si="22"/>
        <v>Error?</v>
      </c>
    </row>
    <row r="1488" spans="1:4" x14ac:dyDescent="0.2">
      <c r="A1488" s="5">
        <v>1427</v>
      </c>
      <c r="B1488" s="138">
        <f>'Expenditures 15-22'!K257</f>
        <v>32348</v>
      </c>
      <c r="C1488" s="2" t="s">
        <v>573</v>
      </c>
      <c r="D1488" s="2" t="str">
        <f t="shared" si="22"/>
        <v>Error?</v>
      </c>
    </row>
    <row r="1489" spans="1:4" x14ac:dyDescent="0.2">
      <c r="A1489" s="5">
        <v>1428</v>
      </c>
      <c r="B1489" s="138">
        <f>'Expenditures 15-22'!K259</f>
        <v>22426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22426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6438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53550</v>
      </c>
      <c r="C1495" s="2" t="s">
        <v>573</v>
      </c>
      <c r="D1495" s="2" t="str">
        <f t="shared" si="22"/>
        <v>Error?</v>
      </c>
    </row>
    <row r="1496" spans="1:4" x14ac:dyDescent="0.2">
      <c r="A1496" s="5">
        <v>1435</v>
      </c>
      <c r="B1496" s="138">
        <f>'Expenditures 15-22'!K267</f>
        <v>36845</v>
      </c>
      <c r="C1496" s="2" t="s">
        <v>573</v>
      </c>
      <c r="D1496" s="2" t="str">
        <f t="shared" si="22"/>
        <v>Error?</v>
      </c>
    </row>
    <row r="1497" spans="1:4" x14ac:dyDescent="0.2">
      <c r="A1497" s="5">
        <v>1436</v>
      </c>
      <c r="B1497" s="138">
        <f>'Expenditures 15-22'!K268</f>
        <v>21141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117974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192385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323007</v>
      </c>
      <c r="C1517" s="2" t="s">
        <v>573</v>
      </c>
      <c r="D1517" s="2" t="str">
        <f t="shared" si="22"/>
        <v>Error?</v>
      </c>
    </row>
    <row r="1518" spans="1:4" x14ac:dyDescent="0.2">
      <c r="A1518" s="5">
        <v>1457</v>
      </c>
      <c r="B1518" s="138">
        <f>'Expenditures 15-22'!K296</f>
        <v>-65626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7346404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5755617</v>
      </c>
      <c r="C1630" s="2" t="s">
        <v>573</v>
      </c>
      <c r="D1630" s="2" t="str">
        <f t="shared" si="24"/>
        <v>Error?</v>
      </c>
    </row>
    <row r="1631" spans="1:4" x14ac:dyDescent="0.2">
      <c r="A1631" s="5">
        <v>1570</v>
      </c>
      <c r="B1631" s="138">
        <f>'Acct Summary 7-8'!D79</f>
        <v>1084064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722210</v>
      </c>
      <c r="C1644" s="2" t="s">
        <v>573</v>
      </c>
      <c r="D1644" s="2" t="str">
        <f t="shared" si="24"/>
        <v>Error?</v>
      </c>
    </row>
    <row r="1645" spans="1:4" x14ac:dyDescent="0.2">
      <c r="A1645" s="5">
        <v>1584</v>
      </c>
      <c r="B1645" s="138">
        <f>'Acct Summary 7-8'!E79</f>
        <v>856251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307106</v>
      </c>
      <c r="C1658" s="2" t="s">
        <v>573</v>
      </c>
      <c r="D1658" s="2" t="str">
        <f t="shared" si="24"/>
        <v>Error?</v>
      </c>
    </row>
    <row r="1659" spans="1:4" x14ac:dyDescent="0.2">
      <c r="A1659" s="5">
        <v>1598</v>
      </c>
      <c r="B1659" s="138">
        <f>'Acct Summary 7-8'!F79</f>
        <v>804570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793608</v>
      </c>
      <c r="C1672" s="2" t="s">
        <v>573</v>
      </c>
      <c r="D1672" s="2" t="str">
        <f t="shared" si="25"/>
        <v>Error?</v>
      </c>
    </row>
    <row r="1673" spans="1:4" x14ac:dyDescent="0.2">
      <c r="A1673" s="5">
        <v>1612</v>
      </c>
      <c r="B1673" s="138">
        <f>'Acct Summary 7-8'!G79</f>
        <v>791521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725895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2417970</v>
      </c>
      <c r="C1744" s="2" t="s">
        <v>573</v>
      </c>
      <c r="D1744" s="2" t="str">
        <f t="shared" si="26"/>
        <v>Error?</v>
      </c>
    </row>
    <row r="1745" spans="1:5" x14ac:dyDescent="0.2">
      <c r="A1745" s="5">
        <v>1684</v>
      </c>
      <c r="B1745" s="138">
        <f>'Tax Sched 23'!B5</f>
        <v>431355</v>
      </c>
      <c r="C1745" s="2" t="s">
        <v>573</v>
      </c>
      <c r="D1745" s="2" t="str">
        <f t="shared" si="26"/>
        <v>Error?</v>
      </c>
    </row>
    <row r="1746" spans="1:5" x14ac:dyDescent="0.2">
      <c r="A1746" s="5">
        <v>1685</v>
      </c>
      <c r="B1746" s="138">
        <f>'Tax Sched 23'!B6</f>
        <v>956867</v>
      </c>
      <c r="C1746" s="2" t="s">
        <v>573</v>
      </c>
      <c r="D1746" s="2" t="str">
        <f t="shared" si="26"/>
        <v>Error?</v>
      </c>
    </row>
    <row r="1747" spans="1:5" x14ac:dyDescent="0.2">
      <c r="A1747" s="5">
        <v>1686</v>
      </c>
      <c r="B1747" s="138">
        <f>'Tax Sched 23'!B7</f>
        <v>211154</v>
      </c>
      <c r="C1747" s="2" t="s">
        <v>573</v>
      </c>
      <c r="D1747" s="2" t="str">
        <f t="shared" si="26"/>
        <v>Error?</v>
      </c>
    </row>
    <row r="1748" spans="1:5" x14ac:dyDescent="0.2">
      <c r="A1748" s="5">
        <v>1687</v>
      </c>
      <c r="B1748" s="138">
        <f>'Tax Sched 23'!B8</f>
        <v>113184</v>
      </c>
      <c r="C1748" s="2" t="s">
        <v>573</v>
      </c>
      <c r="D1748" s="2" t="str">
        <f t="shared" si="26"/>
        <v>Error?</v>
      </c>
    </row>
    <row r="1749" spans="1:5" x14ac:dyDescent="0.2">
      <c r="A1749" s="5">
        <v>1688</v>
      </c>
      <c r="B1749" s="138">
        <f>'Tax Sched 23'!B10</f>
        <v>22705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6514</v>
      </c>
      <c r="C1752" s="2" t="s">
        <v>573</v>
      </c>
      <c r="D1752" s="2" t="str">
        <f t="shared" si="26"/>
        <v>Error?</v>
      </c>
    </row>
    <row r="1753" spans="1:5" x14ac:dyDescent="0.2">
      <c r="A1753" s="5">
        <v>1692</v>
      </c>
      <c r="B1753" s="138">
        <f>'Tax Sched 23'!B12</f>
        <v>51245</v>
      </c>
      <c r="C1753" s="2" t="s">
        <v>573</v>
      </c>
      <c r="D1753" s="2" t="str">
        <f t="shared" si="26"/>
        <v>Error?</v>
      </c>
    </row>
    <row r="1754" spans="1:5" x14ac:dyDescent="0.2">
      <c r="A1754" s="5">
        <v>1693</v>
      </c>
      <c r="B1754" s="138">
        <f>'Tax Sched 23'!B14</f>
        <v>21484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4333600</v>
      </c>
      <c r="C1759" s="2" t="s">
        <v>573</v>
      </c>
      <c r="D1759" s="2" t="str">
        <f t="shared" si="26"/>
        <v>Error?</v>
      </c>
    </row>
    <row r="1760" spans="1:5" x14ac:dyDescent="0.2">
      <c r="A1760" s="5">
        <v>1699</v>
      </c>
      <c r="B1760" s="138">
        <f>'Tax Sched 23'!D4</f>
        <v>1795136</v>
      </c>
      <c r="C1760" s="2" t="s">
        <v>573</v>
      </c>
      <c r="D1760" s="2" t="str">
        <f t="shared" si="26"/>
        <v>Error?</v>
      </c>
    </row>
    <row r="1761" spans="1:5" x14ac:dyDescent="0.2">
      <c r="A1761" s="5">
        <v>1700</v>
      </c>
      <c r="B1761" s="138">
        <f>'Tax Sched 23'!D5</f>
        <v>320562</v>
      </c>
      <c r="C1761" s="2" t="s">
        <v>573</v>
      </c>
      <c r="D1761" s="2" t="str">
        <f t="shared" si="26"/>
        <v>Error?</v>
      </c>
    </row>
    <row r="1762" spans="1:5" s="8" customFormat="1" x14ac:dyDescent="0.2">
      <c r="A1762" s="5">
        <v>1701</v>
      </c>
      <c r="B1762" s="138">
        <f>'Tax Sched 23'!D6</f>
        <v>706003</v>
      </c>
      <c r="C1762" s="2" t="s">
        <v>573</v>
      </c>
      <c r="D1762" s="2" t="str">
        <f t="shared" si="26"/>
        <v>Error?</v>
      </c>
      <c r="E1762" s="9"/>
    </row>
    <row r="1763" spans="1:5" x14ac:dyDescent="0.2">
      <c r="A1763" s="5">
        <v>1702</v>
      </c>
      <c r="B1763" s="138">
        <f>'Tax Sched 23'!D7</f>
        <v>156777</v>
      </c>
      <c r="C1763" s="2" t="s">
        <v>573</v>
      </c>
      <c r="D1763" s="2" t="str">
        <f t="shared" si="26"/>
        <v>Error?</v>
      </c>
    </row>
    <row r="1764" spans="1:5" x14ac:dyDescent="0.2">
      <c r="A1764" s="5">
        <v>1703</v>
      </c>
      <c r="B1764" s="138">
        <f>'Tax Sched 23'!D8</f>
        <v>85397</v>
      </c>
      <c r="C1764" s="2" t="s">
        <v>573</v>
      </c>
      <c r="D1764" s="2" t="str">
        <f t="shared" si="26"/>
        <v>Error?</v>
      </c>
    </row>
    <row r="1765" spans="1:5" x14ac:dyDescent="0.2">
      <c r="A1765" s="5">
        <v>1704</v>
      </c>
      <c r="B1765" s="138">
        <f>'Tax Sched 23'!D10</f>
        <v>16841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4830</v>
      </c>
      <c r="C1768" s="2" t="s">
        <v>573</v>
      </c>
      <c r="D1768" s="2" t="str">
        <f t="shared" si="26"/>
        <v>Error?</v>
      </c>
    </row>
    <row r="1769" spans="1:5" x14ac:dyDescent="0.2">
      <c r="A1769" s="5">
        <v>1708</v>
      </c>
      <c r="B1769" s="138">
        <f>'Tax Sched 23'!D12</f>
        <v>38038</v>
      </c>
      <c r="C1769" s="2" t="s">
        <v>573</v>
      </c>
      <c r="D1769" s="2" t="str">
        <f t="shared" si="26"/>
        <v>Error?</v>
      </c>
    </row>
    <row r="1770" spans="1:5" x14ac:dyDescent="0.2">
      <c r="A1770" s="5">
        <v>1709</v>
      </c>
      <c r="B1770" s="138">
        <f>'Tax Sched 23'!D14</f>
        <v>15944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3215138</v>
      </c>
      <c r="C1775" s="2" t="s">
        <v>573</v>
      </c>
      <c r="D1775" s="2" t="str">
        <f t="shared" si="26"/>
        <v>Error?</v>
      </c>
    </row>
    <row r="1776" spans="1:5" x14ac:dyDescent="0.2">
      <c r="A1776" s="5">
        <v>1715</v>
      </c>
      <c r="B1776" s="138">
        <f>'Tax Sched 23'!C4</f>
        <v>622834</v>
      </c>
      <c r="D1776" s="2" t="str">
        <f t="shared" si="26"/>
        <v>Error?</v>
      </c>
    </row>
    <row r="1777" spans="1:4" x14ac:dyDescent="0.2">
      <c r="A1777" s="5">
        <v>1716</v>
      </c>
      <c r="B1777" s="138">
        <f>'Tax Sched 23'!C5</f>
        <v>110793</v>
      </c>
      <c r="D1777" s="2" t="str">
        <f t="shared" si="26"/>
        <v>Error?</v>
      </c>
    </row>
    <row r="1778" spans="1:4" x14ac:dyDescent="0.2">
      <c r="A1778" s="5">
        <v>1717</v>
      </c>
      <c r="B1778" s="138">
        <f>'Tax Sched 23'!C6</f>
        <v>250864</v>
      </c>
      <c r="D1778" s="2" t="str">
        <f t="shared" si="26"/>
        <v>Error?</v>
      </c>
    </row>
    <row r="1779" spans="1:4" x14ac:dyDescent="0.2">
      <c r="A1779" s="5">
        <v>1718</v>
      </c>
      <c r="B1779" s="138">
        <f>'Tax Sched 23'!C7</f>
        <v>54377</v>
      </c>
      <c r="D1779" s="2" t="str">
        <f t="shared" si="26"/>
        <v>Error?</v>
      </c>
    </row>
    <row r="1780" spans="1:4" x14ac:dyDescent="0.2">
      <c r="A1780" s="5">
        <v>1719</v>
      </c>
      <c r="B1780" s="138">
        <f>'Tax Sched 23'!C8</f>
        <v>27787</v>
      </c>
      <c r="D1780" s="2" t="str">
        <f t="shared" si="26"/>
        <v>Error?</v>
      </c>
    </row>
    <row r="1781" spans="1:4" x14ac:dyDescent="0.2">
      <c r="A1781" s="5">
        <v>1720</v>
      </c>
      <c r="B1781" s="138">
        <f>'Tax Sched 23'!C10</f>
        <v>5864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1684</v>
      </c>
      <c r="D1784" s="2" t="str">
        <f t="shared" si="26"/>
        <v>Error?</v>
      </c>
    </row>
    <row r="1785" spans="1:4" x14ac:dyDescent="0.2">
      <c r="A1785" s="5">
        <v>1724</v>
      </c>
      <c r="B1785" s="138">
        <f>'Tax Sched 23'!C12</f>
        <v>13207</v>
      </c>
      <c r="D1785" s="2" t="str">
        <f t="shared" si="26"/>
        <v>Error?</v>
      </c>
    </row>
    <row r="1786" spans="1:4" x14ac:dyDescent="0.2">
      <c r="A1786" s="5">
        <v>1725</v>
      </c>
      <c r="B1786" s="138">
        <f>'Tax Sched 23'!C14</f>
        <v>5540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1118462</v>
      </c>
      <c r="C1791" s="2" t="s">
        <v>573</v>
      </c>
      <c r="D1791" s="2" t="str">
        <f t="shared" ref="D1791:D1854" si="27">IF(ISBLANK(B1791),"OK",IF(A1791-B1791=0,"OK","Error?"))</f>
        <v>Error?</v>
      </c>
    </row>
    <row r="1792" spans="1:4" x14ac:dyDescent="0.2">
      <c r="A1792" s="5">
        <v>1731</v>
      </c>
      <c r="B1792" s="138">
        <f>'Tax Sched 23'!F4</f>
        <v>3399203</v>
      </c>
      <c r="C1792" s="2" t="s">
        <v>573</v>
      </c>
      <c r="D1792" s="2" t="str">
        <f t="shared" si="27"/>
        <v>Error?</v>
      </c>
    </row>
    <row r="1793" spans="1:4" x14ac:dyDescent="0.2">
      <c r="A1793" s="5">
        <v>1732</v>
      </c>
      <c r="B1793" s="138">
        <f>'Tax Sched 23'!F5</f>
        <v>604705</v>
      </c>
      <c r="C1793" s="2" t="s">
        <v>573</v>
      </c>
      <c r="D1793" s="2" t="str">
        <f t="shared" si="27"/>
        <v>Error?</v>
      </c>
    </row>
    <row r="1794" spans="1:4" x14ac:dyDescent="0.2">
      <c r="A1794" s="5">
        <v>1733</v>
      </c>
      <c r="B1794" s="138">
        <f>'Tax Sched 23'!F6</f>
        <v>1369214</v>
      </c>
      <c r="C1794" s="2" t="s">
        <v>573</v>
      </c>
      <c r="D1794" s="2" t="str">
        <f t="shared" si="27"/>
        <v>Error?</v>
      </c>
    </row>
    <row r="1795" spans="1:4" x14ac:dyDescent="0.2">
      <c r="A1795" s="5">
        <v>1734</v>
      </c>
      <c r="B1795" s="138">
        <f>'Tax Sched 23'!F7</f>
        <v>296789</v>
      </c>
      <c r="C1795" s="2" t="s">
        <v>573</v>
      </c>
      <c r="D1795" s="2" t="str">
        <f t="shared" si="27"/>
        <v>Error?</v>
      </c>
    </row>
    <row r="1796" spans="1:4" x14ac:dyDescent="0.2">
      <c r="A1796" s="5">
        <v>1735</v>
      </c>
      <c r="B1796" s="138">
        <f>'Tax Sched 23'!F8</f>
        <v>151660</v>
      </c>
      <c r="C1796" s="2" t="s">
        <v>573</v>
      </c>
      <c r="D1796" s="2" t="str">
        <f t="shared" si="27"/>
        <v>Error?</v>
      </c>
    </row>
    <row r="1797" spans="1:4" x14ac:dyDescent="0.2">
      <c r="A1797" s="5">
        <v>1736</v>
      </c>
      <c r="B1797" s="138">
        <f>'Tax Sched 23'!F10</f>
        <v>32010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9192</v>
      </c>
      <c r="C1800" s="2" t="s">
        <v>573</v>
      </c>
      <c r="D1800" s="2" t="str">
        <f t="shared" si="27"/>
        <v>Error?</v>
      </c>
    </row>
    <row r="1801" spans="1:4" x14ac:dyDescent="0.2">
      <c r="A1801" s="5">
        <v>1740</v>
      </c>
      <c r="B1801" s="138">
        <f>'Tax Sched 23'!F12</f>
        <v>72080</v>
      </c>
      <c r="C1801" s="2" t="s">
        <v>573</v>
      </c>
      <c r="D1801" s="2" t="str">
        <f t="shared" si="27"/>
        <v>Error?</v>
      </c>
    </row>
    <row r="1802" spans="1:4" x14ac:dyDescent="0.2">
      <c r="A1802" s="5">
        <v>1741</v>
      </c>
      <c r="B1802" s="138">
        <f>'Tax Sched 23'!F14</f>
        <v>30235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6104331</v>
      </c>
      <c r="C1807" s="2" t="s">
        <v>573</v>
      </c>
      <c r="D1807" s="2" t="str">
        <f t="shared" si="27"/>
        <v>Error?</v>
      </c>
    </row>
    <row r="1808" spans="1:4" x14ac:dyDescent="0.2">
      <c r="A1808" s="5">
        <v>1747</v>
      </c>
      <c r="B1808" s="138">
        <f>'Tax Sched 23'!E4</f>
        <v>4022037</v>
      </c>
      <c r="D1808" s="2" t="str">
        <f t="shared" si="27"/>
        <v>Error?</v>
      </c>
    </row>
    <row r="1809" spans="1:4" x14ac:dyDescent="0.2">
      <c r="A1809" s="5">
        <v>1748</v>
      </c>
      <c r="B1809" s="138">
        <f>'Tax Sched 23'!E5</f>
        <v>715498</v>
      </c>
      <c r="D1809" s="2" t="str">
        <f t="shared" si="27"/>
        <v>Error?</v>
      </c>
    </row>
    <row r="1810" spans="1:4" x14ac:dyDescent="0.2">
      <c r="A1810" s="5">
        <v>1749</v>
      </c>
      <c r="B1810" s="138">
        <f>'Tax Sched 23'!E6</f>
        <v>1620078</v>
      </c>
      <c r="D1810" s="2" t="str">
        <f t="shared" si="27"/>
        <v>Error?</v>
      </c>
    </row>
    <row r="1811" spans="1:4" x14ac:dyDescent="0.2">
      <c r="A1811" s="5">
        <v>1750</v>
      </c>
      <c r="B1811" s="138">
        <f>'Tax Sched 23'!E7</f>
        <v>351166</v>
      </c>
      <c r="D1811" s="2" t="str">
        <f t="shared" si="27"/>
        <v>Error?</v>
      </c>
    </row>
    <row r="1812" spans="1:4" x14ac:dyDescent="0.2">
      <c r="A1812" s="5">
        <v>1751</v>
      </c>
      <c r="B1812" s="138">
        <f>'Tax Sched 23'!E8</f>
        <v>179447</v>
      </c>
      <c r="D1812" s="2" t="str">
        <f t="shared" si="27"/>
        <v>Error?</v>
      </c>
    </row>
    <row r="1813" spans="1:4" x14ac:dyDescent="0.2">
      <c r="A1813" s="5">
        <v>1752</v>
      </c>
      <c r="B1813" s="138">
        <f>'Tax Sched 23'!E10</f>
        <v>37874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10876</v>
      </c>
      <c r="D1816" s="2" t="str">
        <f t="shared" si="27"/>
        <v>Error?</v>
      </c>
    </row>
    <row r="1817" spans="1:4" x14ac:dyDescent="0.2">
      <c r="A1817" s="5">
        <v>1756</v>
      </c>
      <c r="B1817" s="138">
        <f>'Tax Sched 23'!E12</f>
        <v>85287</v>
      </c>
      <c r="D1817" s="2" t="str">
        <f t="shared" si="27"/>
        <v>Error?</v>
      </c>
    </row>
    <row r="1818" spans="1:4" x14ac:dyDescent="0.2">
      <c r="A1818" s="5">
        <v>1757</v>
      </c>
      <c r="B1818" s="138">
        <f>'Tax Sched 23'!E14</f>
        <v>35775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7222793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1085212</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21482</v>
      </c>
      <c r="D1972" s="2" t="str">
        <f t="shared" si="29"/>
        <v>Error?</v>
      </c>
    </row>
    <row r="1973" spans="1:5" x14ac:dyDescent="0.2">
      <c r="A1973" s="5">
        <v>1912</v>
      </c>
      <c r="B1973" s="138">
        <f>'Rest Tax Levies-Tort Im 25'!H6</f>
        <v>322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21804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21804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215049</v>
      </c>
      <c r="D2008" s="2" t="str">
        <f t="shared" si="30"/>
        <v>Error?</v>
      </c>
    </row>
    <row r="2009" spans="1:4" x14ac:dyDescent="0.2">
      <c r="A2009" s="5">
        <v>1948</v>
      </c>
      <c r="B2009" s="138">
        <f>'Cap Outlay Deprec 26'!C8</f>
        <v>21020631</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1426303</v>
      </c>
      <c r="D2011" s="2" t="str">
        <f t="shared" si="30"/>
        <v>Error?</v>
      </c>
    </row>
    <row r="2012" spans="1:4" x14ac:dyDescent="0.2">
      <c r="A2012" s="5">
        <v>1951</v>
      </c>
      <c r="B2012" s="138">
        <f>'Cap Outlay Deprec 26'!C13</f>
        <v>48314</v>
      </c>
      <c r="D2012" s="2" t="str">
        <f t="shared" si="30"/>
        <v>Error?</v>
      </c>
    </row>
    <row r="2013" spans="1:4" x14ac:dyDescent="0.2">
      <c r="A2013" s="5">
        <v>1952</v>
      </c>
      <c r="B2013" s="138">
        <f>'Cap Outlay Deprec 26'!C16</f>
        <v>22710297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105746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105746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136674</v>
      </c>
      <c r="D2023" s="2" t="str">
        <f t="shared" si="30"/>
        <v>Error?</v>
      </c>
    </row>
    <row r="2024" spans="1:4" x14ac:dyDescent="0.2">
      <c r="A2024" s="5">
        <v>1963</v>
      </c>
      <c r="B2024" s="138">
        <f>'Cap Outlay Deprec 26'!E13</f>
        <v>20621</v>
      </c>
      <c r="D2024" s="2" t="str">
        <f t="shared" si="30"/>
        <v>Error?</v>
      </c>
    </row>
    <row r="2025" spans="1:4" x14ac:dyDescent="0.2">
      <c r="A2025" s="5">
        <v>1964</v>
      </c>
      <c r="B2025" s="138">
        <f>'Cap Outlay Deprec 26'!E16</f>
        <v>157295</v>
      </c>
      <c r="C2025" s="2" t="s">
        <v>573</v>
      </c>
      <c r="D2025" s="2" t="str">
        <f t="shared" si="30"/>
        <v>Error?</v>
      </c>
    </row>
    <row r="2026" spans="1:4" x14ac:dyDescent="0.2">
      <c r="A2026" s="5">
        <v>1965</v>
      </c>
      <c r="B2026" s="138">
        <f>'Cap Outlay Deprec 26'!F5</f>
        <v>215049</v>
      </c>
      <c r="C2026" s="2" t="s">
        <v>573</v>
      </c>
      <c r="D2026" s="2" t="str">
        <f t="shared" si="30"/>
        <v>Error?</v>
      </c>
    </row>
    <row r="2027" spans="1:4" x14ac:dyDescent="0.2">
      <c r="A2027" s="5">
        <v>1966</v>
      </c>
      <c r="B2027" s="138">
        <f>'Cap Outlay Deprec 26'!F8</f>
        <v>21020631</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1395375</v>
      </c>
      <c r="C2029" s="2" t="s">
        <v>573</v>
      </c>
      <c r="D2029" s="2" t="str">
        <f t="shared" si="30"/>
        <v>Error?</v>
      </c>
    </row>
    <row r="2030" spans="1:4" x14ac:dyDescent="0.2">
      <c r="A2030" s="5">
        <v>1969</v>
      </c>
      <c r="B2030" s="138">
        <f>'Cap Outlay Deprec 26'!F13</f>
        <v>27693</v>
      </c>
      <c r="C2030" s="2" t="s">
        <v>573</v>
      </c>
      <c r="D2030" s="2" t="str">
        <f t="shared" si="30"/>
        <v>Error?</v>
      </c>
    </row>
    <row r="2031" spans="1:4" x14ac:dyDescent="0.2">
      <c r="A2031" s="5">
        <v>1970</v>
      </c>
      <c r="B2031" s="138">
        <f>'Cap Outlay Deprec 26'!F16</f>
        <v>22658748</v>
      </c>
      <c r="C2031" s="2" t="s">
        <v>573</v>
      </c>
      <c r="D2031" s="2" t="str">
        <f t="shared" si="30"/>
        <v>Error?</v>
      </c>
    </row>
    <row r="2032" spans="1:4" x14ac:dyDescent="0.2">
      <c r="A2032" s="10">
        <v>1971</v>
      </c>
      <c r="D2032" s="2" t="str">
        <f t="shared" si="30"/>
        <v>OK</v>
      </c>
    </row>
    <row r="2033" spans="1:4" x14ac:dyDescent="0.2">
      <c r="A2033" s="5">
        <v>1972</v>
      </c>
      <c r="B2033" s="138">
        <f>'Cap Outlay Deprec 26'!H8</f>
        <v>7626527</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803637</v>
      </c>
      <c r="D2035" s="2" t="str">
        <f t="shared" si="30"/>
        <v>Error?</v>
      </c>
    </row>
    <row r="2036" spans="1:4" x14ac:dyDescent="0.2">
      <c r="A2036" s="5">
        <v>1975</v>
      </c>
      <c r="B2036" s="138">
        <f>'Cap Outlay Deprec 26'!H13</f>
        <v>26159</v>
      </c>
      <c r="D2036" s="2" t="str">
        <f t="shared" si="30"/>
        <v>Error?</v>
      </c>
    </row>
    <row r="2037" spans="1:4" x14ac:dyDescent="0.2">
      <c r="A2037" s="5">
        <v>1976</v>
      </c>
      <c r="B2037" s="138">
        <f>'Cap Outlay Deprec 26'!H16</f>
        <v>8456323</v>
      </c>
      <c r="C2037" s="2" t="s">
        <v>573</v>
      </c>
      <c r="D2037" s="2" t="str">
        <f t="shared" si="30"/>
        <v>Error?</v>
      </c>
    </row>
    <row r="2038" spans="1:4" x14ac:dyDescent="0.2">
      <c r="A2038" s="10">
        <v>1977</v>
      </c>
      <c r="D2038" s="2" t="str">
        <f t="shared" si="30"/>
        <v>OK</v>
      </c>
    </row>
    <row r="2039" spans="1:4" x14ac:dyDescent="0.2">
      <c r="A2039" s="5">
        <v>1978</v>
      </c>
      <c r="B2039" s="138">
        <f>'Cap Outlay Deprec 26'!I8</f>
        <v>420413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139538</v>
      </c>
      <c r="D2041" s="2" t="str">
        <f t="shared" si="30"/>
        <v>Error?</v>
      </c>
    </row>
    <row r="2042" spans="1:4" x14ac:dyDescent="0.2">
      <c r="A2042" s="5">
        <v>1981</v>
      </c>
      <c r="B2042" s="138">
        <f>'Cap Outlay Deprec 26'!I13</f>
        <v>5539</v>
      </c>
      <c r="D2042" s="2" t="str">
        <f t="shared" si="30"/>
        <v>Error?</v>
      </c>
    </row>
    <row r="2043" spans="1:4" x14ac:dyDescent="0.2">
      <c r="A2043" s="5">
        <v>1982</v>
      </c>
      <c r="B2043" s="138">
        <f>'Cap Outlay Deprec 26'!I16</f>
        <v>565490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136674</v>
      </c>
      <c r="D2047" s="2" t="str">
        <f t="shared" ref="D2047:D2110" si="31">IF(ISBLANK(B2047),"OK",IF(A2047-B2047=0,"OK","Error?"))</f>
        <v>Error?</v>
      </c>
    </row>
    <row r="2048" spans="1:4" x14ac:dyDescent="0.2">
      <c r="A2048" s="5">
        <v>1987</v>
      </c>
      <c r="B2048" s="138">
        <f>'Cap Outlay Deprec 26'!J13</f>
        <v>20621</v>
      </c>
      <c r="D2048" s="2" t="str">
        <f t="shared" si="31"/>
        <v>Error?</v>
      </c>
    </row>
    <row r="2049" spans="1:4" x14ac:dyDescent="0.2">
      <c r="A2049" s="5">
        <v>1988</v>
      </c>
      <c r="B2049" s="138">
        <f>'Cap Outlay Deprec 26'!J16</f>
        <v>157295</v>
      </c>
      <c r="C2049" s="2" t="s">
        <v>573</v>
      </c>
      <c r="D2049" s="2" t="str">
        <f t="shared" si="31"/>
        <v>Error?</v>
      </c>
    </row>
    <row r="2050" spans="1:4" x14ac:dyDescent="0.2">
      <c r="A2050" s="10">
        <v>1989</v>
      </c>
      <c r="D2050" s="2" t="str">
        <f t="shared" si="31"/>
        <v>OK</v>
      </c>
    </row>
    <row r="2051" spans="1:4" x14ac:dyDescent="0.2">
      <c r="A2051" s="5">
        <v>1990</v>
      </c>
      <c r="B2051" s="138">
        <f>'Cap Outlay Deprec 26'!K8</f>
        <v>8046940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806501</v>
      </c>
      <c r="C2053" s="2" t="s">
        <v>573</v>
      </c>
      <c r="D2053" s="2" t="str">
        <f t="shared" si="31"/>
        <v>Error?</v>
      </c>
    </row>
    <row r="2054" spans="1:4" x14ac:dyDescent="0.2">
      <c r="A2054" s="5">
        <v>1993</v>
      </c>
      <c r="B2054" s="138">
        <f>'Cap Outlay Deprec 26'!K13</f>
        <v>11077</v>
      </c>
      <c r="C2054" s="2" t="s">
        <v>573</v>
      </c>
      <c r="D2054" s="2" t="str">
        <f t="shared" si="31"/>
        <v>Error?</v>
      </c>
    </row>
    <row r="2055" spans="1:4" x14ac:dyDescent="0.2">
      <c r="A2055" s="5">
        <v>1994</v>
      </c>
      <c r="B2055" s="138">
        <f>'Cap Outlay Deprec 26'!K16</f>
        <v>8864518</v>
      </c>
      <c r="C2055" s="2" t="s">
        <v>573</v>
      </c>
      <c r="D2055" s="2" t="str">
        <f t="shared" si="31"/>
        <v>Error?</v>
      </c>
    </row>
    <row r="2056" spans="1:4" x14ac:dyDescent="0.2">
      <c r="A2056" s="5">
        <v>1995</v>
      </c>
      <c r="B2056" s="138">
        <f>'Cap Outlay Deprec 26'!L5</f>
        <v>215049</v>
      </c>
      <c r="C2056" s="2" t="s">
        <v>573</v>
      </c>
      <c r="D2056" s="2" t="str">
        <f t="shared" si="31"/>
        <v>Error?</v>
      </c>
    </row>
    <row r="2057" spans="1:4" x14ac:dyDescent="0.2">
      <c r="A2057" s="5">
        <v>1996</v>
      </c>
      <c r="B2057" s="138">
        <f>'Cap Outlay Deprec 26'!L8</f>
        <v>12973691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588874</v>
      </c>
      <c r="C2059" s="2" t="s">
        <v>573</v>
      </c>
      <c r="D2059" s="2" t="str">
        <f t="shared" si="31"/>
        <v>Error?</v>
      </c>
    </row>
    <row r="2060" spans="1:4" x14ac:dyDescent="0.2">
      <c r="A2060" s="5">
        <v>1999</v>
      </c>
      <c r="B2060" s="138">
        <f>'Cap Outlay Deprec 26'!L13</f>
        <v>16616</v>
      </c>
      <c r="C2060" s="2" t="s">
        <v>573</v>
      </c>
      <c r="D2060" s="2" t="str">
        <f t="shared" si="31"/>
        <v>Error?</v>
      </c>
    </row>
    <row r="2061" spans="1:4" x14ac:dyDescent="0.2">
      <c r="A2061" s="5">
        <v>2000</v>
      </c>
      <c r="B2061" s="138">
        <f>'Cap Outlay Deprec 26'!L16</f>
        <v>13794230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272952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467999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57842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409154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3396622</v>
      </c>
      <c r="C2551" s="2" t="s">
        <v>573</v>
      </c>
      <c r="D2551" s="2" t="str">
        <f t="shared" si="38"/>
        <v>Error?</v>
      </c>
    </row>
    <row r="2552" spans="1:4" x14ac:dyDescent="0.2">
      <c r="A2552" s="10">
        <v>2491</v>
      </c>
      <c r="D2552" s="2" t="str">
        <f t="shared" si="38"/>
        <v>OK</v>
      </c>
    </row>
    <row r="2553" spans="1:4" x14ac:dyDescent="0.2">
      <c r="A2553" s="5">
        <v>2492</v>
      </c>
      <c r="B2553" s="138">
        <f>'Acct Summary 7-8'!C6</f>
        <v>2910969</v>
      </c>
      <c r="C2553" s="2" t="s">
        <v>573</v>
      </c>
      <c r="D2553" s="2" t="str">
        <f t="shared" si="38"/>
        <v>Error?</v>
      </c>
    </row>
    <row r="2554" spans="1:4" x14ac:dyDescent="0.2">
      <c r="A2554" s="5">
        <v>2493</v>
      </c>
      <c r="B2554" s="138">
        <f>'Acct Summary 7-8'!C7</f>
        <v>459706</v>
      </c>
      <c r="C2554" s="2" t="s">
        <v>573</v>
      </c>
      <c r="D2554" s="2" t="str">
        <f t="shared" si="38"/>
        <v>Error?</v>
      </c>
    </row>
    <row r="2555" spans="1:4" x14ac:dyDescent="0.2">
      <c r="A2555" s="5">
        <v>2494</v>
      </c>
      <c r="B2555" s="138">
        <f>'Acct Summary 7-8'!C8</f>
        <v>6767297</v>
      </c>
      <c r="C2555" s="2" t="s">
        <v>573</v>
      </c>
      <c r="D2555" s="2" t="str">
        <f t="shared" si="38"/>
        <v>Error?</v>
      </c>
    </row>
    <row r="2556" spans="1:4" x14ac:dyDescent="0.2">
      <c r="A2556" s="5">
        <v>2495</v>
      </c>
      <c r="B2556" s="138">
        <f>'Acct Summary 7-8'!C12</f>
        <v>5337383</v>
      </c>
      <c r="C2556" s="2" t="s">
        <v>573</v>
      </c>
      <c r="D2556" s="2" t="str">
        <f t="shared" si="38"/>
        <v>Error?</v>
      </c>
    </row>
    <row r="2557" spans="1:4" x14ac:dyDescent="0.2">
      <c r="A2557" s="5">
        <v>2496</v>
      </c>
      <c r="B2557" s="138">
        <f>'Acct Summary 7-8'!C13</f>
        <v>2552702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467999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8358084</v>
      </c>
      <c r="C2561" s="2" t="s">
        <v>573</v>
      </c>
      <c r="D2561" s="2" t="str">
        <f t="shared" si="39"/>
        <v>Error?</v>
      </c>
    </row>
    <row r="2562" spans="1:4" x14ac:dyDescent="0.2">
      <c r="A2562" s="5">
        <v>2501</v>
      </c>
      <c r="B2562" s="138">
        <f>'Acct Summary 7-8'!C20</f>
        <v>-1590787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520152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520152</v>
      </c>
      <c r="C2568" s="2" t="s">
        <v>573</v>
      </c>
      <c r="D2568" s="2" t="str">
        <f t="shared" si="39"/>
        <v>Error?</v>
      </c>
    </row>
    <row r="2569" spans="1:4" x14ac:dyDescent="0.2">
      <c r="A2569" s="5">
        <v>2508</v>
      </c>
      <c r="B2569" s="138">
        <f>'Acct Summary 7-8'!D13</f>
        <v>882006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882006</v>
      </c>
      <c r="C2573" s="2" t="s">
        <v>573</v>
      </c>
      <c r="D2573" s="2" t="str">
        <f t="shared" si="39"/>
        <v>Error?</v>
      </c>
    </row>
    <row r="2574" spans="1:4" x14ac:dyDescent="0.2">
      <c r="A2574" s="5">
        <v>2513</v>
      </c>
      <c r="B2574" s="138">
        <f>'Acct Summary 7-8'!D20</f>
        <v>-361854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226559</v>
      </c>
      <c r="C2591" s="2" t="s">
        <v>573</v>
      </c>
      <c r="D2591" s="2" t="str">
        <f t="shared" si="39"/>
        <v>Error?</v>
      </c>
    </row>
    <row r="2592" spans="1:4" x14ac:dyDescent="0.2">
      <c r="A2592" s="10">
        <v>2531</v>
      </c>
      <c r="D2592" s="2" t="str">
        <f t="shared" si="39"/>
        <v>OK</v>
      </c>
    </row>
    <row r="2593" spans="1:4" x14ac:dyDescent="0.2">
      <c r="A2593" s="5">
        <v>2532</v>
      </c>
      <c r="B2593" s="138">
        <f>'Acct Summary 7-8'!F6</f>
        <v>307281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533840</v>
      </c>
      <c r="C2595" s="2" t="s">
        <v>573</v>
      </c>
      <c r="D2595" s="2" t="str">
        <f t="shared" si="39"/>
        <v>Error?</v>
      </c>
    </row>
    <row r="2596" spans="1:4" x14ac:dyDescent="0.2">
      <c r="A2596" s="5">
        <v>2535</v>
      </c>
      <c r="B2596" s="138">
        <f>'Acct Summary 7-8'!F13</f>
        <v>544802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544802</v>
      </c>
      <c r="C2600" s="2" t="s">
        <v>573</v>
      </c>
      <c r="D2600" s="2" t="str">
        <f t="shared" si="39"/>
        <v>Error?</v>
      </c>
    </row>
    <row r="2601" spans="1:4" x14ac:dyDescent="0.2">
      <c r="A2601" s="5">
        <v>2540</v>
      </c>
      <c r="B2601" s="138">
        <f>'Acct Summary 7-8'!F20</f>
        <v>-10962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257381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257381</v>
      </c>
      <c r="C2606" s="2" t="s">
        <v>573</v>
      </c>
      <c r="D2606" s="2" t="str">
        <f t="shared" si="39"/>
        <v>Error?</v>
      </c>
    </row>
    <row r="2607" spans="1:4" x14ac:dyDescent="0.2">
      <c r="A2607" s="5">
        <v>2546</v>
      </c>
      <c r="B2607" s="138">
        <f>'Acct Summary 7-8'!G12</f>
        <v>130622</v>
      </c>
      <c r="C2607" s="2" t="s">
        <v>573</v>
      </c>
      <c r="D2607" s="2" t="str">
        <f t="shared" si="39"/>
        <v>Error?</v>
      </c>
    </row>
    <row r="2608" spans="1:4" x14ac:dyDescent="0.2">
      <c r="A2608" s="5">
        <v>2547</v>
      </c>
      <c r="B2608" s="138">
        <f>'Acct Summary 7-8'!G13</f>
        <v>192385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323007</v>
      </c>
      <c r="C2612" s="2" t="s">
        <v>573</v>
      </c>
      <c r="D2612" s="2" t="str">
        <f t="shared" si="39"/>
        <v>Error?</v>
      </c>
    </row>
    <row r="2613" spans="1:4" x14ac:dyDescent="0.2">
      <c r="A2613" s="5">
        <v>2552</v>
      </c>
      <c r="B2613" s="138">
        <f>'Acct Summary 7-8'!G20</f>
        <v>-65626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970855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970855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1520000</v>
      </c>
      <c r="C2634" s="2" t="s">
        <v>573</v>
      </c>
      <c r="D2634" s="2" t="str">
        <f t="shared" si="40"/>
        <v>Error?</v>
      </c>
    </row>
    <row r="2635" spans="1:4" x14ac:dyDescent="0.2">
      <c r="A2635" s="5">
        <v>2574</v>
      </c>
      <c r="B2635" s="138">
        <f>'Acct Summary 7-8'!E17</f>
        <v>1520000</v>
      </c>
      <c r="C2635" s="2" t="s">
        <v>573</v>
      </c>
      <c r="D2635" s="2" t="str">
        <f t="shared" si="40"/>
        <v>Error?</v>
      </c>
    </row>
    <row r="2636" spans="1:4" x14ac:dyDescent="0.2">
      <c r="A2636" s="5">
        <v>2575</v>
      </c>
      <c r="B2636" s="138">
        <f>'Acct Summary 7-8'!E20</f>
        <v>-549145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195047</v>
      </c>
      <c r="C2789" s="2" t="s">
        <v>573</v>
      </c>
      <c r="D2789" s="2" t="str">
        <f t="shared" si="42"/>
        <v>Error?</v>
      </c>
    </row>
    <row r="2790" spans="1:4" x14ac:dyDescent="0.2">
      <c r="A2790" s="5">
        <v>2729</v>
      </c>
      <c r="B2790" s="138">
        <f>'Expenditures 15-22'!E102</f>
        <v>195047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802599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802599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161275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802599</v>
      </c>
      <c r="D2912" s="2" t="str">
        <f t="shared" si="44"/>
        <v>Error?</v>
      </c>
    </row>
    <row r="2913" spans="1:4" x14ac:dyDescent="0.2">
      <c r="A2913" s="5">
        <v>2852</v>
      </c>
      <c r="B2913" s="138">
        <f>'Assets-Liab 5-6'!I41</f>
        <v>802599</v>
      </c>
      <c r="C2913" s="2" t="s">
        <v>573</v>
      </c>
      <c r="D2913" s="2" t="str">
        <f t="shared" si="44"/>
        <v>Error?</v>
      </c>
    </row>
    <row r="2914" spans="1:4" x14ac:dyDescent="0.2">
      <c r="A2914" s="5">
        <v>2853</v>
      </c>
      <c r="B2914" s="138">
        <f>'Assets-Liab 5-6'!L33</f>
        <v>161275</v>
      </c>
      <c r="D2914" s="2" t="str">
        <f t="shared" si="44"/>
        <v>Error?</v>
      </c>
    </row>
    <row r="2915" spans="1:4" x14ac:dyDescent="0.2">
      <c r="A2915" s="10">
        <v>2854</v>
      </c>
      <c r="D2915" s="2" t="str">
        <f t="shared" si="44"/>
        <v>OK</v>
      </c>
    </row>
    <row r="2916" spans="1:4" x14ac:dyDescent="0.2">
      <c r="A2916" s="5">
        <v>2855</v>
      </c>
      <c r="B2916" s="138">
        <f>'Assets-Liab 5-6'!L34</f>
        <v>161275</v>
      </c>
      <c r="C2916" s="2" t="s">
        <v>573</v>
      </c>
      <c r="D2916" s="2" t="str">
        <f t="shared" si="44"/>
        <v>Error?</v>
      </c>
    </row>
    <row r="2917" spans="1:4" x14ac:dyDescent="0.2">
      <c r="A2917" s="5">
        <v>2856</v>
      </c>
      <c r="B2917" s="138">
        <f>'Assets-Liab 5-6'!L41</f>
        <v>161275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195047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406</v>
      </c>
      <c r="D2955" s="2" t="str">
        <f t="shared" si="45"/>
        <v>Error?</v>
      </c>
    </row>
    <row r="2956" spans="1:4" x14ac:dyDescent="0.2">
      <c r="A2956" s="5">
        <v>2895</v>
      </c>
      <c r="B2956" s="138">
        <f>'Expenditures 15-22'!H79</f>
        <v>182966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78407</v>
      </c>
      <c r="D2958" s="2" t="str">
        <f t="shared" si="45"/>
        <v>Error?</v>
      </c>
    </row>
    <row r="2959" spans="1:4" x14ac:dyDescent="0.2">
      <c r="A2959" s="5">
        <v>2898</v>
      </c>
      <c r="B2959" s="138">
        <f>'Expenditures 15-22'!H82</f>
        <v>11173</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406</v>
      </c>
      <c r="C2973" s="2" t="s">
        <v>573</v>
      </c>
      <c r="D2973" s="2" t="str">
        <f t="shared" si="45"/>
        <v>Error?</v>
      </c>
    </row>
    <row r="2974" spans="1:4" x14ac:dyDescent="0.2">
      <c r="A2974" s="5">
        <v>2913</v>
      </c>
      <c r="B2974" s="138">
        <f>'Expenditures 15-22'!K79</f>
        <v>378013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78407</v>
      </c>
      <c r="C2976" s="2" t="s">
        <v>573</v>
      </c>
      <c r="D2976" s="2" t="str">
        <f t="shared" si="45"/>
        <v>Error?</v>
      </c>
    </row>
    <row r="2977" spans="1:4" x14ac:dyDescent="0.2">
      <c r="A2977" s="5">
        <v>2916</v>
      </c>
      <c r="B2977" s="138">
        <f>'Expenditures 15-22'!K82</f>
        <v>11173</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51639</v>
      </c>
      <c r="D3055" s="2" t="str">
        <f t="shared" si="46"/>
        <v>Error?</v>
      </c>
    </row>
    <row r="3056" spans="1:4" x14ac:dyDescent="0.2">
      <c r="A3056" s="5">
        <v>2995</v>
      </c>
      <c r="B3056" s="138">
        <f>'Expenditures 15-22'!D10</f>
        <v>5227</v>
      </c>
      <c r="D3056" s="2" t="str">
        <f t="shared" si="46"/>
        <v>Error?</v>
      </c>
    </row>
    <row r="3057" spans="1:4" x14ac:dyDescent="0.2">
      <c r="A3057" s="5">
        <v>2996</v>
      </c>
      <c r="B3057" s="138">
        <f>'Expenditures 15-22'!E10</f>
        <v>29688</v>
      </c>
      <c r="D3057" s="2" t="str">
        <f t="shared" si="46"/>
        <v>Error?</v>
      </c>
    </row>
    <row r="3058" spans="1:4" x14ac:dyDescent="0.2">
      <c r="A3058" s="5">
        <v>2997</v>
      </c>
      <c r="B3058" s="138">
        <f>'Expenditures 15-22'!F10</f>
        <v>55966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142520</v>
      </c>
      <c r="C3062" s="2" t="s">
        <v>573</v>
      </c>
      <c r="D3062" s="2" t="str">
        <f t="shared" si="46"/>
        <v>Error?</v>
      </c>
    </row>
    <row r="3063" spans="1:4" x14ac:dyDescent="0.2">
      <c r="A3063" s="10">
        <v>3002</v>
      </c>
      <c r="D3063" s="2" t="str">
        <f t="shared" si="46"/>
        <v>OK</v>
      </c>
    </row>
    <row r="3064" spans="1:4" x14ac:dyDescent="0.2">
      <c r="A3064" s="5">
        <v>3003</v>
      </c>
      <c r="B3064" s="138">
        <f>'Expenditures 15-22'!D219</f>
        <v>4583</v>
      </c>
      <c r="D3064" s="2" t="str">
        <f t="shared" si="46"/>
        <v>Error?</v>
      </c>
    </row>
    <row r="3065" spans="1:4" x14ac:dyDescent="0.2">
      <c r="A3065" s="5">
        <v>3004</v>
      </c>
      <c r="B3065" s="138">
        <f>'Expenditures 15-22'!K219</f>
        <v>4583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37340</v>
      </c>
      <c r="C3225" s="2" t="s">
        <v>573</v>
      </c>
      <c r="D3225" s="2" t="str">
        <f t="shared" si="49"/>
        <v>Error?</v>
      </c>
    </row>
    <row r="3226" spans="1:4" x14ac:dyDescent="0.2">
      <c r="A3226" s="5">
        <v>3165</v>
      </c>
      <c r="B3226" s="138">
        <f>'Acct Summary 7-8'!I8</f>
        <v>37340</v>
      </c>
      <c r="C3226" s="2" t="s">
        <v>573</v>
      </c>
      <c r="D3226" s="2" t="str">
        <f t="shared" si="49"/>
        <v>Error?</v>
      </c>
    </row>
    <row r="3227" spans="1:4" x14ac:dyDescent="0.2">
      <c r="A3227" s="5">
        <v>3166</v>
      </c>
      <c r="B3227" s="138">
        <f>'Acct Summary 7-8'!I20</f>
        <v>37340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-1590787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-361854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-10962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-65626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-549145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37340</v>
      </c>
      <c r="C3320" s="2" t="s">
        <v>573</v>
      </c>
      <c r="D3320" s="2" t="str">
        <f t="shared" si="50"/>
        <v>Error?</v>
      </c>
    </row>
    <row r="3321" spans="1:4" x14ac:dyDescent="0.2">
      <c r="A3321" s="5">
        <v>3260</v>
      </c>
      <c r="B3321" s="138">
        <f>'Acct Summary 7-8'!I79</f>
        <v>765259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802599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962311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100855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34249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6484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1103899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42091</v>
      </c>
      <c r="D3387" s="2" t="str">
        <f t="shared" si="51"/>
        <v>Error?</v>
      </c>
    </row>
    <row r="3388" spans="1:4" x14ac:dyDescent="0.2">
      <c r="A3388" s="5">
        <v>3327</v>
      </c>
      <c r="B3388" s="138">
        <f>'Expenditures 15-22'!D217</f>
        <v>71529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42091</v>
      </c>
      <c r="C3390" s="2" t="s">
        <v>573</v>
      </c>
      <c r="D3390" s="2" t="str">
        <f t="shared" si="51"/>
        <v>Error?</v>
      </c>
    </row>
    <row r="3391" spans="1:4" x14ac:dyDescent="0.2">
      <c r="A3391" s="5">
        <v>3330</v>
      </c>
      <c r="B3391" s="138">
        <f>'Expenditures 15-22'!K217</f>
        <v>71529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94545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8680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200</v>
      </c>
      <c r="D3417" s="2" t="str">
        <f t="shared" si="52"/>
        <v>Error?</v>
      </c>
    </row>
    <row r="3418" spans="1:4" x14ac:dyDescent="0.2">
      <c r="A3418" s="10">
        <v>3357</v>
      </c>
      <c r="D3418" s="2" t="str">
        <f t="shared" si="52"/>
        <v>OK</v>
      </c>
    </row>
    <row r="3419" spans="1:4" x14ac:dyDescent="0.2">
      <c r="A3419" s="5">
        <v>3358</v>
      </c>
      <c r="B3419" s="138">
        <f>'Assets-Liab 5-6'!F4</f>
        <v>1846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161275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101122</v>
      </c>
      <c r="C3446" s="2" t="s">
        <v>573</v>
      </c>
      <c r="D3446" s="2" t="str">
        <f t="shared" si="52"/>
        <v>Error?</v>
      </c>
    </row>
    <row r="3447" spans="1:4" x14ac:dyDescent="0.2">
      <c r="A3447" s="5">
        <v>3386</v>
      </c>
      <c r="B3447" s="138">
        <f>'Tax Sched 23'!D16</f>
        <v>75610</v>
      </c>
      <c r="C3447" s="2" t="s">
        <v>573</v>
      </c>
      <c r="D3447" s="2" t="str">
        <f t="shared" si="52"/>
        <v>Error?</v>
      </c>
    </row>
    <row r="3448" spans="1:4" x14ac:dyDescent="0.2">
      <c r="A3448" s="5">
        <v>3387</v>
      </c>
      <c r="B3448" s="138">
        <f>'Tax Sched 23'!C16</f>
        <v>25512</v>
      </c>
      <c r="D3448" s="2" t="str">
        <f t="shared" si="52"/>
        <v>Error?</v>
      </c>
    </row>
    <row r="3449" spans="1:4" x14ac:dyDescent="0.2">
      <c r="A3449" s="5">
        <v>3388</v>
      </c>
      <c r="B3449" s="138">
        <f>'Tax Sched 23'!F16</f>
        <v>139243</v>
      </c>
      <c r="C3449" s="2" t="s">
        <v>573</v>
      </c>
      <c r="D3449" s="2" t="str">
        <f t="shared" si="52"/>
        <v>Error?</v>
      </c>
    </row>
    <row r="3450" spans="1:4" x14ac:dyDescent="0.2">
      <c r="A3450" s="5">
        <v>3389</v>
      </c>
      <c r="B3450" s="138">
        <f>'Tax Sched 23'!E16</f>
        <v>164755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72468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73443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73443</v>
      </c>
      <c r="D3567" s="2" t="str">
        <f t="shared" si="54"/>
        <v>Error?</v>
      </c>
    </row>
    <row r="3568" spans="1:4" x14ac:dyDescent="0.2">
      <c r="A3568" s="5">
        <v>3507</v>
      </c>
      <c r="B3568" s="138">
        <f>'Assets-Liab 5-6'!K41</f>
        <v>73443</v>
      </c>
      <c r="C3568" s="2" t="s">
        <v>573</v>
      </c>
      <c r="D3568" s="2" t="str">
        <f t="shared" si="54"/>
        <v>Error?</v>
      </c>
    </row>
    <row r="3569" spans="1:4" x14ac:dyDescent="0.2">
      <c r="A3569" s="5">
        <v>3508</v>
      </c>
      <c r="B3569" s="138">
        <f>'Acct Summary 7-8'!K4</f>
        <v>52611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52611</v>
      </c>
      <c r="C3571" s="2" t="s">
        <v>573</v>
      </c>
      <c r="D3571" s="2" t="str">
        <f t="shared" si="54"/>
        <v>Error?</v>
      </c>
    </row>
    <row r="3572" spans="1:4" x14ac:dyDescent="0.2">
      <c r="A3572" s="5">
        <v>3511</v>
      </c>
      <c r="B3572" s="138">
        <f>'Acct Summary 7-8'!K13</f>
        <v>215542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215542</v>
      </c>
      <c r="C3575" s="2" t="s">
        <v>573</v>
      </c>
      <c r="D3575" s="2" t="str">
        <f t="shared" si="54"/>
        <v>Error?</v>
      </c>
    </row>
    <row r="3576" spans="1:4" x14ac:dyDescent="0.2">
      <c r="A3576" s="5">
        <v>3515</v>
      </c>
      <c r="B3576" s="138">
        <f>'Acct Summary 7-8'!K20</f>
        <v>-162931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-162931</v>
      </c>
      <c r="C3588" s="2" t="s">
        <v>573</v>
      </c>
      <c r="D3588" s="2" t="str">
        <f t="shared" si="55"/>
        <v>Error?</v>
      </c>
    </row>
    <row r="3589" spans="1:4" x14ac:dyDescent="0.2">
      <c r="A3589" s="5">
        <v>3528</v>
      </c>
      <c r="B3589" s="138">
        <f>'Acct Summary 7-8'!K79</f>
        <v>236374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73443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215542</v>
      </c>
      <c r="D3632" s="2" t="str">
        <f t="shared" si="55"/>
        <v>Error?</v>
      </c>
    </row>
    <row r="3633" spans="1:4" x14ac:dyDescent="0.2">
      <c r="A3633" s="5">
        <v>3572</v>
      </c>
      <c r="B3633" s="138">
        <f>'Expenditures 15-22'!E350</f>
        <v>215542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215542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215542</v>
      </c>
      <c r="C3669" s="2" t="s">
        <v>573</v>
      </c>
      <c r="D3669" s="2" t="str">
        <f t="shared" si="56"/>
        <v>Error?</v>
      </c>
    </row>
    <row r="3670" spans="1:4" x14ac:dyDescent="0.2">
      <c r="A3670" s="5">
        <v>3609</v>
      </c>
      <c r="B3670" s="138">
        <f>'Expenditures 15-22'!K350</f>
        <v>215542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215542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215542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-162931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3144094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9911391</v>
      </c>
      <c r="C4122" s="2" t="s">
        <v>573</v>
      </c>
      <c r="D4122" s="2" t="str">
        <f t="shared" si="63"/>
        <v>Error?</v>
      </c>
    </row>
    <row r="4123" spans="1:4" x14ac:dyDescent="0.2">
      <c r="A4123" s="5">
        <v>4062</v>
      </c>
      <c r="B4123" s="138">
        <f>'Acct Summary 7-8'!D10</f>
        <v>520152</v>
      </c>
      <c r="C4123" s="2" t="s">
        <v>573</v>
      </c>
      <c r="D4123" s="2" t="str">
        <f t="shared" si="63"/>
        <v>Error?</v>
      </c>
    </row>
    <row r="4124" spans="1:4" x14ac:dyDescent="0.2">
      <c r="A4124" s="5">
        <v>4063</v>
      </c>
      <c r="B4124" s="138">
        <f>'Acct Summary 7-8'!E10</f>
        <v>970855</v>
      </c>
      <c r="C4124" s="2" t="s">
        <v>573</v>
      </c>
      <c r="D4124" s="2" t="str">
        <f t="shared" si="63"/>
        <v>Error?</v>
      </c>
    </row>
    <row r="4125" spans="1:4" x14ac:dyDescent="0.2">
      <c r="A4125" s="5">
        <v>4064</v>
      </c>
      <c r="B4125" s="138">
        <f>'Acct Summary 7-8'!F10</f>
        <v>533840</v>
      </c>
      <c r="C4125" s="2" t="s">
        <v>573</v>
      </c>
      <c r="D4125" s="2" t="str">
        <f t="shared" si="63"/>
        <v>Error?</v>
      </c>
    </row>
    <row r="4126" spans="1:4" x14ac:dyDescent="0.2">
      <c r="A4126" s="5">
        <v>4065</v>
      </c>
      <c r="B4126" s="138">
        <f>'Acct Summary 7-8'!G10</f>
        <v>257381</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37340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52611</v>
      </c>
      <c r="C4130" s="2" t="s">
        <v>573</v>
      </c>
      <c r="D4130" s="2" t="str">
        <f t="shared" si="63"/>
        <v>Error?</v>
      </c>
    </row>
    <row r="4131" spans="1:4" x14ac:dyDescent="0.2">
      <c r="A4131" s="5">
        <v>4070</v>
      </c>
      <c r="B4131" s="138">
        <f>'Acct Summary 7-8'!C18</f>
        <v>3144094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11502178</v>
      </c>
      <c r="C4136" s="2" t="s">
        <v>573</v>
      </c>
      <c r="D4136" s="2" t="str">
        <f t="shared" si="63"/>
        <v>Error?</v>
      </c>
    </row>
    <row r="4137" spans="1:4" x14ac:dyDescent="0.2">
      <c r="A4137" s="5">
        <v>4076</v>
      </c>
      <c r="B4137" s="138">
        <f>'Acct Summary 7-8'!D19</f>
        <v>882006</v>
      </c>
      <c r="C4137" s="2" t="s">
        <v>573</v>
      </c>
      <c r="D4137" s="2" t="str">
        <f t="shared" si="63"/>
        <v>Error?</v>
      </c>
    </row>
    <row r="4138" spans="1:4" x14ac:dyDescent="0.2">
      <c r="A4138" s="5">
        <v>4077</v>
      </c>
      <c r="B4138" s="138">
        <f>'Acct Summary 7-8'!E19</f>
        <v>1520000</v>
      </c>
      <c r="C4138" s="2" t="s">
        <v>573</v>
      </c>
      <c r="D4138" s="2" t="str">
        <f t="shared" si="63"/>
        <v>Error?</v>
      </c>
    </row>
    <row r="4139" spans="1:4" x14ac:dyDescent="0.2">
      <c r="A4139" s="5">
        <v>4078</v>
      </c>
      <c r="B4139" s="138">
        <f>'Acct Summary 7-8'!F19</f>
        <v>544802</v>
      </c>
      <c r="C4139" s="2" t="s">
        <v>573</v>
      </c>
      <c r="D4139" s="2" t="str">
        <f t="shared" si="63"/>
        <v>Error?</v>
      </c>
    </row>
    <row r="4140" spans="1:4" x14ac:dyDescent="0.2">
      <c r="A4140" s="5">
        <v>4079</v>
      </c>
      <c r="B4140" s="138">
        <f>'Acct Summary 7-8'!G19</f>
        <v>323007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215542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717144</v>
      </c>
      <c r="C4171" s="2" t="s">
        <v>573</v>
      </c>
      <c r="D4171" s="2" t="str">
        <f t="shared" si="64"/>
        <v>Error?</v>
      </c>
    </row>
    <row r="4172" spans="1:4" x14ac:dyDescent="0.2">
      <c r="A4172" s="5">
        <v>4111</v>
      </c>
      <c r="B4172" s="138">
        <f>'Short-Term Long-Term Debt 24'!J49</f>
        <v>410038</v>
      </c>
      <c r="C4172" s="2" t="s">
        <v>573</v>
      </c>
      <c r="D4172" s="2" t="str">
        <f t="shared" si="64"/>
        <v>Error?</v>
      </c>
    </row>
    <row r="4173" spans="1:4" x14ac:dyDescent="0.2">
      <c r="A4173" s="5">
        <v>4112</v>
      </c>
      <c r="B4173" s="138">
        <f>'Short-Term Long-Term Debt 24'!H49</f>
        <v>368068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4214.0999999999995</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368.09999999999997</v>
      </c>
      <c r="C4267" s="2" t="s">
        <v>573</v>
      </c>
      <c r="D4267" s="2" t="str">
        <f t="shared" si="65"/>
        <v>Error?</v>
      </c>
      <c r="E4267" s="128"/>
    </row>
    <row r="4268" spans="1:5" x14ac:dyDescent="0.2">
      <c r="A4268" s="12">
        <v>4207</v>
      </c>
      <c r="B4268" s="138">
        <f>('FP Info 3'!J10)*100000</f>
        <v>5332</v>
      </c>
      <c r="C4268" s="2" t="s">
        <v>573</v>
      </c>
      <c r="D4268" s="2" t="str">
        <f t="shared" si="65"/>
        <v>Error?</v>
      </c>
    </row>
    <row r="4269" spans="1:5" x14ac:dyDescent="0.2">
      <c r="A4269" s="12">
        <v>4208</v>
      </c>
      <c r="B4269" s="138">
        <f>'FP Info 3'!J16</f>
        <v>8074034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17437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58972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24141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39.700000000000003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1431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95399735</v>
      </c>
      <c r="D4995" s="2" t="str">
        <f t="shared" si="77"/>
        <v>Error?</v>
      </c>
    </row>
    <row r="4996" spans="1:4" x14ac:dyDescent="0.2">
      <c r="A4996" s="12">
        <v>4935</v>
      </c>
      <c r="B4996" s="138">
        <f>'FP Info 3'!H31</f>
        <v>13165163.430000002</v>
      </c>
      <c r="D4996" s="2" t="str">
        <f t="shared" si="77"/>
        <v>Error?</v>
      </c>
    </row>
    <row r="4997" spans="1:4" x14ac:dyDescent="0.2">
      <c r="A4997" s="12">
        <v>4936</v>
      </c>
      <c r="B4997" s="138">
        <f>'FP Info 3'!H37</f>
        <v>717144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2417970</v>
      </c>
      <c r="D5061" s="2" t="str">
        <f t="shared" si="78"/>
        <v>Error?</v>
      </c>
    </row>
    <row r="5062" spans="1:4" x14ac:dyDescent="0.2">
      <c r="A5062" s="10">
        <v>5001</v>
      </c>
      <c r="D5062" s="2" t="str">
        <f t="shared" si="78"/>
        <v>OK</v>
      </c>
    </row>
    <row r="5063" spans="1:4" x14ac:dyDescent="0.2">
      <c r="A5063" s="5">
        <v>5002</v>
      </c>
      <c r="B5063" s="138">
        <f>'Revenues 9-14'!C7</f>
        <v>21484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2439454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286328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286328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2000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2000</v>
      </c>
      <c r="C5087" s="2" t="s">
        <v>573</v>
      </c>
      <c r="D5087" s="2" t="str">
        <f t="shared" si="78"/>
        <v>Error?</v>
      </c>
    </row>
    <row r="5088" spans="1:4" x14ac:dyDescent="0.2">
      <c r="A5088" s="5">
        <v>5027</v>
      </c>
      <c r="B5088" s="138">
        <f>'Revenues 9-14'!C65</f>
        <v>138482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138482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12564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193781</v>
      </c>
      <c r="C5096" s="2" t="s">
        <v>573</v>
      </c>
      <c r="D5096" s="2" t="str">
        <f t="shared" si="78"/>
        <v>Error?</v>
      </c>
    </row>
    <row r="5097" spans="1:4" x14ac:dyDescent="0.2">
      <c r="A5097" s="5">
        <v>5036</v>
      </c>
      <c r="B5097" s="138">
        <f>'Revenues 9-14'!C77</f>
        <v>27173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16747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43920</v>
      </c>
      <c r="C5102" s="2" t="s">
        <v>573</v>
      </c>
      <c r="D5102" s="2" t="str">
        <f t="shared" si="78"/>
        <v>Error?</v>
      </c>
    </row>
    <row r="5103" spans="1:4" x14ac:dyDescent="0.2">
      <c r="A5103" s="5">
        <v>5042</v>
      </c>
      <c r="B5103" s="138">
        <f>'Revenues 9-14'!C84</f>
        <v>85615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676</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86291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3342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203024</v>
      </c>
      <c r="D5119" s="2" t="str">
        <f t="shared" ref="D5119:D5182" si="79">IF(ISBLANK(B5119),"OK",IF(A5119-B5119=0,"OK","Error?"))</f>
        <v>Error?</v>
      </c>
    </row>
    <row r="5120" spans="1:4" x14ac:dyDescent="0.2">
      <c r="A5120" s="5">
        <v>5059</v>
      </c>
      <c r="B5120" s="138">
        <f>'Revenues 9-14'!C108</f>
        <v>206366</v>
      </c>
      <c r="C5120" s="2" t="s">
        <v>573</v>
      </c>
      <c r="D5120" s="2" t="str">
        <f t="shared" si="79"/>
        <v>Error?</v>
      </c>
    </row>
    <row r="5121" spans="1:4" x14ac:dyDescent="0.2">
      <c r="A5121" s="5">
        <v>5060</v>
      </c>
      <c r="B5121" s="138">
        <f>'Revenues 9-14'!C109</f>
        <v>3396622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2842653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2842653</v>
      </c>
      <c r="C5132" s="2" t="s">
        <v>573</v>
      </c>
      <c r="D5132" s="2" t="str">
        <f t="shared" si="79"/>
        <v>Error?</v>
      </c>
    </row>
    <row r="5133" spans="1:4" x14ac:dyDescent="0.2">
      <c r="A5133" s="5">
        <v>5072</v>
      </c>
      <c r="B5133" s="138">
        <f>'Revenues 9-14'!C125</f>
        <v>39567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3335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42902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5724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22544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1439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68316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2910969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98670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98670</v>
      </c>
      <c r="C5246" s="2" t="s">
        <v>573</v>
      </c>
      <c r="D5246" s="2" t="str">
        <f t="shared" si="80"/>
        <v>Error?</v>
      </c>
    </row>
    <row r="5247" spans="1:4" x14ac:dyDescent="0.2">
      <c r="A5247" s="5">
        <v>5186</v>
      </c>
      <c r="B5247" s="138">
        <f>'Revenues 9-14'!C200</f>
        <v>98740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98740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155840</v>
      </c>
      <c r="D5278" s="2" t="str">
        <f t="shared" si="81"/>
        <v>Error?</v>
      </c>
    </row>
    <row r="5279" spans="1:4" x14ac:dyDescent="0.2">
      <c r="A5279" s="5">
        <v>5218</v>
      </c>
      <c r="B5279" s="138">
        <f>'Revenues 9-14'!C214</f>
        <v>5906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161746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459706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459706</v>
      </c>
      <c r="C5326" s="2" t="s">
        <v>573</v>
      </c>
      <c r="D5326" s="2" t="str">
        <f t="shared" si="82"/>
        <v>Error?</v>
      </c>
    </row>
    <row r="5327" spans="1:5" x14ac:dyDescent="0.2">
      <c r="A5327" s="5">
        <v>5266</v>
      </c>
      <c r="B5327" s="138">
        <f>'Revenues 9-14'!C268</f>
        <v>6767297</v>
      </c>
      <c r="C5327" s="2" t="s">
        <v>573</v>
      </c>
      <c r="D5327" s="2" t="str">
        <f t="shared" si="82"/>
        <v>Error?</v>
      </c>
    </row>
    <row r="5328" spans="1:5" x14ac:dyDescent="0.2">
      <c r="A5328" s="5">
        <v>5267</v>
      </c>
      <c r="B5328" s="138">
        <f>'Revenues 9-14'!D5</f>
        <v>431355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431355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19589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19589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1920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67288</v>
      </c>
      <c r="D5354" s="2" t="str">
        <f t="shared" si="82"/>
        <v>Error?</v>
      </c>
    </row>
    <row r="5355" spans="1:4" x14ac:dyDescent="0.2">
      <c r="A5355" s="5">
        <v>5294</v>
      </c>
      <c r="B5355" s="138">
        <f>'Revenues 9-14'!D108</f>
        <v>69208</v>
      </c>
      <c r="C5355" s="2" t="s">
        <v>573</v>
      </c>
      <c r="D5355" s="2" t="str">
        <f t="shared" si="82"/>
        <v>Error?</v>
      </c>
    </row>
    <row r="5356" spans="1:4" x14ac:dyDescent="0.2">
      <c r="A5356" s="5">
        <v>5295</v>
      </c>
      <c r="B5356" s="138">
        <f>'Revenues 9-14'!D109</f>
        <v>520152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520152</v>
      </c>
      <c r="C5508" s="2" t="s">
        <v>573</v>
      </c>
      <c r="D5508" s="2" t="str">
        <f t="shared" si="85"/>
        <v>Error?</v>
      </c>
    </row>
    <row r="5509" spans="1:4" x14ac:dyDescent="0.2">
      <c r="A5509" s="5">
        <v>5448</v>
      </c>
      <c r="B5509" s="138">
        <f>'Revenues 9-14'!E5</f>
        <v>956867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956867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13988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13988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970855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970855</v>
      </c>
      <c r="C5552" s="2" t="s">
        <v>573</v>
      </c>
      <c r="D5552" s="2" t="str">
        <f t="shared" si="85"/>
        <v>Error?</v>
      </c>
    </row>
    <row r="5553" spans="1:4" x14ac:dyDescent="0.2">
      <c r="A5553" s="5">
        <v>5492</v>
      </c>
      <c r="B5553" s="138">
        <f>'Revenues 9-14'!F5</f>
        <v>211154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211154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15405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15405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226559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183218</v>
      </c>
      <c r="D5615" s="2" t="str">
        <f t="shared" si="86"/>
        <v>Error?</v>
      </c>
    </row>
    <row r="5616" spans="1:4" x14ac:dyDescent="0.2">
      <c r="A5616" s="10">
        <v>5555</v>
      </c>
      <c r="D5616" s="2" t="str">
        <f t="shared" si="86"/>
        <v>OK</v>
      </c>
    </row>
    <row r="5617" spans="1:5" x14ac:dyDescent="0.2">
      <c r="A5617" s="5">
        <v>5556</v>
      </c>
      <c r="B5617" s="138">
        <f>'Revenues 9-14'!F153</f>
        <v>124063</v>
      </c>
      <c r="D5617" s="2" t="str">
        <f t="shared" si="86"/>
        <v>Error?</v>
      </c>
    </row>
    <row r="5618" spans="1:5" x14ac:dyDescent="0.2">
      <c r="A5618" s="5">
        <v>5557</v>
      </c>
      <c r="B5618" s="138">
        <f>'Revenues 9-14'!F155</f>
        <v>307281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307281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307281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533840</v>
      </c>
      <c r="C5720" s="2" t="s">
        <v>573</v>
      </c>
      <c r="D5720" s="2" t="str">
        <f t="shared" si="88"/>
        <v>Error?</v>
      </c>
    </row>
    <row r="5721" spans="1:4" x14ac:dyDescent="0.2">
      <c r="A5721" s="5">
        <v>5660</v>
      </c>
      <c r="B5721" s="138">
        <f>'Revenues 9-14'!G5</f>
        <v>113184</v>
      </c>
      <c r="D5721" s="2" t="str">
        <f t="shared" si="88"/>
        <v>Error?</v>
      </c>
    </row>
    <row r="5722" spans="1:4" x14ac:dyDescent="0.2">
      <c r="A5722" s="5">
        <v>5661</v>
      </c>
      <c r="B5722" s="138">
        <f>'Revenues 9-14'!G7</f>
        <v>0</v>
      </c>
      <c r="D5722" s="2" t="str">
        <f t="shared" si="88"/>
        <v>Error?</v>
      </c>
    </row>
    <row r="5723" spans="1:4" x14ac:dyDescent="0.2">
      <c r="A5723" s="5">
        <v>5662</v>
      </c>
      <c r="B5723" s="138">
        <f>'Revenues 9-14'!G8</f>
        <v>101122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214306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26068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26068</v>
      </c>
      <c r="C5730" s="2" t="s">
        <v>573</v>
      </c>
      <c r="D5730" s="2" t="str">
        <f t="shared" si="88"/>
        <v>Error?</v>
      </c>
    </row>
    <row r="5731" spans="1:4" x14ac:dyDescent="0.2">
      <c r="A5731" s="5">
        <v>5670</v>
      </c>
      <c r="B5731" s="138">
        <f>'Revenues 9-14'!G65</f>
        <v>17007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17007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257381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22705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22705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14635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14635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37340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51245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51245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1366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1366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52611</v>
      </c>
      <c r="C6023" s="2" t="s">
        <v>573</v>
      </c>
      <c r="D6023" s="2" t="str">
        <f t="shared" si="93"/>
        <v>Error?</v>
      </c>
    </row>
    <row r="6024" spans="1:5" x14ac:dyDescent="0.2">
      <c r="A6024" s="5">
        <v>5963</v>
      </c>
      <c r="B6024" s="138">
        <f>'Revenues 9-14'!G109</f>
        <v>257381</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37340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52611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181217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21239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816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17984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17984</v>
      </c>
      <c r="D6215" s="2" t="str">
        <f t="shared" si="96"/>
        <v>Error?</v>
      </c>
      <c r="E6215" s="2" t="s">
        <v>190</v>
      </c>
    </row>
    <row r="6216" spans="1:5" x14ac:dyDescent="0.2">
      <c r="A6216">
        <v>6155</v>
      </c>
      <c r="B6216" s="138">
        <f>'Assets-Liab 5-6'!J41</f>
        <v>17984</v>
      </c>
      <c r="D6216" s="2" t="str">
        <f t="shared" si="96"/>
        <v>Error?</v>
      </c>
      <c r="E6216" s="2" t="s">
        <v>190</v>
      </c>
    </row>
    <row r="6217" spans="1:5" x14ac:dyDescent="0.2">
      <c r="A6217">
        <v>6156</v>
      </c>
      <c r="B6217" s="138">
        <f>'Assets-Liab 5-6'!J4</f>
        <v>93</v>
      </c>
      <c r="D6217" s="2" t="str">
        <f t="shared" si="96"/>
        <v>Error?</v>
      </c>
      <c r="E6217" s="2" t="s">
        <v>190</v>
      </c>
    </row>
    <row r="6218" spans="1:5" x14ac:dyDescent="0.2">
      <c r="A6218">
        <v>6157</v>
      </c>
      <c r="B6218" s="138">
        <f>'Assets-Liab 5-6'!J5</f>
        <v>17891</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7044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7044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7044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10398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10398</v>
      </c>
      <c r="D6229" s="2" t="str">
        <f t="shared" si="96"/>
        <v>Error?</v>
      </c>
      <c r="E6229" s="2" t="s">
        <v>190</v>
      </c>
    </row>
    <row r="6230" spans="1:5" x14ac:dyDescent="0.2">
      <c r="A6230">
        <v>6169</v>
      </c>
      <c r="B6230" s="138">
        <f>'Acct Summary 7-8'!J20</f>
        <v>-3354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-3354</v>
      </c>
      <c r="D6263" s="2" t="str">
        <f t="shared" si="96"/>
        <v>Error?</v>
      </c>
      <c r="E6263" s="2" t="s">
        <v>190</v>
      </c>
    </row>
    <row r="6264" spans="1:5" x14ac:dyDescent="0.2">
      <c r="A6264">
        <v>6203</v>
      </c>
      <c r="B6264" s="138">
        <f>'Acct Summary 7-8'!J79</f>
        <v>21338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17984</v>
      </c>
      <c r="D6266" s="2" t="str">
        <f t="shared" si="96"/>
        <v>Error?</v>
      </c>
      <c r="E6266" s="2" t="s">
        <v>190</v>
      </c>
    </row>
    <row r="6267" spans="1:5" x14ac:dyDescent="0.2">
      <c r="A6267">
        <v>6206</v>
      </c>
      <c r="B6267" s="138">
        <f>'Acct Summary 7-8'!C82</f>
        <v>-1590787</v>
      </c>
      <c r="D6267" s="2" t="str">
        <f t="shared" si="96"/>
        <v>Error?</v>
      </c>
      <c r="E6267" s="2" t="s">
        <v>190</v>
      </c>
    </row>
    <row r="6268" spans="1:5" x14ac:dyDescent="0.2">
      <c r="A6268">
        <v>6207</v>
      </c>
      <c r="B6268" s="138">
        <f>'Acct Summary 7-8'!D82</f>
        <v>-361854</v>
      </c>
      <c r="D6268" s="2" t="str">
        <f t="shared" si="96"/>
        <v>Error?</v>
      </c>
      <c r="E6268" s="2" t="s">
        <v>190</v>
      </c>
    </row>
    <row r="6269" spans="1:5" x14ac:dyDescent="0.2">
      <c r="A6269">
        <v>6208</v>
      </c>
      <c r="B6269" s="138">
        <f>'Acct Summary 7-8'!E82</f>
        <v>-549145</v>
      </c>
      <c r="D6269" s="2" t="str">
        <f t="shared" si="96"/>
        <v>Error?</v>
      </c>
      <c r="E6269" s="2" t="s">
        <v>190</v>
      </c>
    </row>
    <row r="6270" spans="1:5" x14ac:dyDescent="0.2">
      <c r="A6270">
        <v>6209</v>
      </c>
      <c r="B6270" s="138">
        <f>'Acct Summary 7-8'!F82</f>
        <v>-10962</v>
      </c>
      <c r="D6270" s="2" t="str">
        <f t="shared" si="96"/>
        <v>Error?</v>
      </c>
      <c r="E6270" s="2" t="s">
        <v>190</v>
      </c>
    </row>
    <row r="6271" spans="1:5" x14ac:dyDescent="0.2">
      <c r="A6271">
        <v>6210</v>
      </c>
      <c r="B6271" s="138">
        <f>'Acct Summary 7-8'!G82</f>
        <v>-65626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37340</v>
      </c>
      <c r="D6273" s="2" t="str">
        <f t="shared" si="97"/>
        <v>Error?</v>
      </c>
      <c r="E6273" s="2" t="s">
        <v>190</v>
      </c>
    </row>
    <row r="6274" spans="1:5" x14ac:dyDescent="0.2">
      <c r="A6274">
        <v>6213</v>
      </c>
      <c r="B6274" s="138">
        <f>'Acct Summary 7-8'!J82</f>
        <v>-3354</v>
      </c>
      <c r="D6274" s="2" t="str">
        <f t="shared" si="97"/>
        <v>Error?</v>
      </c>
      <c r="E6274" s="2" t="s">
        <v>190</v>
      </c>
    </row>
    <row r="6275" spans="1:5" x14ac:dyDescent="0.2">
      <c r="A6275">
        <v>6214</v>
      </c>
      <c r="B6275" s="138">
        <f>'Acct Summary 7-8'!K82</f>
        <v>-162931</v>
      </c>
      <c r="D6275" s="2" t="str">
        <f t="shared" si="97"/>
        <v>Error?</v>
      </c>
      <c r="E6275" s="2" t="s">
        <v>190</v>
      </c>
    </row>
    <row r="6276" spans="1:5" x14ac:dyDescent="0.2">
      <c r="A6276">
        <v>6215</v>
      </c>
      <c r="B6276" s="138">
        <f>'Acct Summary 7-8'!C83</f>
        <v>-0.27638861307137008</v>
      </c>
      <c r="D6276" s="2" t="str">
        <f t="shared" si="97"/>
        <v>Error?</v>
      </c>
      <c r="E6276" s="2" t="s">
        <v>190</v>
      </c>
    </row>
    <row r="6277" spans="1:5" x14ac:dyDescent="0.2">
      <c r="A6277">
        <v>6216</v>
      </c>
      <c r="B6277" s="138">
        <f>'Acct Summary 7-8'!D83</f>
        <v>-0.50103709447390643</v>
      </c>
      <c r="D6277" s="2" t="str">
        <f t="shared" si="97"/>
        <v>Error?</v>
      </c>
      <c r="E6277" s="2" t="s">
        <v>190</v>
      </c>
    </row>
    <row r="6278" spans="1:5" x14ac:dyDescent="0.2">
      <c r="A6278">
        <v>6217</v>
      </c>
      <c r="B6278" s="138">
        <f>'Acct Summary 7-8'!E83</f>
        <v>-1.7881285289118416</v>
      </c>
      <c r="D6278" s="2" t="str">
        <f t="shared" si="97"/>
        <v>Error?</v>
      </c>
      <c r="E6278" s="2" t="s">
        <v>190</v>
      </c>
    </row>
    <row r="6279" spans="1:5" x14ac:dyDescent="0.2">
      <c r="A6279">
        <v>6218</v>
      </c>
      <c r="B6279" s="138">
        <f>'Acct Summary 7-8'!F83</f>
        <v>-1.3812864789669459E-2</v>
      </c>
      <c r="D6279" s="2" t="str">
        <f t="shared" si="97"/>
        <v>Error?</v>
      </c>
      <c r="E6279" s="2" t="s">
        <v>190</v>
      </c>
    </row>
    <row r="6280" spans="1:5" x14ac:dyDescent="0.2">
      <c r="A6280">
        <v>6219</v>
      </c>
      <c r="B6280" s="138">
        <f>'Acct Summary 7-8'!G83</f>
        <v>-9.040701478864023E-2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4.6523855624041398E-2</v>
      </c>
      <c r="D6282" s="2" t="str">
        <f t="shared" si="97"/>
        <v>Error?</v>
      </c>
      <c r="E6282" s="2" t="s">
        <v>190</v>
      </c>
    </row>
    <row r="6283" spans="1:5" x14ac:dyDescent="0.2">
      <c r="A6283">
        <v>6222</v>
      </c>
      <c r="B6283" s="138">
        <f>'Acct Summary 7-8'!J83</f>
        <v>-0.18649911032028471</v>
      </c>
      <c r="D6283" s="2" t="str">
        <f t="shared" si="97"/>
        <v>Error?</v>
      </c>
      <c r="E6283" s="2" t="s">
        <v>190</v>
      </c>
    </row>
    <row r="6284" spans="1:5" x14ac:dyDescent="0.2">
      <c r="A6284">
        <v>6223</v>
      </c>
      <c r="B6284" s="138">
        <f>'Acct Summary 7-8'!K83</f>
        <v>-2.2184687444684994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6514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6514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530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530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7044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16820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10398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7044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10398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10398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10398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10398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10398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10398</v>
      </c>
      <c r="D7224" s="2" t="str">
        <f t="shared" si="111"/>
        <v>Error?</v>
      </c>
    </row>
    <row r="7225" spans="1:4" x14ac:dyDescent="0.2">
      <c r="A7225">
        <v>7164</v>
      </c>
      <c r="B7225" s="138">
        <f>'Expenditures 15-22'!K343</f>
        <v>-3354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565490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21804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X29" sqref="X2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1989</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Pecatonica CUSD 321</v>
      </c>
      <c r="B7" s="2407"/>
      <c r="C7" s="2407"/>
      <c r="D7" s="2408"/>
      <c r="E7" s="2409">
        <f>COVER!A13</f>
        <v>4101321026</v>
      </c>
      <c r="F7" s="2410"/>
      <c r="G7" s="2416" t="str">
        <f>COVER!T23</f>
        <v>066-004023</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Wipfli LLP</v>
      </c>
      <c r="H9" s="2422"/>
      <c r="I9" s="2422"/>
      <c r="J9" s="2422"/>
      <c r="K9" s="2422"/>
      <c r="L9" s="2423"/>
    </row>
    <row r="10" spans="1:29" ht="13.5" customHeight="1" x14ac:dyDescent="0.2">
      <c r="A10" s="2396" t="str">
        <f>COVER!A38</f>
        <v>William Faller</v>
      </c>
      <c r="B10" s="2397"/>
      <c r="C10" s="2397"/>
      <c r="D10" s="2397"/>
      <c r="E10" s="2397"/>
      <c r="F10" s="2398"/>
      <c r="G10" s="2390" t="str">
        <f>COVER!T17</f>
        <v>403 East 3rd Street</v>
      </c>
      <c r="H10" s="2391"/>
      <c r="I10" s="2391"/>
      <c r="J10" s="2391"/>
      <c r="K10" s="2391"/>
      <c r="L10" s="2392"/>
    </row>
    <row r="11" spans="1:29" ht="13.5" customHeight="1" x14ac:dyDescent="0.2">
      <c r="A11" s="1184" t="s">
        <v>1519</v>
      </c>
      <c r="B11" s="1185"/>
      <c r="C11" s="1186"/>
      <c r="D11" s="1191"/>
      <c r="E11" s="1186"/>
      <c r="F11" s="1190"/>
      <c r="G11" s="2390" t="str">
        <f>COVER!T19</f>
        <v>Sterling</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mschueler@wipfli.com</v>
      </c>
      <c r="J13" s="2403"/>
      <c r="K13" s="2403"/>
      <c r="L13" s="2404"/>
    </row>
    <row r="14" spans="1:29" ht="13.5" customHeight="1" x14ac:dyDescent="0.2">
      <c r="A14" s="2390" t="str">
        <f>COVER!A19</f>
        <v>1300 Main Street</v>
      </c>
      <c r="B14" s="2391"/>
      <c r="C14" s="2391"/>
      <c r="D14" s="2391"/>
      <c r="E14" s="2391"/>
      <c r="F14" s="2392"/>
      <c r="G14" s="1195" t="s">
        <v>1185</v>
      </c>
      <c r="H14" s="1193"/>
      <c r="I14" s="1193"/>
      <c r="J14" s="1193"/>
      <c r="K14" s="1193"/>
      <c r="L14" s="1194"/>
    </row>
    <row r="15" spans="1:29" ht="13.5" customHeight="1" x14ac:dyDescent="0.2">
      <c r="A15" s="2390" t="str">
        <f>COVER!A21</f>
        <v xml:space="preserve">Pecatonica  </v>
      </c>
      <c r="B15" s="2391"/>
      <c r="C15" s="2391"/>
      <c r="D15" s="2391"/>
      <c r="E15" s="2391"/>
      <c r="F15" s="2392"/>
      <c r="G15" s="2387" t="str">
        <f>COVER!T15</f>
        <v>Matthew Schueler</v>
      </c>
      <c r="H15" s="2388"/>
      <c r="I15" s="2388"/>
      <c r="J15" s="2388"/>
      <c r="K15" s="2388"/>
      <c r="L15" s="2389"/>
    </row>
    <row r="16" spans="1:29" ht="12.2" customHeight="1" x14ac:dyDescent="0.2">
      <c r="A16" s="2412">
        <f>COVER!A25</f>
        <v>61063</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815-626-1277</v>
      </c>
      <c r="H18" s="2407"/>
      <c r="I18" s="2407"/>
      <c r="J18" s="2407"/>
      <c r="K18" s="2406" t="str">
        <f>COVER!X21</f>
        <v>815-626-9118</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X29" sqref="X2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Pecatonica CUSD 321</v>
      </c>
      <c r="B1" s="2405"/>
      <c r="C1" s="2405"/>
      <c r="D1" s="2405"/>
    </row>
    <row r="2" spans="1:11" s="1212" customFormat="1" ht="12.75" x14ac:dyDescent="0.2">
      <c r="A2" s="2429">
        <f>'Single Audit Cover'!E7</f>
        <v>4101321026</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X29" sqref="X2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Pecatonica CUSD 321</v>
      </c>
      <c r="B1" s="2432"/>
      <c r="C1" s="2432"/>
      <c r="D1" s="2432"/>
      <c r="E1" s="2432"/>
    </row>
    <row r="2" spans="1:5" x14ac:dyDescent="0.2">
      <c r="A2" s="2433">
        <f>'Single Audit Cover'!E7</f>
        <v>4101321026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459706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21239</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-58972</v>
      </c>
    </row>
    <row r="19" spans="1:4" ht="13.5" thickBot="1" x14ac:dyDescent="0.25">
      <c r="A19" s="1262" t="s">
        <v>1235</v>
      </c>
      <c r="D19" s="1263">
        <f>SUM(D10:D17)</f>
        <v>421973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421973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421973</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19"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Pecatonica CUSD 321</v>
      </c>
      <c r="C1" s="2436"/>
      <c r="D1" s="2436"/>
      <c r="E1" s="2436"/>
      <c r="F1" s="2436"/>
      <c r="G1" s="2436"/>
      <c r="H1" s="2436"/>
      <c r="I1" s="2436"/>
      <c r="J1" s="2436"/>
      <c r="K1" s="2436"/>
      <c r="L1" s="2436"/>
      <c r="M1" s="2436"/>
    </row>
    <row r="2" spans="2:14" ht="15" x14ac:dyDescent="0.2">
      <c r="B2" s="2437">
        <f>'Single Audit Cover'!E7</f>
        <v>4101321026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X29" sqref="X2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Pecatonica CUSD 321</v>
      </c>
      <c r="B1" s="2449"/>
      <c r="C1" s="2449"/>
      <c r="D1" s="2449"/>
      <c r="E1" s="2449"/>
      <c r="F1" s="2449"/>
    </row>
    <row r="2" spans="1:7" ht="13.5" customHeight="1" x14ac:dyDescent="0.2">
      <c r="A2" s="2437">
        <f>'Single Audit Cover'!E7</f>
        <v>4101321026</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28" zoomScale="110" zoomScaleNormal="110" workbookViewId="0">
      <selection activeCell="X29" sqref="X2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Pecatonica CUSD 321</v>
      </c>
      <c r="C1" s="2464"/>
      <c r="D1" s="2464"/>
      <c r="E1" s="2464"/>
      <c r="F1" s="2464"/>
      <c r="G1" s="2464"/>
      <c r="H1" s="2464"/>
      <c r="I1" s="2464"/>
      <c r="J1" s="1406"/>
    </row>
    <row r="2" spans="2:10" s="317" customFormat="1" ht="12.75" customHeight="1" x14ac:dyDescent="0.2">
      <c r="B2" s="2465">
        <f>'Single Audit Cover'!E7</f>
        <v>4101321026</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1841</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X29" sqref="X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Pecatonica CUSD 321</v>
      </c>
      <c r="C1" s="2463"/>
      <c r="D1" s="2463"/>
      <c r="E1" s="2463"/>
      <c r="F1" s="2463"/>
      <c r="G1" s="2463"/>
      <c r="H1" s="2463"/>
      <c r="I1" s="2463"/>
      <c r="J1" s="2463"/>
      <c r="K1" s="2463"/>
      <c r="L1" s="1371"/>
      <c r="M1" s="1371"/>
    </row>
    <row r="2" spans="1:13" ht="12" customHeight="1" x14ac:dyDescent="0.2">
      <c r="B2" s="2465">
        <f>'Single Audit Cover'!E7</f>
        <v>4101321026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X29" sqref="X2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Pecatonica CUSD 321</v>
      </c>
      <c r="C1" s="2486"/>
      <c r="D1" s="2486"/>
      <c r="E1" s="2486"/>
      <c r="F1" s="2486"/>
      <c r="G1" s="2486"/>
      <c r="H1" s="2486"/>
      <c r="I1" s="2486"/>
      <c r="J1" s="2486"/>
      <c r="K1" s="2486"/>
      <c r="L1" s="1449"/>
    </row>
    <row r="2" spans="1:12" ht="12.75" customHeight="1" x14ac:dyDescent="0.2">
      <c r="B2" s="2487">
        <f>'Single Audit Cover'!E7</f>
        <v>4101321026</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X29" sqref="X2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Pecatonica CUSD 321</v>
      </c>
      <c r="C1" s="2463"/>
      <c r="D1" s="2463"/>
      <c r="E1" s="1469"/>
    </row>
    <row r="2" spans="2:5" s="1279" customFormat="1" ht="12.75" customHeight="1" x14ac:dyDescent="0.2">
      <c r="B2" s="2465">
        <f>'Single Audit Cover'!E7</f>
        <v>4101321026</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purl.org/dc/dcmitype/"/>
    <ds:schemaRef ds:uri="6ce3111e-7420-4802-b50a-75d4e9a0b980"/>
    <ds:schemaRef ds:uri="http://schemas.microsoft.com/office/2006/metadata/propertie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2019-10-28T14:09:03Z</cp:lastPrinted>
  <dcterms:created xsi:type="dcterms:W3CDTF">2003-10-29T19:06:34Z</dcterms:created>
  <dcterms:modified xsi:type="dcterms:W3CDTF">2019-12-23T17:00:21Z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