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BB10218-3BB6-4FF0-93D0-88194EF1362C}" xr6:coauthVersionLast="36" xr6:coauthVersionMax="36" xr10:uidLastSave="{00000000-0000-0000-0000-000000000000}"/>
  <bookViews>
    <workbookView xWindow="20370" yWindow="-2100" windowWidth="24240" windowHeight="13140" tabRatio="67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1" i="106" s="1"/>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3" i="127"/>
  <c r="B64" i="127"/>
  <c r="D26" i="108"/>
  <c r="E26" i="108"/>
  <c r="F26" i="108"/>
  <c r="D27" i="108"/>
  <c r="E27" i="108"/>
  <c r="F27" i="108"/>
  <c r="G27" i="108"/>
  <c r="E28" i="108"/>
  <c r="F28" i="108"/>
  <c r="F31" i="108"/>
  <c r="F36" i="108"/>
  <c r="F37" i="108"/>
  <c r="G28" i="108"/>
  <c r="E29" i="108"/>
  <c r="G30" i="108"/>
  <c r="D31" i="108"/>
  <c r="D36" i="108"/>
  <c r="D37" i="108"/>
  <c r="E31" i="108"/>
  <c r="G31" i="108"/>
  <c r="E33" i="108"/>
  <c r="G33" i="108"/>
  <c r="E34" i="108"/>
  <c r="G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22" i="37"/>
  <c r="J22" i="37"/>
  <c r="L22" i="37"/>
  <c r="L5" i="11"/>
  <c r="B2056" i="106" s="1"/>
  <c r="D2056" i="106" s="1"/>
  <c r="B5752" i="106"/>
  <c r="D5752" i="106" s="1"/>
  <c r="J352" i="29" l="1"/>
  <c r="J367" i="29" s="1"/>
  <c r="B7245" i="106" s="1"/>
  <c r="L342" i="29"/>
  <c r="E38" i="108"/>
  <c r="G38" i="108"/>
  <c r="E30" i="108"/>
  <c r="B4268" i="106"/>
  <c r="D4268" i="106" s="1"/>
  <c r="H33" i="118"/>
  <c r="D9" i="7"/>
  <c r="B1767" i="106" s="1"/>
  <c r="D1767" i="106" s="1"/>
  <c r="C342" i="29"/>
  <c r="B7216" i="106" s="1"/>
  <c r="D7216" i="106" s="1"/>
  <c r="H365" i="29"/>
  <c r="B7242" i="106" s="1"/>
  <c r="D7242" i="106" s="1"/>
  <c r="I24" i="12"/>
  <c r="B1996" i="106" s="1"/>
  <c r="D1996" i="106" s="1"/>
  <c r="B7235" i="106"/>
  <c r="D7235" i="106" s="1"/>
  <c r="B3254" i="106"/>
  <c r="D3254" i="106" s="1"/>
  <c r="L15" i="11"/>
  <c r="B3459" i="106" s="1"/>
  <c r="D3459" i="106" s="1"/>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C151" i="29" s="1"/>
  <c r="B1226" i="106" s="1"/>
  <c r="D1226" i="106" s="1"/>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C114" i="29" l="1"/>
  <c r="B757" i="106" s="1"/>
  <c r="D757" i="106" s="1"/>
  <c r="L16" i="11"/>
  <c r="B2061" i="106" s="1"/>
  <c r="D2061" i="106" s="1"/>
  <c r="B2031" i="106"/>
  <c r="D2031" i="106" s="1"/>
  <c r="D7256" i="106"/>
  <c r="D7251" i="106"/>
  <c r="G170" i="5"/>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5778" i="106"/>
  <c r="D5778" i="106" s="1"/>
  <c r="G6" i="4"/>
  <c r="B2604" i="106" s="1"/>
  <c r="D2604"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27" i="106"/>
  <c r="D6227" i="106" s="1"/>
  <c r="J19" i="4"/>
  <c r="B6229" i="106" s="1"/>
  <c r="D6229"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175" i="34"/>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<sst xmlns="http://schemas.openxmlformats.org/spreadsheetml/2006/main" count="5083" uniqueCount="2109">
  <si>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</si>
  <si>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</si>
  <si>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</si>
  <si>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</si>
  <si>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</si>
  <si>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</si>
  <si>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</si>
  <si>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</si>
  <si>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</si>
  <si>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</si>
  <si>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</si>
  <si>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</si>
  <si>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</si>
  <si>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</si>
  <si>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</si>
  <si>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</si>
  <si>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</si>
  <si>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</si>
  <si>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</si>
  <si>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</si>
  <si>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</si>
  <si>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</si>
  <si>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</si>
  <si>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</si>
  <si>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</si>
  <si>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</si>
  <si>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</si>
  <si>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</si>
  <si>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</si>
  <si>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</si>
  <si>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</si>
  <si>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</si>
  <si>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</si>
  <si>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</si>
  <si>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</si>
  <si>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</si>
  <si>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</si>
  <si>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</si>
  <si>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</si>
  <si>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</si>
  <si>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</si>
  <si>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</si>
  <si>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</si>
  <si>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</si>
  <si>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</si>
  <si>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</si>
  <si>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</si>
  <si>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</si>
  <si>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</si>
  <si>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</si>
  <si>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</si>
  <si>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</si>
  <si>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</si>
  <si>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</si>
  <si>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</si>
  <si>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</si>
  <si>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</si>
  <si>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</si>
  <si>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</si>
  <si>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</si>
  <si>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</si>
  <si>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</si>
  <si>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</si>
  <si>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</si>
  <si>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</si>
  <si>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</si>
  <si>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</si>
  <si>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</si>
  <si>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</si>
  <si>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</si>
  <si>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</si>
  <si>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</si>
  <si>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</si>
  <si>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</si>
  <si>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</si>
  <si>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</si>
  <si>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</si>
  <si>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</si>
  <si>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</si>
  <si>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</si>
  <si>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</si>
  <si>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</si>
  <si>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</si>
  <si>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</si>
  <si>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</si>
  <si>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</si>
  <si>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</si>
  <si>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</si>
  <si>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</si>
  <si>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</si>
  <si>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</si>
  <si>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</si>
  <si>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</si>
  <si>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</si>
  <si>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</si>
  <si>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</si>
  <si>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</si>
  <si>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</si>
  <si>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</si>
  <si>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</si>
  <si>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</si>
  <si>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</si>
  <si>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</si>
  <si>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</si>
  <si>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</si>
  <si>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</si>
  <si>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</si>
  <si>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</si>
  <si>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</si>
  <si>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</si>
  <si>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</si>
  <si>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</si>
  <si>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</si>
  <si>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</si>
  <si>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</si>
  <si>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</si>
  <si>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</si>
  <si>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</si>
  <si>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</si>
  <si>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</si>
  <si>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</si>
  <si>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</si>
  <si>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</si>
  <si>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</si>
  <si>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</si>
  <si>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</si>
  <si>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</si>
  <si>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</si>
  <si>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</si>
  <si>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</si>
  <si>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</si>
  <si>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</si>
  <si>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</si>
  <si>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</si>
  <si>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</si>
  <si>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</si>
  <si>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</si>
  <si>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</si>
  <si>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</si>
  <si>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</si>
  <si>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</si>
  <si>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</si>
  <si>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</si>
  <si>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</si>
  <si>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</si>
  <si>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</si>
  <si>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</si>
  <si>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</si>
  <si>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</si>
  <si>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</si>
  <si>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</si>
  <si>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</si>
  <si>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</si>
  <si>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</si>
  <si>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</si>
  <si>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</si>
  <si>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</si>
  <si>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</si>
  <si>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</si>
  <si>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</si>
  <si>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</si>
  <si>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</si>
  <si>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</si>
  <si>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</si>
  <si>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</si>
  <si>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</si>
  <si>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</si>
  <si>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</si>
  <si>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</si>
  <si>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</si>
  <si>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</si>
  <si>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</si>
  <si>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</si>
  <si>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</si>
  <si>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</si>
  <si>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</si>
  <si>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</si>
  <si>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</si>
  <si>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</si>
  <si>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</si>
  <si>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</si>
  <si>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</si>
  <si>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</si>
  <si>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</si>
  <si>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</si>
  <si>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</si>
  <si>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</si>
  <si>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</si>
  <si>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</si>
  <si>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</si>
  <si>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</si>
  <si>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</si>
  <si>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</si>
  <si>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</si>
  <si>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</si>
  <si>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</si>
  <si>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</si>
  <si>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</si>
  <si>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</si>
  <si>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</si>
  <si>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</si>
  <si>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</si>
  <si>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</si>
  <si>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</si>
  <si>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</si>
  <si>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</si>
  <si>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</si>
  <si>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</si>
  <si>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</si>
  <si>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</si>
  <si>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</si>
  <si>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</si>
  <si>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</si>
  <si>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</si>
  <si>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</si>
  <si>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</si>
  <si>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</si>
  <si>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</si>
  <si>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</si>
  <si>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</si>
  <si>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</si>
  <si>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</si>
  <si>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</si>
  <si>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</si>
  <si>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</si>
  <si>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</si>
  <si>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</si>
  <si>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</si>
  <si>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</si>
  <si>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</si>
  <si>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</si>
  <si>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</si>
  <si>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</si>
  <si>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</si>
  <si>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</si>
  <si>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</si>
  <si>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</si>
  <si>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</si>
  <si>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</si>
  <si>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</si>
  <si>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</si>
  <si>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</si>
  <si>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</si>
  <si>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</si>
  <si>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</si>
  <si>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</si>
  <si>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</si>
  <si>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</si>
  <si>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</si>
  <si>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</si>
  <si>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</si>
  <si>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</si>
  <si>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</si>
  <si>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</si>
  <si>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</si>
  <si>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</si>
  <si>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</si>
  <si>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</si>
  <si>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</si>
  <si>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</si>
  <si>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</si>
  <si>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</si>
  <si>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</si>
  <si>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</si>
  <si>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</si>
  <si>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</si>
  <si>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</si>
  <si>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</si>
  <si>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</si>
  <si>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</si>
  <si>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</si>
  <si>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</si>
  <si>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</si>
  <si>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</si>
  <si>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</si>
  <si>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</si>
  <si>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</si>
  <si>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</si>
  <si>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</si>
  <si>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</si>
  <si>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</si>
  <si>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</si>
  <si>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</si>
  <si>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</si>
  <si>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</si>
  <si>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</si>
  <si>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</si>
  <si>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</si>
  <si>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</si>
  <si>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</si>
  <si>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</si>
  <si>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</si>
  <si>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</si>
  <si>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</si>
  <si>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</si>
  <si>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</si>
  <si>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</si>
  <si>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</si>
  <si>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</si>
  <si>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</si>
  <si>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</si>
  <si>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</si>
  <si>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</si>
  <si>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</si>
  <si>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</si>
  <si>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</si>
  <si>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</si>
  <si>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</si>
  <si>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</si>
  <si>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</si>
  <si>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</si>
  <si>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</si>
  <si>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</si>
  <si>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</si>
  <si>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</si>
  <si>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</si>
  <si>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</si>
  <si>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</si>
  <si>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</si>
  <si>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</si>
  <si>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</si>
  <si>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</si>
  <si>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</si>
  <si>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</si>
  <si>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</si>
  <si>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</si>
  <si>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</si>
  <si>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</si>
  <si>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</si>
  <si>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</si>
  <si>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</si>
  <si>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</si>
  <si>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</si>
  <si>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</si>
  <si>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</si>
  <si>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</si>
  <si>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</si>
  <si>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</si>
  <si>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</si>
  <si>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</si>
  <si>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</si>
  <si>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</si>
  <si>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</si>
  <si>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</si>
  <si>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</si>
  <si>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</si>
  <si>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</si>
  <si>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</si>
  <si>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</si>
  <si>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</si>
  <si>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</si>
  <si>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</si>
  <si>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</si>
  <si>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</si>
  <si>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</si>
  <si>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</si>
  <si>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</si>
  <si>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</si>
  <si>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</si>
  <si>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</si>
  <si>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</si>
  <si>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</si>
  <si>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</si>
  <si>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</si>
  <si>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</si>
  <si>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</si>
  <si>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</si>
  <si>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</si>
  <si>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</si>
  <si>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</si>
  <si>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</si>
  <si>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</si>
  <si>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</si>
  <si>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</si>
  <si>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</si>
  <si>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</si>
  <si>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</si>
  <si>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</si>
  <si>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</si>
  <si>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</si>
  <si>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</si>
  <si>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</si>
  <si>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</si>
  <si>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</si>
  <si>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</si>
  <si>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</si>
  <si>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</si>
  <si>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</si>
  <si>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</si>
  <si>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</si>
  <si>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</si>
  <si>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</si>
  <si>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</si>
  <si>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</si>
  <si>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</si>
  <si>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</si>
  <si>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</si>
  <si>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</si>
  <si>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</si>
  <si>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</si>
  <si>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</si>
  <si>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</si>
  <si>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</si>
  <si>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</si>
  <si>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</si>
  <si>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</si>
  <si>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</si>
  <si>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</si>
  <si>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</si>
  <si>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</si>
  <si>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</si>
  <si>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</si>
  <si>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</si>
  <si>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</si>
  <si>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</si>
  <si>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</si>
  <si>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</si>
  <si>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</si>
  <si>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</si>
  <si>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</si>
  <si>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</si>
  <si>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</si>
  <si>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</si>
  <si>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</si>
  <si>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</si>
  <si>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</si>
  <si>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</si>
  <si>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</si>
  <si>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</si>
  <si>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</si>
  <si>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</si>
  <si>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</si>
  <si>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</si>
  <si>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</si>
  <si>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</si>
  <si>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</si>
  <si>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</si>
  <si>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</si>
  <si>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</si>
  <si>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</si>
  <si>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</si>
  <si>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</si>
  <si>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</si>
  <si>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</si>
  <si>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</si>
  <si>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</si>
  <si>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</si>
  <si>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</si>
  <si>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</si>
  <si>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</si>
  <si>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</si>
  <si>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</si>
  <si>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</si>
  <si>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</si>
  <si>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</si>
  <si>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</si>
  <si>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</si>
  <si>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</si>
  <si>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</si>
  <si>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</si>
  <si>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</si>
  <si>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</si>
  <si>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</si>
  <si>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</si>
  <si>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</si>
  <si>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</si>
  <si>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</si>
  <si>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</si>
  <si>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</si>
  <si>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</si>
  <si>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</si>
  <si>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</si>
  <si>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</si>
  <si>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</si>
  <si>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</si>
  <si>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</si>
  <si>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</si>
  <si>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</si>
  <si>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</si>
  <si>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</si>
  <si>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</si>
  <si>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</si>
  <si>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</si>
  <si>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</si>
  <si>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</si>
  <si>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</si>
  <si>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</si>
  <si>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</si>
  <si>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</si>
  <si>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</si>
  <si>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</si>
  <si>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</si>
  <si>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</si>
  <si>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</si>
  <si>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</si>
  <si>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</si>
  <si>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</si>
  <si>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</si>
  <si>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</si>
  <si>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</si>
  <si>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</si>
  <si>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</si>
  <si>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</si>
  <si>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</si>
  <si>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</si>
  <si>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</si>
  <si>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</si>
  <si>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</si>
  <si>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</si>
  <si>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</si>
  <si>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</si>
  <si>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</si>
  <si>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</si>
  <si>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</si>
  <si>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</si>
  <si>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</si>
  <si>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</si>
  <si>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</si>
  <si>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</si>
  <si>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</si>
  <si>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</si>
  <si>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</si>
  <si>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</si>
  <si>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</si>
  <si>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</si>
  <si>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</si>
  <si>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</si>
  <si>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</si>
  <si>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</si>
  <si>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</si>
  <si>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</si>
  <si>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</si>
  <si>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</si>
  <si>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</si>
  <si>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</si>
  <si>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</si>
  <si>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</si>
  <si>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</si>
  <si>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</si>
  <si>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</si>
  <si>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</si>
  <si>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</si>
  <si>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</si>
  <si>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</si>
  <si>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</si>
  <si>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</si>
  <si>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</si>
  <si>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</si>
  <si>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</si>
  <si>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</si>
  <si>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</si>
  <si>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</si>
  <si>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</si>
  <si>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</si>
  <si>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</si>
  <si>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</si>
  <si>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</si>
  <si>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</si>
  <si>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</si>
  <si>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</si>
  <si>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</si>
  <si>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</si>
  <si>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</si>
  <si>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</si>
  <si>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</si>
  <si>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</si>
  <si>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</si>
  <si>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</si>
  <si>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</si>
  <si>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</si>
  <si>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</si>
  <si>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</si>
  <si>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</si>
  <si>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</si>
  <si>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</si>
  <si>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</si>
  <si>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</si>
  <si>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</si>
  <si>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</si>
  <si>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</si>
  <si>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</si>
  <si>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</si>
  <si>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</si>
  <si>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</si>
  <si>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</si>
  <si>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</si>
  <si>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</si>
  <si>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</si>
  <si>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</si>
  <si>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</si>
  <si>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</si>
  <si>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</si>
  <si>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</si>
  <si>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</si>
  <si>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</si>
  <si>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</si>
  <si>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</si>
  <si>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</si>
  <si>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</si>
  <si>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</si>
  <si>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</si>
  <si>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</si>
  <si>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</si>
  <si>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</si>
  <si>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</si>
  <si>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</si>
  <si>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</si>
  <si>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</si>
  <si>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</si>
  <si>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</si>
  <si>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</si>
  <si>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</si>
  <si>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</si>
  <si>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</si>
  <si>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</si>
  <si>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</si>
  <si>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</si>
  <si>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</si>
  <si>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</si>
  <si>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</si>
  <si>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</si>
  <si>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</si>
  <si>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</si>
  <si>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</si>
  <si>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</si>
  <si>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</si>
  <si>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</si>
  <si>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</si>
  <si>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</si>
  <si>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</si>
  <si>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</si>
  <si>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</si>
  <si>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</si>
  <si>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</si>
  <si>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</si>
  <si>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</si>
  <si>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</si>
  <si>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</si>
  <si>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</si>
  <si>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</si>
  <si>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</si>
  <si>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</si>
  <si>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</si>
  <si>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</si>
  <si>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</si>
  <si>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</si>
  <si>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</si>
  <si>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</si>
  <si>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</si>
  <si>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</si>
  <si>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</si>
  <si>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</si>
  <si>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</si>
  <si>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</si>
  <si>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</si>
  <si>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</si>
  <si>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</si>
  <si>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</si>
  <si>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</si>
  <si>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</si>
  <si>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</si>
  <si>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</si>
  <si>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</si>
  <si>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</si>
  <si>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</si>
  <si>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</si>
  <si>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</si>
  <si>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</si>
  <si>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</si>
  <si>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</si>
  <si>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</si>
  <si>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</si>
  <si>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</si>
  <si>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</si>
  <si>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</si>
  <si>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</si>
  <si>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</si>
  <si>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</si>
  <si>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</si>
  <si>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</si>
  <si>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</si>
  <si>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</si>
  <si>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</si>
  <si>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</si>
  <si>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</si>
  <si>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</si>
  <si>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</si>
  <si>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</si>
  <si>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</si>
  <si>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</si>
  <si>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</si>
  <si>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</si>
  <si>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</si>
  <si>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</si>
  <si>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</si>
  <si>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</si>
  <si>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</si>
  <si>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</si>
  <si>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</si>
  <si>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</si>
  <si>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</si>
  <si>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</si>
  <si>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</si>
  <si>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</si>
  <si>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</si>
  <si>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</si>
  <si>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</si>
  <si>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</si>
  <si>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</si>
  <si>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</si>
  <si>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</si>
  <si>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</si>
  <si>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</si>
  <si>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</si>
  <si>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</si>
  <si>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</si>
  <si>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</si>
  <si>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</si>
  <si>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</si>
  <si>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</si>
  <si>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</si>
  <si>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</si>
  <si>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</si>
  <si>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</si>
  <si>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</si>
  <si>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</si>
  <si>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</si>
  <si>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</si>
  <si>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</si>
  <si>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</si>
  <si>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</si>
  <si>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</si>
  <si>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</si>
  <si>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</si>
  <si>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</si>
  <si>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</si>
  <si>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</si>
  <si>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</si>
  <si>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</si>
  <si>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</si>
  <si>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</si>
  <si>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</si>
  <si>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</si>
  <si>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</si>
  <si>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</si>
  <si>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</si>
  <si>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</si>
  <si>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</si>
  <si>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</si>
  <si>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</si>
  <si>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</si>
  <si>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</si>
  <si>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</si>
  <si>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</si>
  <si>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</si>
  <si>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</si>
  <si>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</si>
  <si>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</si>
  <si>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</si>
  <si>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</si>
  <si>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</si>
  <si>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</si>
  <si>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</si>
  <si>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</si>
  <si>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</si>
  <si>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</si>
  <si>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</si>
  <si>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</si>
  <si>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</si>
  <si>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</si>
  <si>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</si>
  <si>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</si>
  <si>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</si>
  <si>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</si>
  <si>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</si>
  <si>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</si>
  <si>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</si>
  <si>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</si>
  <si>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</si>
  <si>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</si>
  <si>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</si>
  <si>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</si>
  <si>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</si>
  <si>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</si>
  <si>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</si>
  <si>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</si>
  <si>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</si>
  <si>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</si>
  <si>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</si>
  <si>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</si>
  <si>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</si>
  <si>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</si>
  <si>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</si>
  <si>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</si>
  <si>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</si>
  <si>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</si>
  <si>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</si>
  <si>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</si>
  <si>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</si>
  <si>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</si>
  <si>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</si>
  <si>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</si>
  <si>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</si>
  <si>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</si>
  <si>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</si>
  <si>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</si>
  <si>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</si>
  <si>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</si>
  <si>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</si>
  <si>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</si>
  <si>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</si>
  <si>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</si>
  <si>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</si>
  <si>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</si>
  <si>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</si>
  <si>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</si>
  <si>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</si>
  <si>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</si>
  <si>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</si>
  <si>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</si>
  <si>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</si>
  <si>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</si>
  <si>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</si>
  <si>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</si>
  <si>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</si>
  <si>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</si>
  <si>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</si>
  <si>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</si>
  <si>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</si>
  <si>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</si>
  <si>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</si>
  <si>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</si>
  <si>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</si>
  <si>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</si>
  <si>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</si>
  <si>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</si>
  <si>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</si>
  <si>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</si>
  <si>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</si>
  <si>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</si>
  <si>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</si>
  <si>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</si>
  <si>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</si>
  <si>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</si>
  <si>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</si>
  <si>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</si>
  <si>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</si>
  <si>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</si>
  <si>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</si>
  <si>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</si>
  <si>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</si>
  <si>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</si>
  <si>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</si>
  <si>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</si>
  <si>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</si>
  <si>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</si>
  <si>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</si>
  <si>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</si>
  <si>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</si>
  <si>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</si>
  <si>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</si>
  <si>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</si>
  <si>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</si>
  <si>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</si>
  <si>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</si>
  <si>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</si>
  <si>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</si>
  <si>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</si>
  <si>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</si>
  <si>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</si>
  <si>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</si>
  <si>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</si>
  <si>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</si>
  <si>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</si>
  <si>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</si>
  <si>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</si>
  <si>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</si>
  <si>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</si>
  <si>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</si>
  <si>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</si>
  <si>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</si>
  <si>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</si>
  <si>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</si>
  <si>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</si>
  <si>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</si>
  <si>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</si>
  <si>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</si>
  <si>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</si>
  <si>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</si>
  <si>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</si>
  <si>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</si>
  <si>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</si>
  <si>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</si>
  <si>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</si>
  <si>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</si>
  <si>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</si>
  <si>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</si>
  <si>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</si>
  <si>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</si>
  <si>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</si>
  <si>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</si>
  <si>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</si>
  <si>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</si>
  <si>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</si>
  <si>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</si>
  <si>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</si>
  <si>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</si>
  <si>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</si>
  <si>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</si>
  <si>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</si>
  <si>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</si>
  <si>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</si>
  <si>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</si>
  <si>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</si>
  <si>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</si>
  <si>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</si>
  <si>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</si>
  <si>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</si>
  <si>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</si>
  <si>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</si>
  <si>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</si>
  <si>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</si>
  <si>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</si>
  <si>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</si>
  <si>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</si>
  <si>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</si>
  <si>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</si>
  <si>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</si>
  <si>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</si>
  <si>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</si>
  <si>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</si>
  <si>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</si>
  <si>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</si>
  <si>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</si>
  <si>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</si>
  <si>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</si>
  <si>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</si>
  <si>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</si>
  <si>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</si>
  <si>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</si>
  <si>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</si>
  <si>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</si>
  <si>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</si>
  <si>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</si>
  <si>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</si>
  <si>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</si>
  <si>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</si>
  <si>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</si>
  <si>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</si>
  <si>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</si>
  <si>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</si>
  <si>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</si>
  <si>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</si>
  <si>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</si>
  <si>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</si>
  <si>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</si>
  <si>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</si>
  <si>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</si>
  <si>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</si>
  <si>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</si>
  <si>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</si>
  <si>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</si>
  <si>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</si>
  <si>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</si>
  <si>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</si>
  <si>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</si>
  <si>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</si>
  <si>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</si>
  <si>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</si>
  <si>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</si>
  <si>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</si>
  <si>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</si>
  <si>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</si>
  <si>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</si>
  <si>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</si>
  <si>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</si>
  <si>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</si>
  <si>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</si>
  <si>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</si>
  <si>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</si>
  <si>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</si>
  <si>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</si>
  <si>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</si>
  <si>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</si>
  <si>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</si>
  <si>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</si>
  <si>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</si>
  <si>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</si>
  <si>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</si>
  <si>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</si>
  <si>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</si>
  <si>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</si>
  <si>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</si>
  <si>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</si>
  <si>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</si>
  <si>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</si>
  <si>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</si>
  <si>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</si>
  <si>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</si>
  <si>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</si>
  <si>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</si>
  <si>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</si>
  <si>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</si>
  <si>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</si>
  <si>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</si>
  <si>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</si>
  <si>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</si>
  <si>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</si>
  <si>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</si>
  <si>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</si>
  <si>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</si>
  <si>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</si>
  <si>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</si>
  <si>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</si>
  <si>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</si>
  <si>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</si>
  <si>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</si>
  <si>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</si>
  <si>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</si>
  <si>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</si>
  <si>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</si>
  <si>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</si>
  <si>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</si>
  <si>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</si>
  <si>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</si>
  <si>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</si>
  <si>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</si>
  <si>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</si>
  <si>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</si>
  <si>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</si>
  <si>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</si>
  <si>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</si>
  <si>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</si>
  <si>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</si>
  <si>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</si>
  <si>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</si>
  <si>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</si>
  <si>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</si>
  <si>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</si>
  <si>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</si>
  <si>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</si>
  <si>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</si>
  <si>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</si>
  <si>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</si>
  <si>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</si>
  <si>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</si>
  <si>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</si>
  <si>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</si>
  <si>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</si>
  <si>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</si>
  <si>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</si>
  <si>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</si>
  <si>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</si>
  <si>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</si>
  <si>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</si>
  <si>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</si>
  <si>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</si>
  <si>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</si>
  <si>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</si>
  <si>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</si>
  <si>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</si>
  <si>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</si>
  <si>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</si>
  <si>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</si>
  <si>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</si>
  <si>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</si>
  <si>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</si>
  <si>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</si>
  <si>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</si>
  <si>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</si>
  <si>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</si>
  <si>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</si>
  <si>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</si>
  <si>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</si>
  <si>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</si>
  <si>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</si>
  <si>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</si>
  <si>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</si>
  <si>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</si>
  <si>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</si>
  <si>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</si>
  <si>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</si>
  <si>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</si>
  <si>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</si>
  <si>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</si>
  <si>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</si>
  <si>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</si>
  <si>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</si>
  <si>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</si>
  <si>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</si>
  <si>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</si>
  <si>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</si>
  <si>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</si>
  <si>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</si>
  <si>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</si>
  <si>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</si>
  <si>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</si>
  <si>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</si>
  <si>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</si>
  <si>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</si>
  <si>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</si>
  <si>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</si>
  <si>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</si>
  <si>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</si>
  <si>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</si>
  <si>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</si>
  <si>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</si>
  <si>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</si>
  <si>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</si>
  <si>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</si>
  <si>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</si>
  <si>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</si>
  <si>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</si>
  <si>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</si>
  <si>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</si>
  <si>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</si>
  <si>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</si>
  <si>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</si>
  <si>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</si>
  <si>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</si>
  <si>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</si>
  <si>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</si>
  <si>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</si>
  <si>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</si>
  <si>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</si>
  <si>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</si>
  <si>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</si>
  <si>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</si>
  <si>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</si>
  <si>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</si>
  <si>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</si>
  <si>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</si>
  <si>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</si>
  <si>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</si>
  <si>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</si>
  <si>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</si>
  <si>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</si>
  <si>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</si>
  <si>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</si>
  <si>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</si>
  <si>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</si>
  <si>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</si>
  <si>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</si>
  <si>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</si>
  <si>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</si>
  <si>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</si>
  <si>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</si>
  <si>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</si>
  <si>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</si>
  <si>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</si>
  <si>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</si>
  <si>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</si>
  <si>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</si>
  <si>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</si>
  <si>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</si>
  <si>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</si>
  <si>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</si>
  <si>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</si>
  <si>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</si>
  <si>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</si>
  <si>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</si>
  <si>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</si>
  <si>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</si>
  <si>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</si>
  <si>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</si>
  <si>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</si>
  <si>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</si>
  <si>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</si>
  <si>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</si>
  <si>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</si>
  <si>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</si>
  <si>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</si>
  <si>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</si>
  <si>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</si>
  <si>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</si>
  <si>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</si>
  <si>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</si>
  <si>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</si>
  <si>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</si>
  <si>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</si>
  <si>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</si>
  <si>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</si>
  <si>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</si>
  <si>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</si>
  <si>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</si>
  <si>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</si>
  <si>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</si>
  <si>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</si>
  <si>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</si>
  <si>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</si>
  <si>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</si>
  <si>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</si>
  <si>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</si>
  <si>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</si>
  <si>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</si>
  <si>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</si>
  <si>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</si>
  <si>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</si>
  <si>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</si>
  <si>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</si>
  <si>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</si>
  <si>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</si>
  <si>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</si>
  <si>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</si>
  <si>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</si>
  <si>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</si>
  <si>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</si>
  <si>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</si>
  <si>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</si>
  <si>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</si>
  <si>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</si>
  <si>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</si>
  <si>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</si>
  <si>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</si>
  <si>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</si>
  <si>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</si>
  <si>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</si>
  <si>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</si>
  <si>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</si>
  <si>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</si>
  <si>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</si>
  <si>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</si>
  <si>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</si>
  <si>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</si>
  <si>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</si>
  <si>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</si>
  <si>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</si>
  <si>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</si>
  <si>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</si>
  <si>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</si>
  <si>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</si>
  <si>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</si>
  <si>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</si>
  <si>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</si>
  <si>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</si>
  <si>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</si>
  <si>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</si>
  <si>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</si>
  <si>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</si>
  <si>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</si>
  <si>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</si>
  <si>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</si>
  <si>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</si>
  <si>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</si>
  <si>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</si>
  <si>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</si>
  <si>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</si>
  <si>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</si>
  <si>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</si>
  <si>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</si>
  <si>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</si>
  <si>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</si>
  <si>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</si>
  <si>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</si>
  <si>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</si>
  <si>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</si>
  <si>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</si>
  <si>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</si>
  <si>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</si>
  <si>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</si>
  <si>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</si>
  <si>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</si>
  <si>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</si>
  <si>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</si>
  <si>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</si>
  <si>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</si>
  <si>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</si>
  <si>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</si>
  <si>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</si>
  <si>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</si>
  <si>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</si>
  <si>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</si>
  <si>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</si>
  <si>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</si>
  <si>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</si>
  <si>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</si>
  <si>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</si>
  <si>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</si>
  <si>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</si>
  <si>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</si>
  <si>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</si>
  <si>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</si>
  <si>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</si>
  <si>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</si>
  <si>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</si>
  <si>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</si>
  <si>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</si>
  <si>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</si>
  <si>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</si>
  <si>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</si>
  <si>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</si>
  <si>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</si>
  <si>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</si>
  <si>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</si>
  <si>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</si>
  <si>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</si>
  <si>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</si>
  <si>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</si>
  <si>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</si>
  <si>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</si>
  <si>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</si>
  <si>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</si>
  <si>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</si>
  <si>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</si>
  <si>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</si>
  <si>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</si>
  <si>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</si>
  <si>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</si>
  <si>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</si>
  <si>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</si>
  <si>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</si>
  <si>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</si>
  <si>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</si>
  <si>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</si>
  <si>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</si>
  <si>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</si>
  <si>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</si>
  <si>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</si>
  <si>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</si>
  <si>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</si>
  <si>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</si>
  <si>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</si>
  <si>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</si>
  <si>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</si>
  <si>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</si>
  <si>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</si>
  <si>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</si>
  <si>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</si>
  <si>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</si>
  <si>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</si>
  <si>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</si>
  <si>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</si>
  <si>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</si>
  <si>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</si>
  <si>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</si>
  <si>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</si>
  <si>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</si>
  <si>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</si>
  <si>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</si>
  <si>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</si>
  <si>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</si>
  <si>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</si>
  <si>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</si>
  <si>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</si>
  <si>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</si>
  <si>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</si>
  <si>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</si>
  <si>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</si>
  <si>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</si>
  <si>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</si>
  <si>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</si>
  <si>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</si>
  <si>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</si>
  <si>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</si>
  <si>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</si>
  <si>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</si>
  <si>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</si>
  <si>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</si>
  <si>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</si>
  <si>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</si>
  <si>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</si>
  <si>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</si>
  <si>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</si>
  <si>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</si>
  <si>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</si>
  <si>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</si>
  <si>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</si>
  <si>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</si>
  <si>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</si>
  <si>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</si>
  <si>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</si>
  <si>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</si>
  <si>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</si>
  <si>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</si>
  <si>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</si>
  <si>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</si>
  <si>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</si>
  <si>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</si>
  <si>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</si>
  <si>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</si>
  <si>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</si>
  <si>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</si>
  <si>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</si>
  <si>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</si>
  <si>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</si>
  <si>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</si>
  <si>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</si>
  <si>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</si>
  <si>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</si>
  <si>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</si>
  <si>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</si>
  <si>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</si>
  <si>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</si>
  <si>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</si>
  <si>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</si>
  <si>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</si>
  <si>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</si>
  <si>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</si>
  <si>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</si>
  <si>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</si>
  <si>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</si>
  <si>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</si>
  <si>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</si>
  <si>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</si>
  <si>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</si>
  <si>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</si>
  <si>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</si>
  <si>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</si>
  <si>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</si>
  <si>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</si>
  <si>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</si>
  <si>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</si>
  <si>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</si>
  <si>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</si>
  <si>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</si>
  <si>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</si>
  <si>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</si>
  <si>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</si>
  <si>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</si>
  <si>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</si>
  <si>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</si>
  <si>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</si>
  <si>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</si>
  <si>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</si>
  <si>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</si>
  <si>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</si>
  <si>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</si>
  <si>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</si>
  <si>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</si>
  <si>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</si>
  <si>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</si>
  <si>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</si>
  <si>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</si>
  <si>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</si>
  <si>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</si>
  <si>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</si>
  <si>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</si>
  <si>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</si>
  <si>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</si>
  <si>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</si>
  <si>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</si>
  <si>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</si>
  <si>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</si>
  <si>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</si>
  <si>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</si>
  <si>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</si>
  <si>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</si>
  <si>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</si>
  <si>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</si>
  <si>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</si>
  <si>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</si>
  <si>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</si>
  <si>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</si>
  <si>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</si>
  <si>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</si>
  <si>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</si>
  <si>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</si>
  <si>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</si>
  <si>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</si>
  <si>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</si>
  <si>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</si>
  <si>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</si>
  <si>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</si>
  <si>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</si>
  <si>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</si>
  <si>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</si>
  <si>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</si>
  <si>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</si>
  <si>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</si>
  <si>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</si>
  <si>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</si>
  <si>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</si>
  <si>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</si>
  <si>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</si>
  <si>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</si>
  <si>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</si>
  <si>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</si>
  <si>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</si>
  <si>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</si>
  <si>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</si>
  <si>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</si>
  <si>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</si>
  <si>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</si>
  <si>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</si>
  <si>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</si>
  <si>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</si>
  <si>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</si>
  <si>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</si>
  <si>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</si>
  <si>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</si>
  <si>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</si>
  <si>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</si>
  <si>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</si>
  <si>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</si>
  <si>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</si>
  <si>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</si>
  <si>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</si>
  <si>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</si>
  <si>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</si>
  <si>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</si>
  <si>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</si>
  <si>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</si>
  <si>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</si>
  <si>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</si>
  <si>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</si>
  <si>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</si>
  <si>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</si>
  <si>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</si>
  <si>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</si>
  <si>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</si>
  <si>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</si>
  <si>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</si>
  <si>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</si>
  <si>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</si>
  <si>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</si>
  <si>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</si>
  <si>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</si>
  <si>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</si>
  <si>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</si>
  <si>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</si>
  <si>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</si>
  <si>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</si>
  <si>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</si>
  <si>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</si>
  <si>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</si>
  <si>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</si>
  <si>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</si>
  <si>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</si>
  <si>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</si>
  <si>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</si>
  <si>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</si>
  <si>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</si>
  <si>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</si>
  <si>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</si>
  <si>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</si>
  <si>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</si>
  <si>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</si>
  <si>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</si>
  <si>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</si>
  <si>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</si>
  <si>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</si>
  <si>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</si>
  <si>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</si>
  <si>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</si>
  <si>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</si>
  <si>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</si>
  <si>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</si>
  <si>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</si>
  <si>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</si>
  <si>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</si>
  <si>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</si>
  <si>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</si>
  <si>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</si>
  <si>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</si>
  <si>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</si>
  <si>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</si>
  <si>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</si>
  <si>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</si>
  <si>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</si>
  <si>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</si>
  <si>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</si>
  <si>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</si>
  <si>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</si>
  <si>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</si>
  <si>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</si>
  <si>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</si>
  <si>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</si>
  <si>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</si>
  <si>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</si>
  <si>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</si>
  <si>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</si>
  <si>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</si>
  <si>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</si>
  <si>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</si>
  <si>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</si>
  <si>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</si>
  <si>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</si>
  <si>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</si>
  <si>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</si>
  <si>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</si>
  <si>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</si>
  <si>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</si>
  <si>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</si>
  <si>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</si>
  <si>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</si>
  <si>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</si>
  <si>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</si>
  <si>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</si>
  <si>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</si>
  <si>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</si>
  <si>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</si>
  <si>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</si>
  <si>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</si>
  <si>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</si>
  <si>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</si>
  <si>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</si>
  <si>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</si>
  <si>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</si>
  <si>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</si>
  <si>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</si>
  <si>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</si>
  <si>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</si>
  <si>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</si>
  <si>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</si>
  <si>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</si>
  <si>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</si>
  <si>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</si>
  <si>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</si>
  <si>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</si>
  <si>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</si>
  <si>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</si>
  <si>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</si>
  <si>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</si>
  <si>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</si>
  <si>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</si>
  <si>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</si>
  <si>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</si>
  <si>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</si>
  <si>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</si>
  <si>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</si>
  <si>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</si>
  <si>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</si>
  <si>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</si>
  <si>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</si>
  <si>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</si>
  <si>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</si>
  <si>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</si>
  <si>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</si>
  <si>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</si>
  <si>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</si>
  <si>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</si>
  <si>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</si>
  <si>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</si>
  <si>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</si>
  <si>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</si>
  <si>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</si>
  <si>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</si>
  <si>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</si>
  <si>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</si>
  <si>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</si>
  <si>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</si>
  <si>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</si>
  <si>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</si>
  <si>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</si>
  <si>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</si>
  <si>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</si>
  <si>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</si>
  <si>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</si>
  <si>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</si>
  <si>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</si>
  <si>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</si>
  <si>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</si>
  <si>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</si>
  <si>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</si>
  <si>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</si>
  <si>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</si>
  <si>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</si>
  <si>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</si>
  <si>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</si>
  <si>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</si>
  <si>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</si>
  <si>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</si>
  <si>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</si>
  <si>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</si>
  <si>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</si>
  <si>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</si>
  <si>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</si>
  <si>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</si>
  <si>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</si>
  <si>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</si>
  <si>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</si>
  <si>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</si>
  <si>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</si>
  <si>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</si>
  <si>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</si>
  <si>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</si>
  <si>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</si>
  <si>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</si>
  <si>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</si>
  <si>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</si>
  <si>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</si>
  <si>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</si>
  <si>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</si>
  <si>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</si>
  <si>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</si>
  <si>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</si>
  <si>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</si>
  <si>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</si>
  <si>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</si>
  <si>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</si>
  <si>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</si>
  <si>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</si>
  <si>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</si>
  <si>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</si>
  <si>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</si>
  <si>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</si>
  <si>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</si>
  <si>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</si>
  <si>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</si>
  <si>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</si>
  <si>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</si>
  <si>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</si>
  <si>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</si>
  <si>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</si>
  <si>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</si>
  <si>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</si>
  <si>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</si>
  <si>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</si>
  <si>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</si>
  <si>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</si>
  <si>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</si>
  <si>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</si>
  <si>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</si>
  <si>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</si>
  <si>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</si>
  <si>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</si>
  <si>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</si>
  <si>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</si>
  <si>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</si>
  <si>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</si>
  <si>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</si>
  <si>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</si>
  <si>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</si>
  <si>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</si>
  <si>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</si>
  <si>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</si>
  <si>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</si>
  <si>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</si>
  <si>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</si>
  <si>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</si>
  <si>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</si>
  <si>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</si>
  <si>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</si>
  <si>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</si>
  <si>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</si>
  <si>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</si>
  <si>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</si>
  <si>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</si>
  <si>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</si>
  <si>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</si>
  <si>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</si>
  <si>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</si>
  <si>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</si>
  <si>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</si>
  <si>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</si>
  <si>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</si>
  <si>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</si>
  <si>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</si>
  <si>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</si>
  <si>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</si>
  <si>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</si>
  <si>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</si>
  <si>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</si>
  <si>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</si>
  <si>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</si>
  <si>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</si>
  <si>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</si>
  <si>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</si>
  <si>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</si>
  <si>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</si>
  <si>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</si>
  <si>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</si>
  <si>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</si>
  <si>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</si>
  <si>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</si>
  <si>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</si>
  <si>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</si>
  <si>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</si>
  <si>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</si>
  <si>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</si>
  <si>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</si>
  <si>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</si>
  <si>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</si>
  <si>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</si>
  <si>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</si>
  <si>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</si>
  <si>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</si>
  <si>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</si>
  <si>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</si>
  <si>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</si>
  <si>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</si>
  <si>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</si>
  <si>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</si>
  <si>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</si>
  <si>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</si>
  <si>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</si>
  <si>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</si>
  <si>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</si>
  <si>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</si>
  <si>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</si>
  <si>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</si>
  <si>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</si>
  <si>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</si>
  <si>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</si>
  <si>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</si>
  <si>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</si>
  <si>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</si>
  <si>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</si>
  <si>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</si>
  <si>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</si>
  <si>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</si>
  <si>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</si>
  <si>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</si>
  <si>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</si>
  <si>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</si>
  <si>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</si>
  <si>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</si>
  <si>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</si>
  <si>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</si>
  <si>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</si>
  <si>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</si>
  <si>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</si>
  <si>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</si>
  <si>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</si>
  <si>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</si>
  <si>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</si>
  <si>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</si>
  <si>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</si>
  <si>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</si>
  <si>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</si>
  <si>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</si>
  <si>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</si>
  <si>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</si>
  <si>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</si>
  <si>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</si>
  <si>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</si>
  <si>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</si>
  <si>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</si>
  <si>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</si>
  <si>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</si>
  <si>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</si>
  <si>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</si>
  <si>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</si>
  <si>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</si>
  <si>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</si>
  <si>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</si>
  <si>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</si>
  <si>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</si>
  <si>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</si>
  <si>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</si>
  <si>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</si>
  <si>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</si>
  <si>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</si>
  <si>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</si>
  <si>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</si>
  <si>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</si>
  <si>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</si>
  <si>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</si>
  <si>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</si>
  <si>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</si>
  <si>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</si>
  <si>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</si>
  <si>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</si>
  <si>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</si>
  <si>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</si>
  <si>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</si>
  <si>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</si>
  <si>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</si>
  <si>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</si>
  <si>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</si>
  <si>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</si>
  <si>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</si>
  <si>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</si>
  <si>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</si>
  <si>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</si>
  <si>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</si>
  <si>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</si>
  <si>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</si>
  <si>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</si>
  <si>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</si>
  <si>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</si>
  <si>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</si>
  <si>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</si>
  <si>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</si>
  <si>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</si>
  <si>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</si>
  <si>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</si>
  <si>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</si>
  <si>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</si>
  <si>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</si>
  <si>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</si>
  <si>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</si>
  <si>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</si>
  <si>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</si>
  <si>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</si>
  <si>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</si>
  <si>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</si>
  <si>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</si>
  <si>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</si>
  <si>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</si>
  <si>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</si>
  <si>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</si>
  <si>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</si>
  <si>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</si>
  <si>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</si>
  <si>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</si>
  <si>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</si>
  <si>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</si>
  <si>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</si>
  <si>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</si>
  <si>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</si>
  <si>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</si>
  <si>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</si>
  <si>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</si>
  <si>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</si>
  <si>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</si>
  <si>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</si>
  <si>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</si>
  <si>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</si>
  <si>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</si>
  <si>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</si>
  <si>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</si>
  <si>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</si>
  <si>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</si>
  <si>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</si>
  <si>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</si>
  <si>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</si>
  <si>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</si>
  <si>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</si>
  <si>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</si>
  <si>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</si>
  <si>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</si>
  <si>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</si>
  <si>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</si>
  <si>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</si>
  <si>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</si>
  <si>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</si>
  <si>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</si>
  <si>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</si>
  <si>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</si>
  <si>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</si>
  <si>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</si>
  <si>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</si>
  <si>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</si>
  <si>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</si>
  <si>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</si>
  <si>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</si>
  <si>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</si>
  <si>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</si>
  <si>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</si>
  <si>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</si>
  <si>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</si>
  <si>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</si>
  <si>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</si>
  <si>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</si>
  <si>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</si>
  <si>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</si>
  <si>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</si>
  <si>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</si>
  <si>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</si>
  <si>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</si>
  <si>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</si>
  <si>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</si>
  <si>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</si>
  <si>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</si>
  <si>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</si>
  <si>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</si>
  <si>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</si>
  <si>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</si>
  <si>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</si>
  <si>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</si>
  <si>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</si>
  <si>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</si>
  <si>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</si>
  <si>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</si>
  <si>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</si>
  <si>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</si>
  <si>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</si>
  <si>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</si>
  <si>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</si>
  <si>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</si>
  <si>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</si>
  <si>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</si>
  <si>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</si>
  <si>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</si>
  <si>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</si>
  <si>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</si>
  <si>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</si>
  <si>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</si>
  <si>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</si>
  <si>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</si>
  <si>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</si>
  <si>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</si>
  <si>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</si>
  <si>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</si>
  <si>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</si>
  <si>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</si>
  <si>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</si>
  <si>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</si>
  <si>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</si>
  <si>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</si>
  <si>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</si>
  <si>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</si>
  <si>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</si>
  <si>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</si>
  <si>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</si>
  <si>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</si>
  <si>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</si>
  <si>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</si>
  <si>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</si>
  <si>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</si>
  <si>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</si>
  <si>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</si>
  <si>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</si>
  <si>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</si>
  <si>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</si>
  <si>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</si>
  <si>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</si>
  <si>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</si>
  <si>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</si>
  <si>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</si>
  <si>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</si>
  <si>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</si>
  <si>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</si>
  <si>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</si>
  <si>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</si>
  <si>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</si>
  <si>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</si>
  <si>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</si>
  <si>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</si>
  <si>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</si>
  <si>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</si>
  <si>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</si>
  <si>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</si>
  <si>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</si>
  <si>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</si>
  <si>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</si>
  <si>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</si>
  <si>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</si>
  <si>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</si>
  <si>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</si>
  <si>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</si>
  <si>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</si>
  <si>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</si>
  <si>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</si>
  <si>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</si>
  <si>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</si>
  <si>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</si>
  <si>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</si>
  <si>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</si>
  <si>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</si>
  <si>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</si>
  <si>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</si>
  <si>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</si>
  <si>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</si>
  <si>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</si>
  <si>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</si>
  <si>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</si>
  <si>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</si>
  <si>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</si>
  <si>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</si>
  <si>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</si>
  <si>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</si>
  <si>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</si>
  <si>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</si>
  <si>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</si>
  <si>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</si>
  <si>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</si>
  <si>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</si>
  <si>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</si>
  <si>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</si>
  <si>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</si>
  <si>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</si>
  <si>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</si>
  <si>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</si>
  <si>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</si>
  <si>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</si>
  <si>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</si>
  <si>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</si>
  <si>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</si>
  <si>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</si>
  <si>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</si>
  <si>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</si>
  <si>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x</t>
  </si>
  <si>
    <t>julferts@shirland134.org</t>
  </si>
  <si>
    <t>X</t>
  </si>
  <si>
    <t>A) Food Service - Joint bid for dairy and bread products with Kinnikinnick #131. Rockton #140, Hononegah #207, and South Beloit #320</t>
  </si>
  <si>
    <t>B) Special Education Cooperative -  Kinnikinnick #131, Prairie Hill #140, Rockton #140, Hononegah #207, South Beloit #320, Pecatonica #321, Durand #322, and Winnebago #323</t>
  </si>
  <si>
    <t>20-2540-300</t>
  </si>
  <si>
    <t>40-2550-300</t>
  </si>
  <si>
    <t xml:space="preserve">First Student </t>
  </si>
  <si>
    <t xml:space="preserve">Account </t>
  </si>
  <si>
    <t xml:space="preserve">Page </t>
  </si>
  <si>
    <t xml:space="preserve">Fund </t>
  </si>
  <si>
    <t>Line #</t>
  </si>
  <si>
    <t xml:space="preserve">Description </t>
  </si>
  <si>
    <t xml:space="preserve">Amount </t>
  </si>
  <si>
    <t xml:space="preserve">Miscellaneous </t>
  </si>
  <si>
    <t>A)</t>
  </si>
  <si>
    <t>C)</t>
  </si>
  <si>
    <t>B)</t>
  </si>
  <si>
    <t>C) Prairie Street Insurance Cooperative - W/C &amp; Liability (140 Members), Illinois Schools Employee Benefits Consortium - Health/Life/Dental (500+ members)</t>
  </si>
  <si>
    <t>GSF USA Inc.</t>
  </si>
  <si>
    <t xml:space="preserve">O&amp;M-Oper. &amp; Maint. Plant Services-Purchased Services </t>
  </si>
  <si>
    <t xml:space="preserve">TR-Pupil Transportation-Purchased Services </t>
  </si>
  <si>
    <t xml:space="preserve">Homeless supplies </t>
  </si>
  <si>
    <t xml:space="preserve">REAP grant </t>
  </si>
  <si>
    <t>WINNEBAGO</t>
  </si>
  <si>
    <t>8020 NORTH STREET</t>
  </si>
  <si>
    <t xml:space="preserve">SHIRLAND  </t>
  </si>
  <si>
    <t>DR. JOHN ULFERTS</t>
  </si>
  <si>
    <t>815/629-2000</t>
  </si>
  <si>
    <t>815/629-2100</t>
  </si>
  <si>
    <t>815/636-3060</t>
  </si>
  <si>
    <t>815/636-3069</t>
  </si>
  <si>
    <t>SCOTT BLOOMQUIST</t>
  </si>
  <si>
    <t>sbloomquist@roe4.org</t>
  </si>
  <si>
    <t xml:space="preserve">Due to a delay in receiving the state's property tax rate multiplier, the 2019 Winnebago County property tax cycle was also delayed several weeks. For this reason, schools districts with property located in Winnebago County received significantly less property tax revenue prior to their June 30th fiscal year-end. At no fault of the District, current year revenue is much lower than anticipated, causing a significant decrease in the District's Estimated Financial Profile Score as calculated on page 4. </t>
  </si>
  <si>
    <t>SHIRLAND CCSD 134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</si>
</sst>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8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181" fontId="57" fillId="0" borderId="165" xfId="19" applyNumberFormat="1" applyFont="1" applyBorder="1"/>
    <xf numFmtId="0" fontId="75" fillId="0" borderId="0" xfId="0" applyFont="1" applyAlignment="1">
      <alignment horizontal="left"/>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B48"/>
  <sheetViews>
    <sheetView showGridLines="0" tabSelected="1" zoomScaleNormal="100" workbookViewId="0">
      <selection activeCell="H20" sqref="H20"/>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5" t="s">
        <v>405</v>
      </c>
      <c r="J1" s="1986"/>
      <c r="K1" s="1986"/>
      <c r="L1" s="1986"/>
      <c r="M1" s="1986"/>
      <c r="N1" s="1986"/>
      <c r="O1" s="1986"/>
      <c r="P1" s="1986"/>
      <c r="Q1" s="1986"/>
      <c r="R1" s="1986"/>
      <c r="S1" s="1986"/>
    </row>
    <row r="2" spans="1:28" ht="12" customHeight="1" x14ac:dyDescent="0.2">
      <c r="A2" s="47" t="s">
        <v>1993</v>
      </c>
      <c r="D2" s="48"/>
      <c r="I2" s="1987" t="s">
        <v>979</v>
      </c>
      <c r="J2" s="1986"/>
      <c r="K2" s="1986"/>
      <c r="L2" s="1986"/>
      <c r="M2" s="1986"/>
      <c r="N2" s="1986"/>
      <c r="O2" s="1986"/>
      <c r="P2" s="1986"/>
      <c r="Q2" s="1986"/>
      <c r="R2" s="1986"/>
      <c r="S2" s="1986"/>
    </row>
    <row r="3" spans="1:28" ht="12" customHeight="1" x14ac:dyDescent="0.2">
      <c r="A3" s="155" t="s">
        <v>1945</v>
      </c>
      <c r="B3" s="156"/>
      <c r="C3" s="156"/>
      <c r="D3" s="157"/>
      <c r="I3" s="1987" t="s">
        <v>52</v>
      </c>
      <c r="J3" s="1986"/>
      <c r="K3" s="1986"/>
      <c r="L3" s="1986"/>
      <c r="M3" s="1986"/>
      <c r="N3" s="1986"/>
      <c r="O3" s="1986"/>
      <c r="P3" s="1986"/>
      <c r="Q3" s="1986"/>
      <c r="R3" s="1986"/>
      <c r="S3" s="1986"/>
    </row>
    <row r="4" spans="1:28" ht="12" customHeight="1" x14ac:dyDescent="0.2">
      <c r="A4" s="37"/>
      <c r="I4" s="1987" t="s">
        <v>524</v>
      </c>
      <c r="J4" s="1986"/>
      <c r="K4" s="1986"/>
      <c r="L4" s="1986"/>
      <c r="M4" s="1986"/>
      <c r="N4" s="1986"/>
      <c r="O4" s="1986"/>
      <c r="P4" s="1986"/>
      <c r="Q4" s="1986"/>
      <c r="R4" s="1986"/>
      <c r="S4" s="1986"/>
    </row>
    <row r="5" spans="1:28" ht="14.1" customHeight="1" x14ac:dyDescent="0.2">
      <c r="B5" s="104" t="s">
        <v>2073</v>
      </c>
      <c r="C5" s="26" t="s">
        <v>910</v>
      </c>
      <c r="D5" s="84"/>
      <c r="E5" s="84"/>
      <c r="H5" s="38"/>
      <c r="I5" s="1995" t="s">
        <v>680</v>
      </c>
      <c r="J5" s="1994"/>
      <c r="K5" s="1994"/>
      <c r="L5" s="1994"/>
      <c r="M5" s="1994"/>
      <c r="N5" s="1994"/>
      <c r="O5" s="1994"/>
      <c r="P5" s="1994"/>
      <c r="Q5" s="1994"/>
      <c r="R5" s="1994"/>
      <c r="S5" s="1994"/>
    </row>
    <row r="6" spans="1:28" ht="14.1" customHeight="1" x14ac:dyDescent="0.2">
      <c r="B6" s="104"/>
      <c r="C6" s="26" t="s">
        <v>911</v>
      </c>
      <c r="D6" s="84"/>
      <c r="E6" s="84"/>
      <c r="I6" s="1993" t="s">
        <v>883</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674</v>
      </c>
      <c r="J9" s="1991"/>
      <c r="K9" s="1991"/>
      <c r="L9" s="1991"/>
      <c r="M9" s="1991"/>
      <c r="N9" s="1991"/>
      <c r="O9" s="1991"/>
      <c r="P9" s="1991"/>
      <c r="Q9" s="1991"/>
      <c r="R9" s="1991"/>
      <c r="S9" s="1992"/>
      <c r="T9" s="2006" t="s">
        <v>533</v>
      </c>
      <c r="U9" s="2007"/>
      <c r="V9" s="2007"/>
      <c r="W9" s="2007"/>
      <c r="X9" s="2007"/>
      <c r="Y9" s="2007"/>
      <c r="Z9" s="2007"/>
      <c r="AA9" s="2008"/>
    </row>
    <row r="10" spans="1:28" ht="13.5" customHeight="1" x14ac:dyDescent="0.2">
      <c r="A10" s="2013" t="s">
        <v>675</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955</v>
      </c>
      <c r="B11" s="2017"/>
      <c r="C11" s="2017"/>
      <c r="D11" s="2017"/>
      <c r="E11" s="2017"/>
      <c r="F11" s="2017"/>
      <c r="G11" s="2017"/>
      <c r="H11" s="2018"/>
      <c r="I11" s="27"/>
      <c r="J11" s="74"/>
      <c r="K11" s="27"/>
      <c r="O11" s="148" t="s">
        <v>2075</v>
      </c>
      <c r="P11" s="100" t="s">
        <v>201</v>
      </c>
      <c r="Q11" s="30"/>
      <c r="R11" s="28"/>
      <c r="S11" s="27"/>
      <c r="T11" s="2010"/>
      <c r="U11" s="2011"/>
      <c r="V11" s="2011"/>
      <c r="W11" s="2011"/>
      <c r="X11" s="2011"/>
      <c r="Y11" s="2011"/>
      <c r="Z11" s="2011"/>
      <c r="AA11" s="201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0">
        <v>4101134004</v>
      </c>
      <c r="B13" s="2021"/>
      <c r="C13" s="2021"/>
      <c r="D13" s="2021"/>
      <c r="E13" s="2021"/>
      <c r="F13" s="2021"/>
      <c r="G13" s="2021"/>
      <c r="H13" s="2022"/>
      <c r="I13" s="31"/>
      <c r="J13" s="30"/>
      <c r="K13" s="28"/>
      <c r="L13" s="30"/>
      <c r="M13" s="30"/>
      <c r="N13" s="30"/>
      <c r="O13" s="30"/>
      <c r="P13" s="30"/>
      <c r="Q13" s="30"/>
      <c r="R13" s="30"/>
      <c r="S13" s="30"/>
      <c r="T13" s="2025" t="s">
        <v>2064</v>
      </c>
      <c r="U13" s="2026"/>
      <c r="V13" s="2026"/>
      <c r="W13" s="2026"/>
      <c r="X13" s="2026"/>
      <c r="Y13" s="2027"/>
      <c r="Z13" s="2027"/>
      <c r="AA13" s="202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9" t="s">
        <v>2097</v>
      </c>
      <c r="B15" s="2023"/>
      <c r="C15" s="2023"/>
      <c r="D15" s="2023"/>
      <c r="E15" s="2023"/>
      <c r="F15" s="2023"/>
      <c r="G15" s="2023"/>
      <c r="H15" s="2024"/>
      <c r="T15" s="2029" t="s">
        <v>2065</v>
      </c>
      <c r="U15" s="1973"/>
      <c r="V15" s="1973"/>
      <c r="W15" s="1973"/>
      <c r="X15" s="1973"/>
      <c r="Y15" s="2030"/>
      <c r="Z15" s="2030"/>
      <c r="AA15" s="203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9" t="s">
        <v>2108</v>
      </c>
      <c r="B17" s="1980"/>
      <c r="C17" s="1980"/>
      <c r="D17" s="1980"/>
      <c r="E17" s="1980"/>
      <c r="F17" s="1980"/>
      <c r="G17" s="1980"/>
      <c r="H17" s="2005"/>
      <c r="T17" s="2036" t="s">
        <v>2066</v>
      </c>
      <c r="U17" s="2037"/>
      <c r="V17" s="2037"/>
      <c r="W17" s="2037"/>
      <c r="X17" s="2037"/>
      <c r="Y17" s="2037"/>
      <c r="Z17" s="2037"/>
      <c r="AA17" s="2038"/>
    </row>
    <row r="18" spans="1:27" ht="13.5" customHeight="1" x14ac:dyDescent="0.2">
      <c r="A18" s="85" t="s">
        <v>530</v>
      </c>
      <c r="B18" s="76"/>
      <c r="C18" s="72"/>
      <c r="D18" s="76"/>
      <c r="E18" s="76"/>
      <c r="F18" s="76"/>
      <c r="G18" s="76"/>
      <c r="H18" s="56"/>
      <c r="I18" s="2004" t="s">
        <v>676</v>
      </c>
      <c r="J18" s="1955"/>
      <c r="K18" s="1955"/>
      <c r="L18" s="1955"/>
      <c r="M18" s="1955"/>
      <c r="N18" s="1955"/>
      <c r="O18" s="1955"/>
      <c r="P18" s="1955"/>
      <c r="Q18" s="1955"/>
      <c r="R18" s="1955"/>
      <c r="S18" s="1956"/>
      <c r="T18" s="85" t="s">
        <v>711</v>
      </c>
      <c r="U18" s="51"/>
      <c r="V18" s="72"/>
      <c r="W18" s="50"/>
      <c r="X18" s="85" t="s">
        <v>266</v>
      </c>
      <c r="Y18" s="81"/>
      <c r="Z18" s="159" t="s">
        <v>677</v>
      </c>
      <c r="AA18" s="46"/>
    </row>
    <row r="19" spans="1:27" ht="13.5" customHeight="1" x14ac:dyDescent="0.2">
      <c r="A19" s="2019" t="s">
        <v>2098</v>
      </c>
      <c r="B19" s="1965"/>
      <c r="C19" s="1965"/>
      <c r="D19" s="1965"/>
      <c r="E19" s="1965"/>
      <c r="F19" s="1965"/>
      <c r="G19" s="1965"/>
      <c r="H19" s="1945"/>
      <c r="I19" s="30"/>
      <c r="J19" s="99"/>
      <c r="K19" s="40"/>
      <c r="L19" s="38"/>
      <c r="M19" s="112" t="s">
        <v>315</v>
      </c>
      <c r="P19" s="27"/>
      <c r="Q19" s="27"/>
      <c r="R19" s="27"/>
      <c r="S19" s="31"/>
      <c r="T19" s="2019" t="s">
        <v>2067</v>
      </c>
      <c r="U19" s="1944"/>
      <c r="V19" s="1944"/>
      <c r="W19" s="1945"/>
      <c r="X19" s="2034" t="s">
        <v>2068</v>
      </c>
      <c r="Y19" s="2035"/>
      <c r="Z19" s="2032">
        <v>61032</v>
      </c>
      <c r="AA19" s="203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3" t="s">
        <v>2099</v>
      </c>
      <c r="B21" s="1944"/>
      <c r="C21" s="1944"/>
      <c r="D21" s="1944"/>
      <c r="E21" s="1944"/>
      <c r="F21" s="1944"/>
      <c r="G21" s="1944"/>
      <c r="H21" s="1945"/>
      <c r="I21" s="1999" t="s">
        <v>678</v>
      </c>
      <c r="J21" s="1994"/>
      <c r="K21" s="1994"/>
      <c r="L21" s="1994"/>
      <c r="M21" s="1994"/>
      <c r="N21" s="1994"/>
      <c r="O21" s="1994"/>
      <c r="P21" s="1994"/>
      <c r="Q21" s="1994"/>
      <c r="R21" s="1994"/>
      <c r="S21" s="2000"/>
      <c r="T21" s="2043" t="s">
        <v>2069</v>
      </c>
      <c r="U21" s="2044"/>
      <c r="V21" s="2044"/>
      <c r="W21" s="2044"/>
      <c r="X21" s="2049" t="s">
        <v>2070</v>
      </c>
      <c r="Y21" s="2050"/>
      <c r="Z21" s="2050"/>
      <c r="AA21" s="2051"/>
    </row>
    <row r="22" spans="1:27" ht="13.5" customHeight="1" x14ac:dyDescent="0.2">
      <c r="A22" s="87" t="s">
        <v>531</v>
      </c>
      <c r="B22" s="59"/>
      <c r="C22" s="59"/>
      <c r="D22" s="59"/>
      <c r="E22" s="59"/>
      <c r="F22" s="59"/>
      <c r="G22" s="59"/>
      <c r="H22" s="60"/>
      <c r="I22" s="2001" t="s">
        <v>1429</v>
      </c>
      <c r="J22" s="2002"/>
      <c r="K22" s="2002"/>
      <c r="L22" s="2002"/>
      <c r="M22" s="2002"/>
      <c r="N22" s="2002"/>
      <c r="O22" s="2002"/>
      <c r="P22" s="2002"/>
      <c r="Q22" s="2002"/>
      <c r="R22" s="2002"/>
      <c r="S22" s="2003"/>
      <c r="T22" s="85" t="s">
        <v>1516</v>
      </c>
      <c r="U22" s="51"/>
      <c r="V22" s="72"/>
      <c r="W22" s="51"/>
      <c r="X22" s="160" t="s">
        <v>1318</v>
      </c>
      <c r="Z22" s="45"/>
      <c r="AA22" s="46"/>
    </row>
    <row r="23" spans="1:27" ht="13.5" customHeight="1" x14ac:dyDescent="0.2">
      <c r="A23" s="1996"/>
      <c r="B23" s="1997"/>
      <c r="C23" s="1997"/>
      <c r="D23" s="1997"/>
      <c r="E23" s="1997"/>
      <c r="F23" s="1997"/>
      <c r="G23" s="1997"/>
      <c r="H23" s="1998"/>
      <c r="T23" s="1979" t="s">
        <v>2071</v>
      </c>
      <c r="U23" s="2042"/>
      <c r="V23" s="2042"/>
      <c r="W23" s="2042"/>
      <c r="X23" s="2046">
        <v>44530</v>
      </c>
      <c r="Y23" s="2047"/>
      <c r="Z23" s="2047"/>
      <c r="AA23" s="2048"/>
    </row>
    <row r="24" spans="1:27" ht="14.1" customHeight="1" x14ac:dyDescent="0.2">
      <c r="A24" s="88" t="s">
        <v>677</v>
      </c>
      <c r="B24" s="49"/>
      <c r="C24" s="49"/>
      <c r="D24" s="49"/>
      <c r="E24" s="49"/>
      <c r="F24" s="49"/>
      <c r="G24" s="49"/>
      <c r="H24" s="61"/>
      <c r="J24" s="1966">
        <f>IF(B5="x",IF(AUDITCHECK!D29="AFR form Incomplete.","",IF(AUDITCHECK!D29="Deficit reduction plan is required.","School District must complete a deficit reduction plan in the 2019-2020 Budget",)),"")</f>
        <v>0</v>
      </c>
      <c r="K24" s="1966"/>
      <c r="L24" s="1966"/>
      <c r="M24" s="1966"/>
      <c r="N24" s="1966"/>
      <c r="O24" s="1966"/>
      <c r="P24" s="1966"/>
      <c r="Q24" s="1966"/>
      <c r="R24" s="1966"/>
      <c r="S24" s="1967"/>
      <c r="T24" s="105" t="s">
        <v>531</v>
      </c>
      <c r="U24" s="106"/>
      <c r="V24" s="106"/>
      <c r="W24" s="106"/>
      <c r="X24" s="107"/>
      <c r="Y24" s="107"/>
      <c r="Z24" s="107"/>
      <c r="AA24" s="108"/>
    </row>
    <row r="25" spans="1:27" ht="14.1" customHeight="1" x14ac:dyDescent="0.2">
      <c r="A25" s="1943">
        <v>61079</v>
      </c>
      <c r="B25" s="1944"/>
      <c r="C25" s="1944"/>
      <c r="D25" s="1944"/>
      <c r="E25" s="1944"/>
      <c r="F25" s="1944"/>
      <c r="G25" s="1944"/>
      <c r="H25" s="1945"/>
      <c r="I25" s="113"/>
      <c r="J25" s="1968"/>
      <c r="K25" s="1968"/>
      <c r="L25" s="1968"/>
      <c r="M25" s="1968"/>
      <c r="N25" s="1968"/>
      <c r="O25" s="1968"/>
      <c r="P25" s="1968"/>
      <c r="Q25" s="1968"/>
      <c r="R25" s="1968"/>
      <c r="S25" s="1969"/>
      <c r="T25" s="2039" t="s">
        <v>2072</v>
      </c>
      <c r="U25" s="2040"/>
      <c r="V25" s="2040"/>
      <c r="W25" s="2040"/>
      <c r="X25" s="2040"/>
      <c r="Y25" s="2040"/>
      <c r="Z25" s="2040"/>
      <c r="AA25" s="20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4" t="s">
        <v>1511</v>
      </c>
      <c r="J27" s="1955"/>
      <c r="K27" s="1955"/>
      <c r="L27" s="1955"/>
      <c r="M27" s="1955"/>
      <c r="N27" s="1955"/>
      <c r="O27" s="1955"/>
      <c r="P27" s="1955"/>
      <c r="Q27" s="1955"/>
      <c r="R27" s="1955"/>
      <c r="S27" s="195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2075</v>
      </c>
      <c r="M29" s="40" t="s">
        <v>99</v>
      </c>
      <c r="N29" s="32" t="s">
        <v>1523</v>
      </c>
      <c r="O29" s="32"/>
      <c r="P29" s="32"/>
      <c r="Q29" s="32"/>
      <c r="R29" s="32"/>
      <c r="S29" s="123"/>
      <c r="T29" s="6"/>
      <c r="U29" s="6"/>
      <c r="V29" s="6"/>
      <c r="W29" s="6"/>
      <c r="X29" s="6"/>
      <c r="Y29" s="6"/>
      <c r="Z29" s="6"/>
      <c r="AA29" s="132"/>
    </row>
    <row r="30" spans="1:27" ht="13.5" customHeight="1" x14ac:dyDescent="0.2">
      <c r="A30" s="153"/>
      <c r="B30" s="136" t="s">
        <v>2075</v>
      </c>
      <c r="C30" s="124" t="s">
        <v>1164</v>
      </c>
      <c r="D30" s="28"/>
      <c r="E30" s="28"/>
      <c r="F30" s="140"/>
      <c r="G30" s="114"/>
      <c r="H30" s="114"/>
      <c r="I30" s="54"/>
      <c r="J30" s="102"/>
      <c r="K30" s="28" t="s">
        <v>576</v>
      </c>
      <c r="L30" s="148" t="s">
        <v>2075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5"/>
      <c r="Q35" s="1944"/>
      <c r="R35" s="19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9" t="s">
        <v>2100</v>
      </c>
      <c r="B38" s="1980"/>
      <c r="C38" s="1980"/>
      <c r="D38" s="1980"/>
      <c r="E38" s="1980"/>
      <c r="F38" s="1944"/>
      <c r="G38" s="1944"/>
      <c r="H38" s="1945"/>
      <c r="I38" s="1972"/>
      <c r="J38" s="1973"/>
      <c r="K38" s="1973"/>
      <c r="L38" s="1973"/>
      <c r="M38" s="1973"/>
      <c r="N38" s="1973"/>
      <c r="O38" s="1973"/>
      <c r="P38" s="1974"/>
      <c r="Q38" s="1974"/>
      <c r="R38" s="1974"/>
      <c r="S38" s="1975"/>
      <c r="T38" s="2029" t="s">
        <v>2105</v>
      </c>
      <c r="U38" s="1973"/>
      <c r="V38" s="1973"/>
      <c r="W38" s="1973"/>
      <c r="X38" s="1974"/>
      <c r="Y38" s="1974"/>
      <c r="Z38" s="1974"/>
      <c r="AA38" s="1975"/>
    </row>
    <row r="39" spans="1:27" ht="12" customHeight="1" x14ac:dyDescent="0.2">
      <c r="A39" s="1949" t="s">
        <v>531</v>
      </c>
      <c r="B39" s="1950"/>
      <c r="C39" s="72"/>
      <c r="D39" s="69"/>
      <c r="E39" s="69"/>
      <c r="F39" s="79"/>
      <c r="G39" s="69"/>
      <c r="H39" s="56"/>
      <c r="I39" s="1949" t="s">
        <v>531</v>
      </c>
      <c r="J39" s="1950"/>
      <c r="K39" s="1950"/>
      <c r="L39" s="1950"/>
      <c r="M39" s="1950"/>
      <c r="N39" s="67"/>
      <c r="O39" s="72"/>
      <c r="P39" s="72"/>
      <c r="Q39" s="78"/>
      <c r="R39" s="72"/>
      <c r="S39" s="56"/>
      <c r="T39" s="72" t="s">
        <v>531</v>
      </c>
      <c r="U39" s="51"/>
      <c r="V39" s="72"/>
      <c r="W39" s="50"/>
      <c r="X39" s="78"/>
      <c r="Y39" s="45"/>
      <c r="Z39" s="45"/>
      <c r="AA39" s="46"/>
    </row>
    <row r="40" spans="1:27" ht="13.5" customHeight="1" x14ac:dyDescent="0.2">
      <c r="A40" s="1957" t="s">
        <v>2074</v>
      </c>
      <c r="B40" s="1958"/>
      <c r="C40" s="1959"/>
      <c r="D40" s="1959"/>
      <c r="E40" s="1959"/>
      <c r="F40" s="1960"/>
      <c r="G40" s="1960"/>
      <c r="H40" s="1961"/>
      <c r="I40" s="1982"/>
      <c r="J40" s="1983"/>
      <c r="K40" s="1983"/>
      <c r="L40" s="1983"/>
      <c r="M40" s="1983"/>
      <c r="N40" s="1983"/>
      <c r="O40" s="1983"/>
      <c r="P40" s="1983"/>
      <c r="Q40" s="1983"/>
      <c r="R40" s="1983"/>
      <c r="S40" s="1984"/>
      <c r="T40" s="1982" t="s">
        <v>2106</v>
      </c>
      <c r="U40" s="2045"/>
      <c r="V40" s="1983"/>
      <c r="W40" s="1983"/>
      <c r="X40" s="1983"/>
      <c r="Y40" s="1983"/>
      <c r="Z40" s="1983"/>
      <c r="AA40" s="198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1" t="s">
        <v>2101</v>
      </c>
      <c r="B42" s="1963"/>
      <c r="C42" s="1964"/>
      <c r="D42" s="1962" t="s">
        <v>2102</v>
      </c>
      <c r="E42" s="1963"/>
      <c r="F42" s="1963"/>
      <c r="G42" s="1963"/>
      <c r="H42" s="1964"/>
      <c r="I42" s="1946"/>
      <c r="J42" s="1947"/>
      <c r="K42" s="1947"/>
      <c r="L42" s="1947"/>
      <c r="M42" s="1947"/>
      <c r="N42" s="1947"/>
      <c r="O42" s="1948"/>
      <c r="P42" s="1981"/>
      <c r="Q42" s="1947"/>
      <c r="R42" s="1947"/>
      <c r="S42" s="1948"/>
      <c r="T42" s="1946" t="s">
        <v>2103</v>
      </c>
      <c r="U42" s="1947"/>
      <c r="V42" s="1947"/>
      <c r="W42" s="1948"/>
      <c r="X42" s="1981" t="s">
        <v>2104</v>
      </c>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6"/>
      <c r="B44" s="1977"/>
      <c r="C44" s="1977"/>
      <c r="D44" s="1977"/>
      <c r="E44" s="1977"/>
      <c r="F44" s="1977"/>
      <c r="G44" s="1977"/>
      <c r="H44" s="1978"/>
      <c r="I44" s="1951"/>
      <c r="J44" s="1952"/>
      <c r="K44" s="1952"/>
      <c r="L44" s="1952"/>
      <c r="M44" s="1952"/>
      <c r="N44" s="1952"/>
      <c r="O44" s="1952"/>
      <c r="P44" s="1952"/>
      <c r="Q44" s="1952"/>
      <c r="R44" s="1952"/>
      <c r="S44" s="1953"/>
      <c r="T44" s="1951"/>
      <c r="U44" s="1970"/>
      <c r="V44" s="1970"/>
      <c r="W44" s="1970"/>
      <c r="X44" s="1970"/>
      <c r="Y44" s="1970"/>
      <c r="Z44" s="1952"/>
      <c r="AA44" s="195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F36"/>
  <sheetViews>
    <sheetView showGridLines="0" defaultGridColor="0" topLeftCell="A10" colorId="8" zoomScale="110" zoomScaleNormal="110" workbookViewId="0">
      <selection activeCell="V43" sqref="V4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1802</v>
      </c>
      <c r="B2" s="1528" t="s">
        <v>1951</v>
      </c>
      <c r="C2" s="714" t="s">
        <v>1952</v>
      </c>
      <c r="D2" s="714" t="s">
        <v>1953</v>
      </c>
      <c r="E2" s="714" t="s">
        <v>1954</v>
      </c>
      <c r="F2" s="714" t="s">
        <v>1955</v>
      </c>
    </row>
    <row r="3" spans="1:6" ht="12" customHeight="1" x14ac:dyDescent="0.2">
      <c r="A3" s="2186"/>
      <c r="B3" s="1525"/>
      <c r="C3" s="1526"/>
      <c r="D3" s="1527" t="s">
        <v>256</v>
      </c>
      <c r="E3" s="1526"/>
      <c r="F3" s="1527" t="s">
        <v>257</v>
      </c>
    </row>
    <row r="4" spans="1:6" ht="13.7" customHeight="1" x14ac:dyDescent="0.2">
      <c r="A4" s="715" t="s">
        <v>1155</v>
      </c>
      <c r="B4" s="1749">
        <f>'Revenues 9-14'!C5</f>
        <v>608775</v>
      </c>
      <c r="C4" s="1524">
        <v>177304</v>
      </c>
      <c r="D4" s="1752">
        <f>B4-C4</f>
        <v>431471</v>
      </c>
      <c r="E4" s="1524">
        <v>958000</v>
      </c>
      <c r="F4" s="1752">
        <f>E4-C4</f>
        <v>780696</v>
      </c>
    </row>
    <row r="5" spans="1:6" ht="13.7" customHeight="1" x14ac:dyDescent="0.2">
      <c r="A5" s="715" t="s">
        <v>870</v>
      </c>
      <c r="B5" s="1750">
        <f>'Revenues 9-14'!D5</f>
        <v>109179</v>
      </c>
      <c r="C5" s="585">
        <v>31543</v>
      </c>
      <c r="D5" s="1753">
        <f t="shared" ref="D5:D18" si="0">B5-C5</f>
        <v>77636</v>
      </c>
      <c r="E5" s="585">
        <v>170431</v>
      </c>
      <c r="F5" s="1753">
        <f>E5-C5</f>
        <v>138888</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10449</v>
      </c>
      <c r="C7" s="585">
        <v>4798</v>
      </c>
      <c r="D7" s="1753">
        <f t="shared" si="0"/>
        <v>5651</v>
      </c>
      <c r="E7" s="585">
        <v>25922</v>
      </c>
      <c r="F7" s="1753">
        <f t="shared" si="1"/>
        <v>21124</v>
      </c>
    </row>
    <row r="8" spans="1:6" ht="13.7" customHeight="1" x14ac:dyDescent="0.2">
      <c r="A8" s="715" t="s">
        <v>1179</v>
      </c>
      <c r="B8" s="1750">
        <f>'Revenues 9-14'!G5</f>
        <v>12810</v>
      </c>
      <c r="C8" s="585">
        <v>3486</v>
      </c>
      <c r="D8" s="1753">
        <f t="shared" si="0"/>
        <v>9324</v>
      </c>
      <c r="E8" s="585">
        <v>18838</v>
      </c>
      <c r="F8" s="1753">
        <f t="shared" si="1"/>
        <v>15352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19373</v>
      </c>
      <c r="C11" s="585">
        <v>5579</v>
      </c>
      <c r="D11" s="1753">
        <f t="shared" si="0"/>
        <v>13794</v>
      </c>
      <c r="E11" s="585">
        <v>30147</v>
      </c>
      <c r="F11" s="1753">
        <f t="shared" si="1"/>
        <v>24568</v>
      </c>
    </row>
    <row r="12" spans="1:6" ht="13.7" customHeight="1" x14ac:dyDescent="0.2">
      <c r="A12" s="715" t="s">
        <v>157</v>
      </c>
      <c r="B12" s="1750">
        <f>'Revenues 9-14'!K5</f>
        <v>6551</v>
      </c>
      <c r="C12" s="585">
        <v>1911</v>
      </c>
      <c r="D12" s="1753">
        <f t="shared" si="0"/>
        <v>4640</v>
      </c>
      <c r="E12" s="585">
        <v>10324</v>
      </c>
      <c r="F12" s="1753">
        <f t="shared" si="1"/>
        <v>8413</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2006</v>
      </c>
      <c r="C14" s="585">
        <v>582</v>
      </c>
      <c r="D14" s="1753">
        <f t="shared" si="0"/>
        <v>1424</v>
      </c>
      <c r="E14" s="585">
        <v>3145</v>
      </c>
      <c r="F14" s="1753">
        <f t="shared" si="1"/>
        <v>2563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18339</v>
      </c>
      <c r="C16" s="585">
        <v>4645</v>
      </c>
      <c r="D16" s="1753">
        <f t="shared" si="0"/>
        <v>13694</v>
      </c>
      <c r="E16" s="585">
        <v>25096</v>
      </c>
      <c r="F16" s="1753">
        <f t="shared" si="1"/>
        <v>20451</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787482</v>
      </c>
      <c r="C19" s="1751">
        <f>SUM(C4:C18)</f>
        <v>229848</v>
      </c>
      <c r="D19" s="1751">
        <f>SUM(D4:D18)</f>
        <v>557634</v>
      </c>
      <c r="E19" s="1751">
        <f>SUM(E4:E18)</f>
        <v>1241903</v>
      </c>
      <c r="F19" s="1751">
        <f>SUM(F4:F18)</f>
        <v>1012055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colorId="8" zoomScale="110" zoomScaleNormal="110" workbookViewId="0">
      <selection activeCell="V43" sqref="V4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629</v>
      </c>
      <c r="B1" s="2205"/>
      <c r="C1" s="721"/>
    </row>
    <row r="2" spans="1:7" ht="33.75" x14ac:dyDescent="0.2">
      <c r="A2" s="2212" t="s">
        <v>1802</v>
      </c>
      <c r="B2" s="2213"/>
      <c r="C2" s="1884" t="s">
        <v>1956</v>
      </c>
      <c r="D2" s="723" t="s">
        <v>1957</v>
      </c>
      <c r="E2" s="723" t="s">
        <v>1958</v>
      </c>
      <c r="F2" s="1884" t="s">
        <v>1959</v>
      </c>
    </row>
    <row r="3" spans="1:7" ht="15.75" customHeight="1" x14ac:dyDescent="0.2">
      <c r="A3" s="2214" t="s">
        <v>1114</v>
      </c>
      <c r="B3" s="2215"/>
      <c r="C3" s="2208"/>
      <c r="D3" s="2209"/>
      <c r="E3" s="2209"/>
      <c r="F3" s="2210"/>
    </row>
    <row r="4" spans="1:7" ht="12.75" customHeight="1" thickBot="1" x14ac:dyDescent="0.25">
      <c r="A4" s="2202" t="s">
        <v>630</v>
      </c>
      <c r="B4" s="2203"/>
      <c r="C4" s="581"/>
      <c r="D4" s="581"/>
      <c r="E4" s="581"/>
      <c r="F4" s="1755">
        <f>SUM(C4+D4)-E4</f>
        <v>0</v>
      </c>
    </row>
    <row r="5" spans="1:7" ht="15.75" customHeight="1" thickTop="1" x14ac:dyDescent="0.2">
      <c r="A5" s="2206" t="s">
        <v>1110</v>
      </c>
      <c r="B5" s="2201"/>
      <c r="C5" s="2195"/>
      <c r="D5" s="2196"/>
      <c r="E5" s="2196"/>
      <c r="F5" s="219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8" t="s">
        <v>631</v>
      </c>
      <c r="B15" s="2199"/>
      <c r="C15" s="1755">
        <f>SUM(C6:C14)</f>
        <v>0</v>
      </c>
      <c r="D15" s="1755">
        <f>SUM(D6:D14)</f>
        <v>0</v>
      </c>
      <c r="E15" s="1755">
        <f>SUM(E6:E14)</f>
        <v>0</v>
      </c>
      <c r="F15" s="1755">
        <f>SUM(F6:F14)</f>
        <v>0</v>
      </c>
      <c r="G15" s="552"/>
    </row>
    <row r="16" spans="1:7" s="202" customFormat="1" ht="15.75" customHeight="1" thickTop="1" x14ac:dyDescent="0.2">
      <c r="A16" s="2211" t="s">
        <v>1111</v>
      </c>
      <c r="B16" s="2201"/>
      <c r="C16" s="2195"/>
      <c r="D16" s="2196"/>
      <c r="E16" s="2196"/>
      <c r="F16" s="2197"/>
    </row>
    <row r="17" spans="1:11" ht="12.75" customHeight="1" thickBot="1" x14ac:dyDescent="0.25">
      <c r="A17" s="2193" t="s">
        <v>64</v>
      </c>
      <c r="B17" s="2194"/>
      <c r="C17" s="726"/>
      <c r="D17" s="585"/>
      <c r="E17" s="726"/>
      <c r="F17" s="1755">
        <f>SUM(C17+D17)-E17</f>
        <v>0</v>
      </c>
    </row>
    <row r="18" spans="1:11" ht="12.75" customHeight="1" thickTop="1" thickBot="1" x14ac:dyDescent="0.25">
      <c r="A18" s="2193" t="s">
        <v>6</v>
      </c>
      <c r="B18" s="2194"/>
      <c r="C18" s="726"/>
      <c r="D18" s="585"/>
      <c r="E18" s="726"/>
      <c r="F18" s="1755">
        <f>SUM(C18+D18)-E18</f>
        <v>0</v>
      </c>
    </row>
    <row r="19" spans="1:11" ht="12.75" customHeight="1" thickTop="1" thickBot="1" x14ac:dyDescent="0.25">
      <c r="A19" s="2193" t="s">
        <v>388</v>
      </c>
      <c r="B19" s="2194"/>
      <c r="C19" s="726"/>
      <c r="D19" s="585"/>
      <c r="E19" s="726"/>
      <c r="F19" s="1755">
        <f>SUM(C19+D19)-E19</f>
        <v>0</v>
      </c>
    </row>
    <row r="20" spans="1:11" ht="12.75" customHeight="1" thickTop="1" thickBot="1" x14ac:dyDescent="0.25">
      <c r="A20" s="2193" t="s">
        <v>448</v>
      </c>
      <c r="B20" s="2194"/>
      <c r="C20" s="726"/>
      <c r="D20" s="585"/>
      <c r="E20" s="726"/>
      <c r="F20" s="1755">
        <f>SUM(C20+D20)-E20</f>
        <v>0</v>
      </c>
    </row>
    <row r="21" spans="1:11" ht="14.25" thickTop="1" thickBot="1" x14ac:dyDescent="0.25">
      <c r="A21" s="2198" t="s">
        <v>632</v>
      </c>
      <c r="B21" s="2199"/>
      <c r="C21" s="1755">
        <f>SUM(C17:C20)</f>
        <v>0</v>
      </c>
      <c r="D21" s="1755">
        <f>SUM(D17:D20)</f>
        <v>0</v>
      </c>
      <c r="E21" s="1755">
        <f>SUM(E17:E20)</f>
        <v>0</v>
      </c>
      <c r="F21" s="1755">
        <f>SUM(F17:F20)</f>
        <v>0</v>
      </c>
      <c r="G21" s="552"/>
    </row>
    <row r="22" spans="1:11" ht="15.75" customHeight="1" thickTop="1" x14ac:dyDescent="0.2">
      <c r="A22" s="2200" t="s">
        <v>1112</v>
      </c>
      <c r="B22" s="2201"/>
      <c r="C22" s="2195"/>
      <c r="D22" s="2196"/>
      <c r="E22" s="2196"/>
      <c r="F22" s="2197"/>
    </row>
    <row r="23" spans="1:11" ht="13.5" thickBot="1" x14ac:dyDescent="0.25">
      <c r="A23" s="2202" t="s">
        <v>633</v>
      </c>
      <c r="B23" s="2203"/>
      <c r="C23" s="581"/>
      <c r="D23" s="581"/>
      <c r="E23" s="581"/>
      <c r="F23" s="1755">
        <f>SUM(C23+D23)-E23</f>
        <v>0</v>
      </c>
      <c r="G23" s="552"/>
    </row>
    <row r="24" spans="1:11" ht="15.75" customHeight="1" thickTop="1" x14ac:dyDescent="0.2">
      <c r="A24" s="2200" t="s">
        <v>1113</v>
      </c>
      <c r="B24" s="2201"/>
      <c r="C24" s="2195"/>
      <c r="D24" s="2196"/>
      <c r="E24" s="2196"/>
      <c r="F24" s="2197"/>
    </row>
    <row r="25" spans="1:11" ht="13.5" thickBot="1" x14ac:dyDescent="0.25">
      <c r="A25" s="2202" t="s">
        <v>634</v>
      </c>
      <c r="B25" s="2203"/>
      <c r="C25" s="581"/>
      <c r="D25" s="581"/>
      <c r="E25" s="581"/>
      <c r="F25" s="1755">
        <f>SUM(C25+D25)-E25</f>
        <v>0</v>
      </c>
      <c r="G25" s="552"/>
    </row>
    <row r="26" spans="1:11" ht="15.75" customHeight="1" thickTop="1" x14ac:dyDescent="0.2">
      <c r="A26" s="2206" t="s">
        <v>657</v>
      </c>
      <c r="B26" s="2201"/>
      <c r="C26" s="727"/>
      <c r="D26" s="727"/>
      <c r="E26" s="727"/>
      <c r="F26" s="728"/>
    </row>
    <row r="27" spans="1:11" ht="13.5" thickBot="1" x14ac:dyDescent="0.25">
      <c r="A27" s="2198" t="s">
        <v>1070</v>
      </c>
      <c r="B27" s="2199"/>
      <c r="C27" s="585"/>
      <c r="D27" s="585"/>
      <c r="E27" s="585"/>
      <c r="F27" s="1755">
        <f>SUM(C27+D27)-E27</f>
        <v>0</v>
      </c>
      <c r="G27" s="552"/>
    </row>
    <row r="28" spans="1:11" ht="7.5" customHeight="1" thickTop="1" x14ac:dyDescent="0.2">
      <c r="A28" s="593"/>
    </row>
    <row r="29" spans="1:11" ht="23.25" customHeight="1" x14ac:dyDescent="0.2">
      <c r="A29" s="2204" t="s">
        <v>582</v>
      </c>
      <c r="B29" s="2205"/>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7" t="s">
        <v>584</v>
      </c>
      <c r="C52" s="2188"/>
      <c r="D52" s="2188"/>
      <c r="E52" s="749" t="s">
        <v>845</v>
      </c>
      <c r="F52" s="2189"/>
      <c r="G52" s="2190"/>
      <c r="H52" s="736"/>
      <c r="I52" s="736"/>
      <c r="J52" s="746"/>
    </row>
    <row r="53" spans="1:11" ht="11.25" customHeight="1" x14ac:dyDescent="0.2">
      <c r="A53" s="750" t="s">
        <v>913</v>
      </c>
      <c r="B53" s="751" t="s">
        <v>951</v>
      </c>
      <c r="C53" s="746"/>
      <c r="D53" s="737"/>
      <c r="E53" s="749" t="s">
        <v>497</v>
      </c>
      <c r="F53" s="2191"/>
      <c r="G53" s="2192"/>
      <c r="H53" s="736"/>
      <c r="I53" s="736"/>
      <c r="J53" s="746"/>
    </row>
    <row r="54" spans="1:11" ht="11.25" customHeight="1" x14ac:dyDescent="0.2">
      <c r="A54" s="752" t="s">
        <v>914</v>
      </c>
      <c r="B54" s="747" t="s">
        <v>952</v>
      </c>
      <c r="C54" s="746"/>
      <c r="D54" s="737"/>
      <c r="E54" s="749" t="s">
        <v>498</v>
      </c>
      <c r="F54" s="2191"/>
      <c r="G54" s="219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K48"/>
  <sheetViews>
    <sheetView showGridLines="0" defaultGridColor="0" colorId="8" zoomScale="110" zoomScaleNormal="110" workbookViewId="0">
      <selection activeCell="V43" sqref="V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6" t="s">
        <v>856</v>
      </c>
      <c r="B1" s="2217"/>
      <c r="C1" s="2217"/>
      <c r="D1" s="2217"/>
      <c r="E1" s="2217"/>
      <c r="F1" s="2217"/>
      <c r="G1" s="2218"/>
      <c r="H1" s="1530"/>
      <c r="I1" s="760"/>
      <c r="J1" s="433"/>
    </row>
    <row r="2" spans="1:11" ht="26.25" x14ac:dyDescent="0.2">
      <c r="A2" s="2235" t="s">
        <v>1677</v>
      </c>
      <c r="B2" s="2236"/>
      <c r="C2" s="2236"/>
      <c r="D2" s="2236"/>
      <c r="E2" s="2237"/>
      <c r="F2" s="761" t="s">
        <v>904</v>
      </c>
      <c r="G2" s="762" t="s">
        <v>1674</v>
      </c>
      <c r="H2" s="762" t="s">
        <v>410</v>
      </c>
      <c r="I2" s="762" t="s">
        <v>1158</v>
      </c>
      <c r="J2" s="762" t="s">
        <v>1812</v>
      </c>
      <c r="K2" s="762" t="s">
        <v>138</v>
      </c>
    </row>
    <row r="3" spans="1:11" x14ac:dyDescent="0.2">
      <c r="A3" s="2238" t="s">
        <v>1964</v>
      </c>
      <c r="B3" s="2239"/>
      <c r="C3" s="2239"/>
      <c r="D3" s="2239"/>
      <c r="E3" s="2240"/>
      <c r="F3" s="763"/>
      <c r="G3" s="764"/>
      <c r="H3" s="764"/>
      <c r="I3" s="764"/>
      <c r="J3" s="765"/>
      <c r="K3" s="765"/>
    </row>
    <row r="4" spans="1:11" x14ac:dyDescent="0.2">
      <c r="A4" s="2241" t="s">
        <v>369</v>
      </c>
      <c r="B4" s="2242"/>
      <c r="C4" s="2242"/>
      <c r="D4" s="2242"/>
      <c r="E4" s="2188"/>
      <c r="F4" s="766"/>
      <c r="G4" s="767"/>
      <c r="H4" s="768"/>
      <c r="I4" s="767"/>
      <c r="J4" s="769"/>
      <c r="K4" s="769"/>
    </row>
    <row r="5" spans="1:11" x14ac:dyDescent="0.2">
      <c r="A5" s="2219" t="s">
        <v>1069</v>
      </c>
      <c r="B5" s="2220"/>
      <c r="C5" s="2220"/>
      <c r="D5" s="2220"/>
      <c r="E5" s="2221"/>
      <c r="F5" s="770" t="s">
        <v>848</v>
      </c>
      <c r="G5" s="771"/>
      <c r="H5" s="764">
        <v>2006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9" t="s">
        <v>1813</v>
      </c>
      <c r="B10" s="2220"/>
      <c r="C10" s="2220"/>
      <c r="D10" s="2220"/>
      <c r="E10" s="2222"/>
      <c r="F10" s="783" t="s">
        <v>862</v>
      </c>
      <c r="G10" s="782"/>
      <c r="H10" s="784"/>
      <c r="I10" s="764"/>
      <c r="J10" s="765"/>
      <c r="K10" s="765"/>
    </row>
    <row r="11" spans="1:11" x14ac:dyDescent="0.2">
      <c r="A11" s="2219" t="s">
        <v>160</v>
      </c>
      <c r="B11" s="2220"/>
      <c r="C11" s="2220"/>
      <c r="D11" s="2220"/>
      <c r="E11" s="2221"/>
      <c r="F11" s="770" t="s">
        <v>852</v>
      </c>
      <c r="G11" s="771"/>
      <c r="H11" s="764"/>
      <c r="I11" s="764"/>
      <c r="J11" s="765"/>
      <c r="K11" s="773"/>
    </row>
    <row r="12" spans="1:11" ht="13.5" thickBot="1" x14ac:dyDescent="0.25">
      <c r="A12" s="2246" t="s">
        <v>905</v>
      </c>
      <c r="B12" s="2247"/>
      <c r="C12" s="2247"/>
      <c r="D12" s="2247"/>
      <c r="E12" s="2248"/>
      <c r="F12" s="1757"/>
      <c r="G12" s="1758">
        <f>SUM(G5:G11)</f>
        <v>0</v>
      </c>
      <c r="H12" s="1758">
        <f>SUM(H5:H11)</f>
        <v>2006</v>
      </c>
      <c r="I12" s="1758">
        <f>SUM(I5:I11)</f>
        <v>0</v>
      </c>
      <c r="J12" s="1758">
        <f>SUM(J5:J11)</f>
        <v>0</v>
      </c>
      <c r="K12" s="1758">
        <f>SUM(K5:K11)</f>
        <v>0</v>
      </c>
    </row>
    <row r="13" spans="1:11" ht="13.5" thickTop="1" x14ac:dyDescent="0.2">
      <c r="A13" s="2243" t="s">
        <v>370</v>
      </c>
      <c r="B13" s="2244"/>
      <c r="C13" s="2244"/>
      <c r="D13" s="2244"/>
      <c r="E13" s="2245"/>
      <c r="F13" s="785"/>
      <c r="G13" s="786"/>
      <c r="H13" s="787"/>
      <c r="I13" s="788"/>
      <c r="J13" s="788"/>
      <c r="K13" s="788"/>
    </row>
    <row r="14" spans="1:11" x14ac:dyDescent="0.2">
      <c r="A14" s="2226" t="s">
        <v>456</v>
      </c>
      <c r="B14" s="2226"/>
      <c r="C14" s="2226"/>
      <c r="D14" s="2226"/>
      <c r="E14" s="2227"/>
      <c r="F14" s="789" t="s">
        <v>854</v>
      </c>
      <c r="G14" s="782"/>
      <c r="H14" s="764">
        <v>2006</v>
      </c>
      <c r="I14" s="771"/>
      <c r="J14" s="773"/>
      <c r="K14" s="765"/>
    </row>
    <row r="15" spans="1:11" x14ac:dyDescent="0.2">
      <c r="A15" s="2220" t="s">
        <v>4</v>
      </c>
      <c r="B15" s="2220"/>
      <c r="C15" s="2220"/>
      <c r="D15" s="2220"/>
      <c r="E15" s="2221"/>
      <c r="F15" s="789" t="s">
        <v>855</v>
      </c>
      <c r="G15" s="771"/>
      <c r="H15" s="764"/>
      <c r="I15" s="764"/>
      <c r="J15" s="765"/>
      <c r="K15" s="765"/>
    </row>
    <row r="16" spans="1:11" x14ac:dyDescent="0.2">
      <c r="A16" s="2220" t="s">
        <v>298</v>
      </c>
      <c r="B16" s="2220"/>
      <c r="C16" s="2220"/>
      <c r="D16" s="2220"/>
      <c r="E16" s="2221"/>
      <c r="F16" s="789" t="s">
        <v>923</v>
      </c>
      <c r="G16" s="772"/>
      <c r="H16" s="767"/>
      <c r="I16" s="767"/>
      <c r="J16" s="769"/>
      <c r="K16" s="769"/>
    </row>
    <row r="17" spans="1:11" x14ac:dyDescent="0.2">
      <c r="A17" s="2251" t="s">
        <v>935</v>
      </c>
      <c r="B17" s="2251"/>
      <c r="C17" s="2251"/>
      <c r="D17" s="2251"/>
      <c r="E17" s="2252"/>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28" t="s">
        <v>1809</v>
      </c>
      <c r="B19" s="2228"/>
      <c r="C19" s="2228"/>
      <c r="D19" s="2228"/>
      <c r="E19" s="2229"/>
      <c r="F19" s="789" t="s">
        <v>933</v>
      </c>
      <c r="G19" s="782"/>
      <c r="H19" s="782"/>
      <c r="I19" s="782"/>
      <c r="J19" s="765"/>
      <c r="K19" s="795"/>
    </row>
    <row r="20" spans="1:11" x14ac:dyDescent="0.2">
      <c r="A20" s="2230" t="s">
        <v>1814</v>
      </c>
      <c r="B20" s="2231"/>
      <c r="C20" s="2231"/>
      <c r="D20" s="2231"/>
      <c r="E20" s="2232"/>
      <c r="F20" s="789" t="s">
        <v>934</v>
      </c>
      <c r="G20" s="782"/>
      <c r="H20" s="782"/>
      <c r="I20" s="782"/>
      <c r="J20" s="765"/>
      <c r="K20" s="795"/>
    </row>
    <row r="21" spans="1:11" ht="13.5" thickBot="1" x14ac:dyDescent="0.25">
      <c r="A21" s="2249" t="s">
        <v>638</v>
      </c>
      <c r="B21" s="2249"/>
      <c r="C21" s="2249"/>
      <c r="D21" s="2249"/>
      <c r="E21" s="2249"/>
      <c r="F21" s="1759"/>
      <c r="G21" s="792"/>
      <c r="H21" s="796"/>
      <c r="I21" s="796"/>
      <c r="J21" s="1760">
        <f>SUM(J18:J20)</f>
        <v>0</v>
      </c>
      <c r="K21" s="793"/>
    </row>
    <row r="22" spans="1:11" ht="13.5" thickTop="1" x14ac:dyDescent="0.2">
      <c r="A22" s="2220" t="s">
        <v>1815</v>
      </c>
      <c r="B22" s="2220"/>
      <c r="C22" s="2220"/>
      <c r="D22" s="2220"/>
      <c r="E22" s="2221"/>
      <c r="F22" s="789" t="s">
        <v>862</v>
      </c>
      <c r="G22" s="782"/>
      <c r="H22" s="764"/>
      <c r="I22" s="764"/>
      <c r="J22" s="797"/>
      <c r="K22" s="765"/>
    </row>
    <row r="23" spans="1:11" ht="13.5" thickBot="1" x14ac:dyDescent="0.25">
      <c r="A23" s="2250" t="s">
        <v>906</v>
      </c>
      <c r="B23" s="2249"/>
      <c r="C23" s="2249"/>
      <c r="D23" s="2249"/>
      <c r="E23" s="2249"/>
      <c r="F23" s="1761"/>
      <c r="G23" s="1758">
        <f>SUM(G14:G16,G21,G22)</f>
        <v>0</v>
      </c>
      <c r="H23" s="1758">
        <f>SUM(H14:H16,H21,H22)</f>
        <v>2006</v>
      </c>
      <c r="I23" s="1758">
        <f>SUM(I14:I16,I21,I22)</f>
        <v>0</v>
      </c>
      <c r="J23" s="1758">
        <f>SUM(J14:J16,J21,J22)</f>
        <v>0</v>
      </c>
      <c r="K23" s="1758">
        <f>SUM(K14:K16,K21,K22)</f>
        <v>0</v>
      </c>
    </row>
    <row r="24" spans="1:11" ht="14.25" thickTop="1" thickBot="1" x14ac:dyDescent="0.25">
      <c r="A24" s="2250" t="s">
        <v>1965</v>
      </c>
      <c r="B24" s="2249"/>
      <c r="C24" s="2249"/>
      <c r="D24" s="2249"/>
      <c r="E24" s="2249"/>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3"/>
      <c r="I31" s="2224"/>
      <c r="J31" s="2224"/>
      <c r="K31" s="2224"/>
    </row>
    <row r="32" spans="1:11" x14ac:dyDescent="0.2">
      <c r="A32" s="809"/>
      <c r="B32" s="237"/>
      <c r="C32" s="237"/>
      <c r="D32" s="237"/>
      <c r="E32" s="805"/>
      <c r="F32" s="811" t="s">
        <v>540</v>
      </c>
      <c r="G32" s="764"/>
      <c r="H32" s="2225"/>
      <c r="I32" s="2224"/>
      <c r="J32" s="2224"/>
      <c r="K32" s="2224"/>
    </row>
    <row r="33" spans="1:11" ht="1.5" customHeight="1" x14ac:dyDescent="0.2">
      <c r="A33" s="812" t="s">
        <v>1169</v>
      </c>
      <c r="B33" s="364"/>
      <c r="C33" s="364"/>
      <c r="D33" s="364"/>
      <c r="E33" s="364"/>
      <c r="F33" s="364"/>
      <c r="G33" s="813"/>
      <c r="H33" s="2225"/>
      <c r="I33" s="2224"/>
      <c r="J33" s="2224"/>
      <c r="K33" s="222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0" t="s">
        <v>541</v>
      </c>
      <c r="B41" s="2233"/>
      <c r="C41" s="2233"/>
      <c r="D41" s="2233"/>
      <c r="E41" s="2233"/>
      <c r="F41" s="223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colorId="8" zoomScale="110" zoomScaleNormal="110" workbookViewId="0">
      <selection activeCell="V43" sqref="V4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1909</v>
      </c>
      <c r="B1" s="2256"/>
      <c r="C1" s="2257"/>
      <c r="D1" s="826"/>
      <c r="E1" s="827"/>
      <c r="F1" s="827"/>
      <c r="G1" s="828"/>
      <c r="H1" s="829"/>
      <c r="I1" s="830"/>
      <c r="J1" s="2253"/>
      <c r="K1" s="2254"/>
      <c r="L1" s="2254"/>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19481</v>
      </c>
      <c r="D5" s="841"/>
      <c r="E5" s="841"/>
      <c r="F5" s="1760">
        <f>(C5+D5)-E5</f>
        <v>19481</v>
      </c>
      <c r="G5" s="837"/>
      <c r="H5" s="842"/>
      <c r="I5" s="842"/>
      <c r="J5" s="842"/>
      <c r="K5" s="793"/>
      <c r="L5" s="1769">
        <f>F5-K5</f>
        <v>19481</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1054053</v>
      </c>
      <c r="D8" s="844"/>
      <c r="E8" s="844"/>
      <c r="F8" s="1760">
        <f>(C8+D8)-E8</f>
        <v>1054053</v>
      </c>
      <c r="G8" s="843">
        <v>50</v>
      </c>
      <c r="H8" s="765">
        <v>811862</v>
      </c>
      <c r="I8" s="765">
        <v>21081</v>
      </c>
      <c r="J8" s="765"/>
      <c r="K8" s="1769">
        <f>(H8+I8)-J8</f>
        <v>832943</v>
      </c>
      <c r="L8" s="1769">
        <f>F8-K8</f>
        <v>221110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12044</v>
      </c>
      <c r="D10" s="846"/>
      <c r="E10" s="846"/>
      <c r="F10" s="1764">
        <f>(C10+D10)-E10</f>
        <v>12044</v>
      </c>
      <c r="G10" s="843">
        <v>20</v>
      </c>
      <c r="H10" s="847">
        <v>12044</v>
      </c>
      <c r="I10" s="847"/>
      <c r="J10" s="847"/>
      <c r="K10" s="1769">
        <f>(H10+I10)-J10</f>
        <v>12044</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522625</v>
      </c>
      <c r="D12" s="844"/>
      <c r="E12" s="844"/>
      <c r="F12" s="1760">
        <f>(C12+D12)-E12</f>
        <v>522625</v>
      </c>
      <c r="G12" s="843">
        <v>10</v>
      </c>
      <c r="H12" s="765">
        <v>484477</v>
      </c>
      <c r="I12" s="765">
        <v>4300</v>
      </c>
      <c r="J12" s="765"/>
      <c r="K12" s="1769">
        <f>(H12+I12)-J12</f>
        <v>488777</v>
      </c>
      <c r="L12" s="1769">
        <f>F12-K12</f>
        <v>33848</v>
      </c>
    </row>
    <row r="13" spans="1:14" ht="14.25" thickTop="1" thickBot="1" x14ac:dyDescent="0.25">
      <c r="A13" s="848" t="s">
        <v>1122</v>
      </c>
      <c r="B13" s="840">
        <v>252</v>
      </c>
      <c r="C13" s="844">
        <v>38983</v>
      </c>
      <c r="D13" s="844"/>
      <c r="E13" s="844"/>
      <c r="F13" s="1760">
        <f>(C13+D13)-E13</f>
        <v>38983</v>
      </c>
      <c r="G13" s="843">
        <v>5</v>
      </c>
      <c r="H13" s="765">
        <v>38983</v>
      </c>
      <c r="I13" s="765"/>
      <c r="J13" s="765"/>
      <c r="K13" s="1769">
        <f>(H13+I13)-J13</f>
        <v>38983</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1647186</v>
      </c>
      <c r="D16" s="1760">
        <f>SUM(D3,D5:D6,D8:D10,D12:D15)</f>
        <v>0</v>
      </c>
      <c r="E16" s="1760">
        <f>SUM(E3,E5:E6,E8:E10,E12:E15)</f>
        <v>0</v>
      </c>
      <c r="F16" s="1760">
        <f>SUM(F3,F5:F6,F8:F10,F12:F15)</f>
        <v>1647186</v>
      </c>
      <c r="G16" s="843"/>
      <c r="H16" s="1760">
        <f>SUM(H3,H6,H8:H10,H12:H14,)</f>
        <v>1347366</v>
      </c>
      <c r="I16" s="1760">
        <f>SUM(I3,I6,I8:I10,I12:I14,)</f>
        <v>25381</v>
      </c>
      <c r="J16" s="1760">
        <f>SUM(J3,J6,J8:J10,J12:J14,)</f>
        <v>0</v>
      </c>
      <c r="K16" s="1760">
        <f>(H16+I16)-J16</f>
        <v>1372747</v>
      </c>
      <c r="L16" s="1760">
        <f>F16-K16</f>
        <v>274439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25381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H202"/>
  <sheetViews>
    <sheetView showGridLines="0" defaultGridColor="0" colorId="8" zoomScale="110" zoomScaleNormal="110" workbookViewId="0">
      <pane ySplit="5" topLeftCell="A169" activePane="bottomLeft" state="frozen"/>
      <selection activeCell="V43" sqref="V43"/>
      <selection pane="bottomLeft" activeCell="V43" sqref="V4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1975</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1241374</v>
      </c>
      <c r="G8" s="865"/>
    </row>
    <row r="9" spans="1:7" x14ac:dyDescent="0.2">
      <c r="A9" s="869" t="s">
        <v>460</v>
      </c>
      <c r="B9" s="870" t="s">
        <v>1877</v>
      </c>
      <c r="C9" s="871"/>
      <c r="D9" s="869" t="s">
        <v>501</v>
      </c>
      <c r="E9" s="868"/>
      <c r="F9" s="1909">
        <f>'Expenditures 15-22'!K151</f>
        <v>146133</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108963</v>
      </c>
      <c r="G11" s="872"/>
    </row>
    <row r="12" spans="1:7" x14ac:dyDescent="0.2">
      <c r="A12" s="869" t="s">
        <v>462</v>
      </c>
      <c r="B12" s="870" t="s">
        <v>1880</v>
      </c>
      <c r="C12" s="871"/>
      <c r="D12" s="869" t="s">
        <v>501</v>
      </c>
      <c r="E12" s="868"/>
      <c r="F12" s="1909">
        <f>'Expenditures 15-22'!K295</f>
        <v>36606</v>
      </c>
      <c r="G12" s="872"/>
    </row>
    <row r="13" spans="1:7" x14ac:dyDescent="0.2">
      <c r="A13" s="869" t="s">
        <v>106</v>
      </c>
      <c r="B13" s="870" t="s">
        <v>1881</v>
      </c>
      <c r="C13" s="871"/>
      <c r="D13" s="869" t="s">
        <v>501</v>
      </c>
      <c r="E13" s="868"/>
      <c r="F13" s="1909">
        <f>'Expenditures 15-22'!K342</f>
        <v>29881</v>
      </c>
      <c r="G13" s="873"/>
    </row>
    <row r="14" spans="1:7" ht="12" customHeight="1" thickBot="1" x14ac:dyDescent="0.25">
      <c r="A14" s="1770"/>
      <c r="B14" s="1771"/>
      <c r="C14" s="1772"/>
      <c r="D14" s="1773" t="s">
        <v>501</v>
      </c>
      <c r="E14" s="1774" t="s">
        <v>958</v>
      </c>
      <c r="F14" s="1775">
        <f>SUM(F8:F13)</f>
        <v>1562957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539</v>
      </c>
      <c r="G52" s="865"/>
    </row>
    <row r="53" spans="1:7" x14ac:dyDescent="0.2">
      <c r="A53" s="869" t="s">
        <v>459</v>
      </c>
      <c r="B53" s="869" t="s">
        <v>1475</v>
      </c>
      <c r="C53" s="889">
        <f>'Expenditures 15-22'!B102</f>
        <v>4000</v>
      </c>
      <c r="D53" s="888" t="str">
        <f>'Expenditures 15-22'!A102</f>
        <v>Total Payments to Other Govt Units</v>
      </c>
      <c r="E53" s="868"/>
      <c r="F53" s="1913">
        <f>'Expenditures 15-22'!K102</f>
        <v>92944</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4141</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97624</v>
      </c>
      <c r="G76" s="865"/>
    </row>
    <row r="77" spans="1:8" s="893" customFormat="1" ht="12" customHeight="1" thickTop="1" thickBot="1" x14ac:dyDescent="0.25">
      <c r="A77" s="1779"/>
      <c r="B77" s="1776"/>
      <c r="C77" s="1772"/>
      <c r="D77" s="1777" t="s">
        <v>1900</v>
      </c>
      <c r="E77" s="1774"/>
      <c r="F77" s="1780">
        <f>(F14-F76)</f>
        <v>1465333</v>
      </c>
      <c r="G77" s="869"/>
    </row>
    <row r="78" spans="1:8" s="893" customFormat="1" ht="12" customHeight="1" thickTop="1" x14ac:dyDescent="0.2">
      <c r="A78" s="1781"/>
      <c r="B78" s="1776"/>
      <c r="C78" s="1772"/>
      <c r="D78" s="1777" t="s">
        <v>2062</v>
      </c>
      <c r="E78" s="1774"/>
      <c r="F78" s="898">
        <v>101.2</v>
      </c>
      <c r="G78" s="899"/>
      <c r="H78" s="869"/>
    </row>
    <row r="79" spans="1:8" s="893" customFormat="1" ht="12" customHeight="1" thickBot="1" x14ac:dyDescent="0.25">
      <c r="A79" s="1782"/>
      <c r="B79" s="1776"/>
      <c r="C79" s="1772"/>
      <c r="D79" s="1777" t="s">
        <v>1901</v>
      </c>
      <c r="E79" s="1774" t="s">
        <v>958</v>
      </c>
      <c r="F79" s="1783">
        <f>IF(F78&gt;0,F77/F78," Complete Line 78")</f>
        <v>14479.575098814228</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21503</v>
      </c>
      <c r="G94" s="912"/>
    </row>
    <row r="95" spans="1:7" x14ac:dyDescent="0.2">
      <c r="A95" s="908" t="s">
        <v>140</v>
      </c>
      <c r="B95" s="908" t="s">
        <v>175</v>
      </c>
      <c r="C95" s="910">
        <v>1700</v>
      </c>
      <c r="D95" s="918" t="str">
        <f>'Revenues 9-14'!A82</f>
        <v>Total District/School Activity Income</v>
      </c>
      <c r="E95" s="906"/>
      <c r="F95" s="1789">
        <f>SUM('Revenues 9-14'!C82,'Revenues 9-14'!D82)</f>
        <v>13107</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220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51183</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14112</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18044</v>
      </c>
      <c r="G125" s="930"/>
    </row>
    <row r="126" spans="1:7" x14ac:dyDescent="0.2">
      <c r="A126" s="927" t="s">
        <v>668</v>
      </c>
      <c r="B126" s="927" t="s">
        <v>2024</v>
      </c>
      <c r="C126" s="932">
        <v>4300</v>
      </c>
      <c r="D126" s="933" t="str">
        <f>'Revenues 9-14'!A204</f>
        <v>Total Title I</v>
      </c>
      <c r="E126" s="906"/>
      <c r="F126" s="1789">
        <f>SUM('Revenues 9-14'!C204,'Revenues 9-14'!D204,'Revenues 9-14'!F204,'Revenues 9-14'!G204)</f>
        <v>71667</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2941</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30234</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6272</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7820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676</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4175</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33905</v>
      </c>
      <c r="G171" s="927"/>
    </row>
    <row r="172" spans="1:7" x14ac:dyDescent="0.2">
      <c r="A172" s="1918" t="s">
        <v>664</v>
      </c>
      <c r="B172" s="1919" t="s">
        <v>1920</v>
      </c>
      <c r="C172" s="1920">
        <v>3300</v>
      </c>
      <c r="D172" s="1921" t="s">
        <v>1923</v>
      </c>
      <c r="E172" s="906"/>
      <c r="F172" s="1906">
        <v>1</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275860</v>
      </c>
    </row>
    <row r="175" spans="1:7" ht="12" customHeight="1" x14ac:dyDescent="0.2">
      <c r="A175" s="1770"/>
      <c r="B175" s="1784"/>
      <c r="C175" s="1785"/>
      <c r="D175" s="1786" t="s">
        <v>2057</v>
      </c>
      <c r="E175" s="1787"/>
      <c r="F175" s="1789">
        <f>'PCTC-OEPP 27-28'!F77-F174</f>
        <v>1189473</v>
      </c>
    </row>
    <row r="176" spans="1:7" ht="12" customHeight="1" x14ac:dyDescent="0.2">
      <c r="A176" s="1770"/>
      <c r="B176" s="1784"/>
      <c r="C176" s="1785"/>
      <c r="D176" s="1786" t="s">
        <v>1817</v>
      </c>
      <c r="E176" s="1787"/>
      <c r="F176" s="1789">
        <f>'Cap Outlay Deprec 26'!I18</f>
        <v>25381</v>
      </c>
    </row>
    <row r="177" spans="1:7" ht="12" customHeight="1" x14ac:dyDescent="0.2">
      <c r="A177" s="1770"/>
      <c r="B177" s="1784"/>
      <c r="C177" s="1785"/>
      <c r="D177" s="1786" t="s">
        <v>2058</v>
      </c>
      <c r="E177" s="1787"/>
      <c r="F177" s="1789">
        <f>F175+F176</f>
        <v>1214854</v>
      </c>
    </row>
    <row r="178" spans="1:7" ht="12" customHeight="1" x14ac:dyDescent="0.2">
      <c r="A178" s="1770"/>
      <c r="B178" s="1790"/>
      <c r="C178" s="1785"/>
      <c r="D178" s="1786" t="str">
        <f>D78</f>
        <v>9 Month ADA from District Average Daily Attendance/Prior General State Aid Inquiry 2018-2019</v>
      </c>
      <c r="E178" s="1787"/>
      <c r="F178" s="1791">
        <f>'PCTC-OEPP 27-28'!F78</f>
        <v>101.2</v>
      </c>
      <c r="G178" s="930"/>
    </row>
    <row r="179" spans="1:7" ht="12" customHeight="1" thickBot="1" x14ac:dyDescent="0.25">
      <c r="A179" s="1770"/>
      <c r="B179" s="1790"/>
      <c r="C179" s="1785"/>
      <c r="D179" s="1786" t="s">
        <v>2059</v>
      </c>
      <c r="E179" s="1787" t="s">
        <v>1545</v>
      </c>
      <c r="F179" s="1792">
        <f>F177/F178</f>
        <v>12004.486166007904</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H141"/>
  <sheetViews>
    <sheetView showGridLines="0" topLeftCell="A10" zoomScaleNormal="100" workbookViewId="0">
      <selection activeCell="V43" sqref="V4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1818</v>
      </c>
      <c r="B4" s="2273"/>
      <c r="C4" s="2273"/>
      <c r="D4" s="2273"/>
      <c r="E4" s="2273"/>
      <c r="F4" s="2273"/>
      <c r="G4" s="2274"/>
    </row>
    <row r="5" spans="1:7" x14ac:dyDescent="0.25">
      <c r="A5" s="2275"/>
      <c r="B5" s="2276"/>
      <c r="C5" s="2276"/>
      <c r="D5" s="2276"/>
      <c r="E5" s="2276"/>
      <c r="F5" s="2276"/>
      <c r="G5" s="2277"/>
    </row>
    <row r="6" spans="1:7" ht="18.75" x14ac:dyDescent="0.25">
      <c r="A6" s="1534" t="s">
        <v>1819</v>
      </c>
      <c r="B6" s="1535"/>
      <c r="C6" s="1535"/>
      <c r="D6" s="1535"/>
      <c r="E6" s="1535"/>
      <c r="F6" s="1535"/>
      <c r="G6" s="1536"/>
    </row>
    <row r="7" spans="1:7" ht="30.75" customHeight="1" x14ac:dyDescent="0.25">
      <c r="A7" s="2278" t="s">
        <v>1932</v>
      </c>
      <c r="B7" s="2279"/>
      <c r="C7" s="2279"/>
      <c r="D7" s="2279"/>
      <c r="E7" s="2279"/>
      <c r="F7" s="2279"/>
      <c r="G7" s="2280"/>
    </row>
    <row r="8" spans="1:7" ht="15.75" customHeight="1" x14ac:dyDescent="0.25">
      <c r="A8" s="2281" t="s">
        <v>1907</v>
      </c>
      <c r="B8" s="2282"/>
      <c r="C8" s="2282"/>
      <c r="D8" s="2282"/>
      <c r="E8" s="2282"/>
      <c r="F8" s="2282"/>
      <c r="G8" s="2283"/>
    </row>
    <row r="9" spans="1:7" ht="35.25" customHeight="1" x14ac:dyDescent="0.25">
      <c r="A9" s="2278" t="s">
        <v>1935</v>
      </c>
      <c r="B9" s="2279"/>
      <c r="C9" s="2279"/>
      <c r="D9" s="2279"/>
      <c r="E9" s="2279"/>
      <c r="F9" s="2279"/>
      <c r="G9" s="2280"/>
    </row>
    <row r="10" spans="1:7" ht="15" customHeight="1" x14ac:dyDescent="0.25">
      <c r="A10" s="1537" t="s">
        <v>1820</v>
      </c>
      <c r="B10" s="1538"/>
      <c r="C10" s="1538"/>
      <c r="D10" s="1538"/>
      <c r="E10" s="1538"/>
      <c r="F10" s="1538"/>
      <c r="G10" s="1539"/>
    </row>
    <row r="11" spans="1:7" ht="17.25" customHeight="1" x14ac:dyDescent="0.25">
      <c r="A11" s="2278" t="s">
        <v>1934</v>
      </c>
      <c r="B11" s="2279"/>
      <c r="C11" s="2279"/>
      <c r="D11" s="2279"/>
      <c r="E11" s="2279"/>
      <c r="F11" s="2279"/>
      <c r="G11" s="2280"/>
    </row>
    <row r="12" spans="1:7" ht="15" customHeight="1" x14ac:dyDescent="0.25">
      <c r="A12" s="1537" t="s">
        <v>1825</v>
      </c>
      <c r="B12" s="1538"/>
      <c r="C12" s="1538"/>
      <c r="D12" s="1538"/>
      <c r="E12" s="1538"/>
      <c r="F12" s="1538"/>
      <c r="G12" s="1539"/>
    </row>
    <row r="13" spans="1:7" ht="32.25" customHeight="1" x14ac:dyDescent="0.25">
      <c r="A13" s="2269" t="s">
        <v>1976</v>
      </c>
      <c r="B13" s="2270"/>
      <c r="C13" s="2270"/>
      <c r="D13" s="2270"/>
      <c r="E13" s="2270"/>
      <c r="F13" s="2270"/>
      <c r="G13" s="2271"/>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2" t="s">
        <v>2093</v>
      </c>
      <c r="B17" s="1937" t="s">
        <v>2078</v>
      </c>
      <c r="C17" s="1941" t="s">
        <v>2092</v>
      </c>
      <c r="D17" s="1844">
        <v>43327</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18327</v>
      </c>
      <c r="H17" s="1647"/>
    </row>
    <row r="18" spans="1:8" x14ac:dyDescent="0.25">
      <c r="A18" s="1942" t="s">
        <v>2094</v>
      </c>
      <c r="B18" s="1937" t="s">
        <v>2079</v>
      </c>
      <c r="C18" s="1938" t="s">
        <v>2080</v>
      </c>
      <c r="D18" s="1844">
        <v>102175</v>
      </c>
      <c r="E18" s="1540">
        <f t="shared" ref="E18:E140" si="2">IF(D18&lt;=25000,D18,IF(D18&gt;25000,25000,0))</f>
        <v>25000</v>
      </c>
      <c r="F18" s="1932">
        <f t="shared" si="1"/>
        <v>25000</v>
      </c>
      <c r="G18" s="1793">
        <f t="shared" ref="G18:G140" si="3">IF(F18=0,0,D18-F18)</f>
        <v>77175</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145502</v>
      </c>
      <c r="E141" s="1541">
        <f t="shared" si="0"/>
        <v>25000</v>
      </c>
      <c r="F141" s="1933">
        <f>SUM(F17:F140)</f>
        <v>50000</v>
      </c>
      <c r="G141" s="1795">
        <f>SUM(G17:G140)</f>
        <v>95502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I46"/>
  <sheetViews>
    <sheetView showGridLines="0" defaultGridColor="0" colorId="8" zoomScale="110" zoomScaleNormal="110" workbookViewId="0">
      <selection activeCell="V43" sqref="V4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18044</v>
      </c>
      <c r="F10" s="974"/>
      <c r="G10" s="975"/>
      <c r="H10" s="162"/>
      <c r="I10" s="162"/>
    </row>
    <row r="11" spans="1:9" s="668" customFormat="1" ht="22.5" customHeight="1" x14ac:dyDescent="0.2">
      <c r="A11" s="2289" t="s">
        <v>1977</v>
      </c>
      <c r="B11" s="2290"/>
      <c r="C11" s="2290"/>
      <c r="D11" s="2291"/>
      <c r="E11" s="977">
        <v>3499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777446</v>
      </c>
      <c r="F19" s="1799"/>
      <c r="G19" s="1801">
        <f>'Expenditures 15-22'!K33-SUM('Expenditures 15-22'!G33,'Expenditures 15-22'!I33)+'Expenditures 15-22'!D229</f>
        <v>777446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4017</v>
      </c>
      <c r="F21" s="1802"/>
      <c r="G21" s="1805">
        <f>'Expenditures 15-22'!K42-SUM('Expenditures 15-22'!G42,'Expenditures 15-22'!I42)+'Expenditures 15-22'!K120-SUM('Expenditures 15-22'!G120,'Expenditures 15-22'!I120)+'Expenditures 15-22'!K180-SUM('Expenditures 15-22'!G180,'Expenditures 15-22'!I180)+'Expenditures 15-22'!D238</f>
        <v>4017</v>
      </c>
      <c r="H21" s="987"/>
      <c r="I21" s="162"/>
    </row>
    <row r="22" spans="1:9" s="668" customFormat="1" ht="12" customHeight="1" x14ac:dyDescent="0.2">
      <c r="A22" s="994" t="s">
        <v>564</v>
      </c>
      <c r="B22" s="995"/>
      <c r="C22" s="993">
        <v>2200</v>
      </c>
      <c r="D22" s="1802"/>
      <c r="E22" s="1804">
        <f>'Expenditures 15-22'!K47-SUM('Expenditures 15-22'!G47,'Expenditures 15-22'!I47)+'Expenditures 15-22'!D243</f>
        <v>71713</v>
      </c>
      <c r="F22" s="1802"/>
      <c r="G22" s="1805">
        <f>'Expenditures 15-22'!K47-SUM('Expenditures 15-22'!G47,'Expenditures 15-22'!I47)+'Expenditures 15-22'!D243</f>
        <v>71713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102846</v>
      </c>
      <c r="F23" s="1802"/>
      <c r="G23" s="1804">
        <f>'Expenditures 15-22'!K53-SUM('Expenditures 15-22'!G53,'Expenditures 15-22'!I53)+'Expenditures 15-22'!D257+'Expenditures 15-22'!K330-SUM('Expenditures 15-22'!G330,'Expenditures 15-22'!I330)</f>
        <v>102846</v>
      </c>
      <c r="H23" s="987"/>
      <c r="I23" s="162"/>
    </row>
    <row r="24" spans="1:9" s="668" customFormat="1" ht="12" customHeight="1" x14ac:dyDescent="0.2">
      <c r="A24" s="994" t="s">
        <v>566</v>
      </c>
      <c r="B24" s="995"/>
      <c r="C24" s="993">
        <v>2400</v>
      </c>
      <c r="D24" s="1802"/>
      <c r="E24" s="1804">
        <f>'Expenditures 15-22'!K57-SUM('Expenditures 15-22'!G57,'Expenditures 15-22'!I57)+'Expenditures 15-22'!D261</f>
        <v>138313</v>
      </c>
      <c r="F24" s="1802"/>
      <c r="G24" s="1805">
        <f>'Expenditures 15-22'!K57-SUM('Expenditures 15-22'!G57,'Expenditures 15-22'!I57)+'Expenditures 15-22'!D261</f>
        <v>138313</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51728</v>
      </c>
      <c r="E26" s="1804">
        <f>'Expenditures 15-22'!K122-SUM('Expenditures 15-22'!G122,'Expenditures 15-22'!I122)+E7</f>
        <v>0</v>
      </c>
      <c r="F26" s="1804">
        <f>'Expenditures 15-22'!K59-SUM('Expenditures 15-22'!G59,'Expenditures 15-22'!I59)+'Expenditures 15-22'!D263-E7</f>
        <v>51728</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21306</v>
      </c>
      <c r="E27" s="1804">
        <f>E8</f>
        <v>0</v>
      </c>
      <c r="F27" s="1804">
        <f>'Expenditures 15-22'!K60-SUM('Expenditures 15-22'!G60,'Expenditures 15-22'!I60)+'Expenditures 15-22'!D264-E8</f>
        <v>21306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149212</v>
      </c>
      <c r="F28" s="1806">
        <f>'Expenditures 15-22'!K61-SUM('Expenditures 15-22'!G61,'Expenditures 15-22'!I61)+'Expenditures 15-22'!K124-SUM('Expenditures 15-22'!G124,'Expenditures 15-22'!I124)+'Expenditures 15-22'!D266-E9</f>
        <v>149212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105124</v>
      </c>
      <c r="F29" s="1802"/>
      <c r="G29" s="1805">
        <f>'Expenditures 15-22'!K62-SUM('Expenditures 15-22'!G62,'Expenditures 15-22'!I62)+'Expenditures 15-22'!K125-SUM('Expenditures 15-22'!G125,'Expenditures 15-22'!I125)+'Expenditures 15-22'!K182-SUM('Expenditures 15-22'!G182,'Expenditures 15-22'!I182)+'Expenditures 15-22'!D267</f>
        <v>105124</v>
      </c>
      <c r="H29" s="985"/>
    </row>
    <row r="30" spans="1:9" ht="12" customHeight="1" x14ac:dyDescent="0.2">
      <c r="A30" s="994" t="s">
        <v>100</v>
      </c>
      <c r="B30" s="997"/>
      <c r="C30" s="993">
        <v>2560</v>
      </c>
      <c r="D30" s="1802"/>
      <c r="E30" s="1804">
        <f>'Expenditures 15-22'!K63-SUM('Expenditures 15-22'!G63,'Expenditures 15-22'!I63)+'Expenditures 15-22'!D268-E10</f>
        <v>25475</v>
      </c>
      <c r="F30" s="1802"/>
      <c r="G30" s="1804">
        <f>'Expenditures 15-22'!K63-SUM('Expenditures 15-22'!G63,'Expenditures 15-22'!I63)+'Expenditures 15-22'!D268-E10</f>
        <v>25475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109</v>
      </c>
      <c r="F38" s="1802"/>
      <c r="G38" s="1804">
        <f>'Expenditures 15-22'!K73-SUM('Expenditures 15-22'!G73,'Expenditures 15-22'!I73)+'Expenditures 15-22'!K128-SUM('Expenditures 15-22'!G128,'Expenditures 15-22'!I128)+'Expenditures 15-22'!K183-SUM('Expenditures 15-22'!G183,'Expenditures 15-22'!I183)+'Expenditures 15-22'!D278</f>
        <v>109</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539</v>
      </c>
      <c r="F39" s="1802"/>
      <c r="G39" s="1804">
        <f>'Expenditures 15-22'!K75-SUM('Expenditures 15-22'!G75,'Expenditures 15-22'!I75)+'Expenditures 15-22'!K130-SUM('Expenditures 15-22'!G130,'Expenditures 15-22'!I130)+'Expenditures 15-22'!K185-SUM('Expenditures 15-22'!G185,'Expenditures 15-22'!I185)+'Expenditures 15-22'!D280</f>
        <v>539</v>
      </c>
    </row>
    <row r="40" spans="1:7" ht="12" customHeight="1" x14ac:dyDescent="0.2">
      <c r="A40" s="990" t="s">
        <v>1823</v>
      </c>
      <c r="B40" s="991"/>
      <c r="C40" s="993"/>
      <c r="D40" s="1802"/>
      <c r="E40" s="1806">
        <f>-'Contracts Paid in CY 29'!G141</f>
        <v>-95502</v>
      </c>
      <c r="F40" s="1802"/>
      <c r="G40" s="1806">
        <f>-'Contracts Paid in CY 29'!G141</f>
        <v>-95502</v>
      </c>
    </row>
    <row r="41" spans="1:7" ht="12" customHeight="1" x14ac:dyDescent="0.2">
      <c r="A41" s="998" t="s">
        <v>156</v>
      </c>
      <c r="B41" s="999"/>
      <c r="C41" s="1000"/>
      <c r="D41" s="1806">
        <f>SUM(D19:D39)</f>
        <v>73034</v>
      </c>
      <c r="E41" s="1806">
        <f>SUM(E19:E40)</f>
        <v>1279292</v>
      </c>
      <c r="F41" s="1806">
        <f>SUM(F19:F39)</f>
        <v>222246</v>
      </c>
      <c r="G41" s="1806">
        <f>SUM(G19:G40)</f>
        <v>1130080</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73034</v>
      </c>
      <c r="F43" s="1807" t="s">
        <v>473</v>
      </c>
      <c r="G43" s="1808">
        <f>F41</f>
        <v>222246</v>
      </c>
    </row>
    <row r="44" spans="1:7" ht="12" customHeight="1" x14ac:dyDescent="0.2">
      <c r="A44" s="987"/>
      <c r="B44" s="162"/>
      <c r="C44" s="1001"/>
      <c r="D44" s="1807" t="s">
        <v>474</v>
      </c>
      <c r="E44" s="1808">
        <f>E41</f>
        <v>1279292</v>
      </c>
      <c r="F44" s="1807" t="s">
        <v>474</v>
      </c>
      <c r="G44" s="1808">
        <f>G41</f>
        <v>1130080</v>
      </c>
    </row>
    <row r="45" spans="1:7" ht="12" customHeight="1" x14ac:dyDescent="0.2">
      <c r="A45" s="987"/>
      <c r="B45" s="162"/>
      <c r="C45" s="162"/>
      <c r="D45" s="1809" t="s">
        <v>1006</v>
      </c>
      <c r="E45" s="1810">
        <f>(E43/E44)</f>
        <v>5.7089390068881848E-2</v>
      </c>
      <c r="F45" s="1809" t="s">
        <v>1006</v>
      </c>
      <c r="G45" s="1810">
        <f>(G43/G44)</f>
        <v>0.19666395299447828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L97"/>
  <sheetViews>
    <sheetView showGridLines="0" zoomScale="110" zoomScaleNormal="110" workbookViewId="0">
      <pane ySplit="4" topLeftCell="A5" activePane="bottomLeft" state="frozen"/>
      <selection activeCell="V43" sqref="V43"/>
      <selection pane="bottomLeft" activeCell="V43" sqref="V4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6" t="s">
        <v>1379</v>
      </c>
      <c r="B1" s="2306"/>
      <c r="C1" s="2306"/>
      <c r="D1" s="2306"/>
      <c r="E1" s="2306"/>
      <c r="F1" s="2306"/>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7" t="s">
        <v>1546</v>
      </c>
      <c r="B5" s="2308"/>
      <c r="C5" s="2309"/>
      <c r="D5" s="2309"/>
      <c r="E5" s="2309"/>
      <c r="F5" s="2309"/>
    </row>
    <row r="6" spans="1:10" ht="12" customHeight="1" x14ac:dyDescent="0.25">
      <c r="A6" s="1850"/>
      <c r="B6" s="1851"/>
      <c r="C6" s="2310" t="str">
        <f>COVER!A17</f>
        <v>SHIRLAND CCSD 134</v>
      </c>
      <c r="D6" s="2310"/>
      <c r="E6" s="2310"/>
      <c r="F6" s="1852"/>
    </row>
    <row r="7" spans="1:10" ht="11.25" customHeight="1" thickBot="1" x14ac:dyDescent="0.3">
      <c r="A7" s="1850"/>
      <c r="B7" s="1851"/>
      <c r="C7" s="2311">
        <f>COVER!A13</f>
        <v>4101134004</v>
      </c>
      <c r="D7" s="2311"/>
      <c r="E7" s="2311"/>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2075</v>
      </c>
      <c r="D16" s="1865" t="s">
        <v>2075</v>
      </c>
      <c r="E16" s="1868" t="s">
        <v>2075</v>
      </c>
      <c r="F16" s="1867" t="s">
        <v>2088</v>
      </c>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2075</v>
      </c>
      <c r="D19" s="1865" t="s">
        <v>2075</v>
      </c>
      <c r="E19" s="1868" t="s">
        <v>2075</v>
      </c>
      <c r="F19" s="1867" t="s">
        <v>2089</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2075</v>
      </c>
      <c r="D26" s="1865" t="s">
        <v>2075</v>
      </c>
      <c r="E26" s="1868" t="s">
        <v>2075</v>
      </c>
      <c r="F26" s="1867" t="s">
        <v>2090</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15</v>
      </c>
      <c r="K34" s="1878">
        <f>SUM(H34:J34)</f>
        <v>45</v>
      </c>
    </row>
    <row r="35" spans="1:11" ht="12" customHeight="1" x14ac:dyDescent="0.2">
      <c r="A35" s="1871" t="s">
        <v>1392</v>
      </c>
      <c r="B35" s="1872"/>
      <c r="C35" s="2312"/>
      <c r="D35" s="2312"/>
      <c r="E35" s="2312"/>
      <c r="F35" s="2313"/>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298"/>
      <c r="B38" s="2299"/>
      <c r="C38" s="2299"/>
      <c r="D38" s="2299"/>
      <c r="E38" s="2299"/>
      <c r="F38" s="2300"/>
    </row>
    <row r="39" spans="1:11" ht="4.5" hidden="1" customHeight="1" x14ac:dyDescent="0.2">
      <c r="A39" s="1873"/>
      <c r="B39" s="1873"/>
      <c r="C39" s="1873"/>
      <c r="D39" s="1873"/>
      <c r="E39" s="1873"/>
      <c r="F39" s="1873"/>
    </row>
    <row r="40" spans="1:11" s="1870" customFormat="1" ht="12" customHeight="1" x14ac:dyDescent="0.25">
      <c r="A40" s="1874" t="s">
        <v>1391</v>
      </c>
      <c r="B40" s="1875"/>
      <c r="C40" s="2301"/>
      <c r="D40" s="2301"/>
      <c r="E40" s="2301"/>
      <c r="F40" s="2302"/>
      <c r="H40" s="1879"/>
      <c r="I40" s="1879"/>
      <c r="J40" s="1879"/>
      <c r="K40" s="1879"/>
    </row>
    <row r="41" spans="1:11" s="1870" customFormat="1" ht="12" customHeight="1" x14ac:dyDescent="0.25">
      <c r="A41" s="2303" t="s">
        <v>2076</v>
      </c>
      <c r="B41" s="2304"/>
      <c r="C41" s="2304"/>
      <c r="D41" s="2304"/>
      <c r="E41" s="2304"/>
      <c r="F41" s="2305"/>
      <c r="H41" s="1879"/>
      <c r="I41" s="1879"/>
      <c r="J41" s="1879"/>
      <c r="K41" s="1879"/>
    </row>
    <row r="42" spans="1:11" s="1870" customFormat="1" ht="12" customHeight="1" x14ac:dyDescent="0.25">
      <c r="A42" s="2303" t="s">
        <v>2077</v>
      </c>
      <c r="B42" s="2304"/>
      <c r="C42" s="2304"/>
      <c r="D42" s="2304"/>
      <c r="E42" s="2304"/>
      <c r="F42" s="2305"/>
      <c r="H42" s="1879"/>
      <c r="I42" s="1879"/>
      <c r="J42" s="1879"/>
      <c r="K42" s="1879"/>
    </row>
    <row r="43" spans="1:11" s="1870" customFormat="1" ht="15" x14ac:dyDescent="0.25">
      <c r="A43" s="2292" t="s">
        <v>2091</v>
      </c>
      <c r="B43" s="2293"/>
      <c r="C43" s="2293"/>
      <c r="D43" s="2293"/>
      <c r="E43" s="2293"/>
      <c r="F43" s="2294"/>
      <c r="H43" s="1879"/>
      <c r="I43" s="1879"/>
      <c r="J43" s="1879"/>
      <c r="K43" s="1879"/>
    </row>
    <row r="44" spans="1:11" s="1870" customFormat="1" ht="12" hidden="1" customHeight="1" x14ac:dyDescent="0.25">
      <c r="A44" s="2292"/>
      <c r="B44" s="2293"/>
      <c r="C44" s="2293"/>
      <c r="D44" s="2293"/>
      <c r="E44" s="2293"/>
      <c r="F44" s="229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8" tint="0.59999389629810485"/>
  </sheetPr>
  <dimension ref="A1:Q40"/>
  <sheetViews>
    <sheetView showGridLines="0" defaultGridColor="0" colorId="8" zoomScale="110" zoomScaleNormal="110" workbookViewId="0">
      <selection activeCell="V43" sqref="V4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9" t="str">
        <f>COVER!A17</f>
        <v>SHIRLAND CCSD 134</v>
      </c>
      <c r="J6" s="2320"/>
      <c r="Q6" s="1664"/>
    </row>
    <row r="7" spans="1:17" x14ac:dyDescent="0.2">
      <c r="A7" s="2321" t="s">
        <v>869</v>
      </c>
      <c r="B7" s="2322"/>
      <c r="C7" s="2322"/>
      <c r="D7" s="2322"/>
      <c r="E7" s="2323"/>
      <c r="F7" s="1017"/>
      <c r="G7" s="1009"/>
      <c r="H7" s="1016" t="s">
        <v>372</v>
      </c>
      <c r="I7" s="2324">
        <f>COVER!A13</f>
        <v>4101134004</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52081</v>
      </c>
      <c r="F12" s="1039"/>
      <c r="G12" s="1811">
        <f t="shared" ref="G12:G18" si="0">SUM(E12:F12)</f>
        <v>52081</v>
      </c>
      <c r="H12" s="1040">
        <v>54111</v>
      </c>
      <c r="I12" s="1039"/>
      <c r="J12" s="1811">
        <f t="shared" ref="J12:J18" si="1">SUM(H12:I12)</f>
        <v>54111</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45858</v>
      </c>
      <c r="F15" s="1811">
        <f>'Expenditures 15-22'!K122</f>
        <v>0</v>
      </c>
      <c r="G15" s="1811">
        <f t="shared" si="0"/>
        <v>45858</v>
      </c>
      <c r="H15" s="1040">
        <v>44170</v>
      </c>
      <c r="I15" s="1040"/>
      <c r="J15" s="1811">
        <f t="shared" si="1"/>
        <v>44170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97939</v>
      </c>
      <c r="F19" s="1813">
        <f t="shared" si="2"/>
        <v>0</v>
      </c>
      <c r="G19" s="1813">
        <f t="shared" si="2"/>
        <v>97939</v>
      </c>
      <c r="H19" s="1813">
        <f t="shared" si="2"/>
        <v>98281</v>
      </c>
      <c r="I19" s="1813">
        <f t="shared" si="2"/>
        <v>0</v>
      </c>
      <c r="J19" s="1813">
        <f t="shared" si="2"/>
        <v>98281</v>
      </c>
    </row>
    <row r="20" spans="1:10" ht="13.5" thickTop="1" x14ac:dyDescent="0.2">
      <c r="A20" s="1035">
        <v>9</v>
      </c>
      <c r="B20" s="2331" t="s">
        <v>1981</v>
      </c>
      <c r="C20" s="2331"/>
      <c r="D20" s="2332"/>
      <c r="E20" s="1046"/>
      <c r="F20" s="1046"/>
      <c r="G20" s="1046"/>
      <c r="H20" s="1046"/>
      <c r="I20" s="1046"/>
      <c r="J20" s="1814">
        <f>IF(AND(G19&gt;0,J19&gt;0),(((J19-G19)/G19)),"Enter Budget Data")</f>
        <v>3.4919694912139191E-3</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1983</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59999389629810485"/>
  </sheetPr>
  <dimension ref="A2:G64"/>
  <sheetViews>
    <sheetView showGridLines="0" topLeftCell="A49" zoomScale="110" zoomScaleNormal="110" workbookViewId="0">
      <selection activeCell="F56" sqref="F56"/>
    </sheetView>
  </sheetViews>
  <sheetFormatPr defaultRowHeight="12.75" x14ac:dyDescent="0.2"/>
  <cols>
    <col min="1" max="1" width="3" style="329" customWidth="1"/>
    <col min="2" max="2" width="11.140625" style="329" customWidth="1"/>
    <col min="3" max="3" width="7.7109375" style="329" customWidth="1"/>
    <col min="4" max="5" width="9.140625" style="329"/>
    <col min="6" max="6" width="21.7109375" style="329" customWidth="1"/>
    <col min="7" max="7" width="11" style="329" bestFit="1" customWidth="1"/>
    <col min="8" max="16384" width="9.140625" style="329"/>
  </cols>
  <sheetData>
    <row r="2" spans="1:7" x14ac:dyDescent="0.2">
      <c r="A2" s="389" t="s">
        <v>258</v>
      </c>
    </row>
    <row r="3" spans="1:7" x14ac:dyDescent="0.2">
      <c r="A3" s="329" t="s">
        <v>259</v>
      </c>
    </row>
    <row r="5" spans="1:7" x14ac:dyDescent="0.2">
      <c r="A5" s="1068"/>
      <c r="B5" s="1940" t="s">
        <v>2081</v>
      </c>
      <c r="C5" s="1940" t="s">
        <v>2082</v>
      </c>
      <c r="D5" s="1940" t="s">
        <v>2083</v>
      </c>
      <c r="E5" s="1940" t="s">
        <v>2084</v>
      </c>
      <c r="F5" s="1940" t="s">
        <v>2085</v>
      </c>
      <c r="G5" s="1940" t="s">
        <v>2086</v>
      </c>
    </row>
    <row r="6" spans="1:7" x14ac:dyDescent="0.2">
      <c r="A6" s="1068"/>
      <c r="B6" s="1940"/>
      <c r="C6" s="1940"/>
      <c r="D6" s="1940"/>
      <c r="E6" s="1940"/>
      <c r="F6" s="1940"/>
      <c r="G6" s="1940"/>
    </row>
    <row r="7" spans="1:7" ht="13.5" thickBot="1" x14ac:dyDescent="0.25">
      <c r="A7" s="1068"/>
      <c r="B7" s="391">
        <v>1999</v>
      </c>
      <c r="C7" s="391">
        <v>10</v>
      </c>
      <c r="D7" s="391">
        <v>10</v>
      </c>
      <c r="E7" s="391">
        <v>107</v>
      </c>
      <c r="F7" s="329" t="s">
        <v>2087</v>
      </c>
      <c r="G7" s="1939">
        <v>794</v>
      </c>
    </row>
    <row r="8" spans="1:7" ht="13.5" thickTop="1" x14ac:dyDescent="0.2">
      <c r="A8" s="1068"/>
      <c r="B8" s="391"/>
      <c r="C8" s="391"/>
      <c r="D8" s="391"/>
      <c r="E8" s="391"/>
    </row>
    <row r="9" spans="1:7" ht="13.5" thickBot="1" x14ac:dyDescent="0.25">
      <c r="A9" s="1068"/>
      <c r="B9" s="391">
        <v>4090</v>
      </c>
      <c r="C9" s="391">
        <v>12</v>
      </c>
      <c r="D9" s="391">
        <v>10</v>
      </c>
      <c r="E9" s="391">
        <v>180</v>
      </c>
      <c r="F9" s="329" t="s">
        <v>2096</v>
      </c>
      <c r="G9" s="1939">
        <v>14112</v>
      </c>
    </row>
    <row r="10" spans="1:7" ht="13.5" thickTop="1" x14ac:dyDescent="0.2">
      <c r="A10" s="1069"/>
      <c r="B10" s="391"/>
      <c r="C10" s="391"/>
      <c r="D10" s="391"/>
      <c r="E10" s="391"/>
    </row>
    <row r="11" spans="1:7" ht="13.5" thickBot="1" x14ac:dyDescent="0.25">
      <c r="A11" s="1069"/>
      <c r="B11" s="391">
        <v>2900</v>
      </c>
      <c r="C11" s="391">
        <v>16</v>
      </c>
      <c r="D11" s="391">
        <v>10</v>
      </c>
      <c r="E11" s="391">
        <v>73</v>
      </c>
      <c r="F11" s="329" t="s">
        <v>2095</v>
      </c>
      <c r="G11" s="1939">
        <v>109</v>
      </c>
    </row>
    <row r="12" spans="1:7" ht="13.5" thickTop="1" x14ac:dyDescent="0.2">
      <c r="A12" s="1069"/>
    </row>
    <row r="13" spans="1:7" x14ac:dyDescent="0.2">
      <c r="A13" s="1069"/>
    </row>
    <row r="14" spans="1:7" x14ac:dyDescent="0.2">
      <c r="A14" s="1069"/>
    </row>
    <row r="15" spans="1:7" x14ac:dyDescent="0.2">
      <c r="A15" s="1069"/>
    </row>
    <row r="16" spans="1:7"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SHIRLAND CCSD 134</v>
      </c>
    </row>
    <row r="64" spans="1:2" x14ac:dyDescent="0.2">
      <c r="B64" s="1070">
        <f>COVER!A13</f>
        <v>4101134004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0" zoomScale="110" zoomScaleNormal="110" workbookViewId="0">
      <selection activeCell="V43" sqref="V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V43" sqref="V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Exch.Document.7"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V43" sqref="V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1987</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1988</v>
      </c>
      <c r="B4" s="2359"/>
      <c r="C4" s="2359"/>
      <c r="D4" s="2359"/>
      <c r="E4" s="2359"/>
      <c r="F4" s="2360"/>
      <c r="G4" s="1074"/>
      <c r="H4" s="1074"/>
    </row>
    <row r="5" spans="1:8" ht="14.25" customHeight="1" x14ac:dyDescent="0.2">
      <c r="A5" s="2361" t="s">
        <v>1984</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954193</v>
      </c>
      <c r="C8" s="1815">
        <f>'Acct Summary 7-8'!D8</f>
        <v>114599</v>
      </c>
      <c r="D8" s="1815">
        <f>'Acct Summary 7-8'!F8</f>
        <v>64872</v>
      </c>
      <c r="E8" s="1815">
        <f>'Acct Summary 7-8'!I8</f>
        <v>79</v>
      </c>
      <c r="F8" s="1815">
        <f>SUM(B8:E8)</f>
        <v>1133743</v>
      </c>
    </row>
    <row r="9" spans="1:8" s="1079" customFormat="1" ht="14.25" customHeight="1" thickBot="1" x14ac:dyDescent="0.25">
      <c r="A9" s="1078" t="s">
        <v>1369</v>
      </c>
      <c r="B9" s="1816">
        <f>'Acct Summary 7-8'!C17</f>
        <v>1241374</v>
      </c>
      <c r="C9" s="1816">
        <f>'Acct Summary 7-8'!D17</f>
        <v>146133</v>
      </c>
      <c r="D9" s="1816">
        <f>'Acct Summary 7-8'!F17</f>
        <v>108963</v>
      </c>
      <c r="E9" s="1815"/>
      <c r="F9" s="1815">
        <f>SUM(B9:E9)</f>
        <v>1496470</v>
      </c>
    </row>
    <row r="10" spans="1:8" s="1079" customFormat="1" ht="14.25" thickTop="1" thickBot="1" x14ac:dyDescent="0.25">
      <c r="A10" s="1080" t="s">
        <v>1370</v>
      </c>
      <c r="B10" s="1817">
        <f>(B8-B9)</f>
        <v>-287181</v>
      </c>
      <c r="C10" s="1817">
        <f>(C8-C9)</f>
        <v>-31534</v>
      </c>
      <c r="D10" s="1817">
        <f>(D8-D9)</f>
        <v>-44091</v>
      </c>
      <c r="E10" s="1816">
        <f>(E8-E9)</f>
        <v>79</v>
      </c>
      <c r="F10" s="1818">
        <f>SUM(F8-F9)</f>
        <v>-362727</v>
      </c>
    </row>
    <row r="11" spans="1:8" s="1079" customFormat="1" ht="14.25" thickTop="1" thickBot="1" x14ac:dyDescent="0.25">
      <c r="A11" s="1081" t="s">
        <v>1985</v>
      </c>
      <c r="B11" s="1819">
        <f>'Acct Summary 7-8'!C81</f>
        <v>672059</v>
      </c>
      <c r="C11" s="1819">
        <f>'Acct Summary 7-8'!D81</f>
        <v>309015</v>
      </c>
      <c r="D11" s="1819">
        <f>'Acct Summary 7-8'!F81</f>
        <v>141963</v>
      </c>
      <c r="E11" s="1819">
        <f>'Acct Summary 7-8'!I81</f>
        <v>4230</v>
      </c>
      <c r="F11" s="1820">
        <f>SUM(B11:E11)</f>
        <v>1127267</v>
      </c>
    </row>
    <row r="12" spans="1:8" ht="16.5" customHeight="1" thickTop="1" x14ac:dyDescent="0.2">
      <c r="A12" s="1082"/>
      <c r="B12" s="1083"/>
      <c r="C12" s="2343" t="str">
        <f>IF(AND(F10&lt;0,F11&gt;=0,ABS(F10*3)&gt;ABS(F11)),A16,IF(AND(F10&lt;0,F11&gt;0,ABS(F10*3)&lt;=ABS(F11)),A17,IF(AND(F10&lt;0,F11&lt;0),A16,IF(F11=0,A19,A18))))</f>
        <v>Unbalanced -  however, a deficit reduction plan is not required at this time.</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7" colorId="8" zoomScale="110" zoomScaleNormal="110" workbookViewId="0">
      <selection activeCell="V43" sqref="V4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4101134004</v>
      </c>
    </row>
    <row r="3" spans="1:2" x14ac:dyDescent="0.2">
      <c r="A3" t="s">
        <v>956</v>
      </c>
      <c r="B3" s="138" t="str">
        <f>COVER!A15</f>
        <v>WINNEBAGO</v>
      </c>
    </row>
    <row r="4" spans="1:2" x14ac:dyDescent="0.2">
      <c r="A4" t="s">
        <v>1007</v>
      </c>
      <c r="B4" s="138" t="str">
        <f>COVER!A17</f>
        <v>SHIRLAND CCSD 134</v>
      </c>
    </row>
    <row r="5" spans="1:2" x14ac:dyDescent="0.2">
      <c r="A5" t="s">
        <v>704</v>
      </c>
      <c r="B5" s="138" t="str">
        <f>COVER!A38</f>
        <v>DR. JOHN ULFERTS</v>
      </c>
    </row>
    <row r="6" spans="1:2" x14ac:dyDescent="0.2">
      <c r="A6" t="s">
        <v>709</v>
      </c>
      <c r="B6" s="138">
        <f>COVER!P35</f>
        <v>0</v>
      </c>
    </row>
    <row r="7" spans="1:2" x14ac:dyDescent="0.2">
      <c r="A7" t="s">
        <v>705</v>
      </c>
      <c r="B7" s="138">
        <f>COVER!I38</f>
        <v>0</v>
      </c>
    </row>
    <row r="8" spans="1:2" x14ac:dyDescent="0.2">
      <c r="A8" t="s">
        <v>706</v>
      </c>
      <c r="B8" s="138" t="str">
        <f>COVER!T38</f>
        <v>SCOTT BLOOMQUIST</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35612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672059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672059</v>
      </c>
      <c r="D92" s="2" t="str">
        <f t="shared" si="0"/>
        <v>Error?</v>
      </c>
    </row>
    <row r="93" spans="1:4" x14ac:dyDescent="0.2">
      <c r="A93" s="5">
        <v>32</v>
      </c>
      <c r="B93" s="138">
        <f>'Assets-Liab 5-6'!C41</f>
        <v>672059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309015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309015</v>
      </c>
      <c r="D123" s="2" t="str">
        <f t="shared" si="0"/>
        <v>Error?</v>
      </c>
    </row>
    <row r="124" spans="1:4" x14ac:dyDescent="0.2">
      <c r="A124" s="5">
        <v>63</v>
      </c>
      <c r="B124" s="138">
        <f>'Assets-Liab 5-6'!D41</f>
        <v>309015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141963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141963</v>
      </c>
      <c r="D170" s="2" t="str">
        <f t="shared" si="1"/>
        <v>Error?</v>
      </c>
    </row>
    <row r="171" spans="1:4" x14ac:dyDescent="0.2">
      <c r="A171" s="5">
        <v>110</v>
      </c>
      <c r="B171" s="138">
        <f>'Assets-Liab 5-6'!F41</f>
        <v>141963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36160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29678</v>
      </c>
      <c r="D189" s="2" t="str">
        <f t="shared" si="1"/>
        <v>Error?</v>
      </c>
    </row>
    <row r="190" spans="1:4" x14ac:dyDescent="0.2">
      <c r="A190" s="5">
        <v>129</v>
      </c>
      <c r="B190" s="138">
        <f>'Assets-Liab 5-6'!G41</f>
        <v>36160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19481</v>
      </c>
      <c r="D273" s="2" t="str">
        <f t="shared" si="3"/>
        <v>Error?</v>
      </c>
    </row>
    <row r="274" spans="1:4" x14ac:dyDescent="0.2">
      <c r="A274" s="5">
        <v>213</v>
      </c>
      <c r="B274" s="138">
        <f>'Assets-Liab 5-6'!M17</f>
        <v>1054053</v>
      </c>
      <c r="D274" s="2" t="str">
        <f t="shared" si="3"/>
        <v>Error?</v>
      </c>
    </row>
    <row r="275" spans="1:4" x14ac:dyDescent="0.2">
      <c r="A275" s="5">
        <v>214</v>
      </c>
      <c r="B275" s="138">
        <f>'Assets-Liab 5-6'!M18</f>
        <v>12044</v>
      </c>
      <c r="D275" s="2" t="str">
        <f t="shared" si="3"/>
        <v>Error?</v>
      </c>
    </row>
    <row r="276" spans="1:4" x14ac:dyDescent="0.2">
      <c r="A276" s="5">
        <v>215</v>
      </c>
      <c r="B276" s="138">
        <f>'Assets-Liab 5-6'!M19</f>
        <v>561608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1647186</v>
      </c>
      <c r="C279" s="2" t="s">
        <v>573</v>
      </c>
      <c r="D279" s="2" t="str">
        <f t="shared" si="3"/>
        <v>Error?</v>
      </c>
    </row>
    <row r="280" spans="1:4" x14ac:dyDescent="0.2">
      <c r="A280" s="5">
        <v>219</v>
      </c>
      <c r="B280" s="138">
        <f>'Assets-Liab 5-6'!M40</f>
        <v>1647186</v>
      </c>
      <c r="D280" s="2" t="str">
        <f t="shared" si="3"/>
        <v>Error?</v>
      </c>
    </row>
    <row r="281" spans="1:4" x14ac:dyDescent="0.2">
      <c r="A281" s="5">
        <v>220</v>
      </c>
      <c r="B281" s="138">
        <f>'Assets-Liab 5-6'!M41</f>
        <v>1647186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468669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5375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585986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3199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3199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8735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8735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46085</v>
      </c>
      <c r="D733" s="2" t="str">
        <f t="shared" si="10"/>
        <v>Error?</v>
      </c>
    </row>
    <row r="734" spans="1:4" x14ac:dyDescent="0.2">
      <c r="A734" s="5">
        <v>673</v>
      </c>
      <c r="B734" s="138">
        <f>'Expenditures 15-22'!C53</f>
        <v>46085</v>
      </c>
      <c r="C734" s="2" t="s">
        <v>573</v>
      </c>
      <c r="D734" s="2" t="str">
        <f t="shared" si="10"/>
        <v>Error?</v>
      </c>
    </row>
    <row r="735" spans="1:4" x14ac:dyDescent="0.2">
      <c r="A735" s="5">
        <v>674</v>
      </c>
      <c r="B735" s="138">
        <f>'Expenditures 15-22'!C55</f>
        <v>110701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110701</v>
      </c>
      <c r="C737" s="2" t="s">
        <v>573</v>
      </c>
      <c r="D737" s="2" t="str">
        <f t="shared" si="10"/>
        <v>Error?</v>
      </c>
    </row>
    <row r="738" spans="1:4" x14ac:dyDescent="0.2">
      <c r="A738" s="5">
        <v>677</v>
      </c>
      <c r="B738" s="138">
        <f>'Expenditures 15-22'!C59</f>
        <v>37747</v>
      </c>
      <c r="D738" s="2" t="str">
        <f t="shared" si="10"/>
        <v>Error?</v>
      </c>
    </row>
    <row r="739" spans="1:4" x14ac:dyDescent="0.2">
      <c r="A739" s="5">
        <v>678</v>
      </c>
      <c r="B739" s="138">
        <f>'Expenditures 15-22'!C60</f>
        <v>17748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18730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74225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242945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828931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141521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162429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3660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3660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5946</v>
      </c>
      <c r="D791" s="2" t="str">
        <f t="shared" si="11"/>
        <v>Error?</v>
      </c>
    </row>
    <row r="792" spans="1:4" x14ac:dyDescent="0.2">
      <c r="A792" s="5">
        <v>731</v>
      </c>
      <c r="B792" s="138">
        <f>'Expenditures 15-22'!D53</f>
        <v>5946</v>
      </c>
      <c r="C792" s="2" t="s">
        <v>573</v>
      </c>
      <c r="D792" s="2" t="str">
        <f t="shared" si="11"/>
        <v>Error?</v>
      </c>
    </row>
    <row r="793" spans="1:4" x14ac:dyDescent="0.2">
      <c r="A793" s="5">
        <v>732</v>
      </c>
      <c r="B793" s="138">
        <f>'Expenditures 15-22'!D55</f>
        <v>19787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19787</v>
      </c>
      <c r="C795" s="2" t="s">
        <v>573</v>
      </c>
      <c r="D795" s="2" t="str">
        <f t="shared" si="11"/>
        <v>Error?</v>
      </c>
    </row>
    <row r="796" spans="1:4" x14ac:dyDescent="0.2">
      <c r="A796" s="5">
        <v>735</v>
      </c>
      <c r="B796" s="138">
        <f>'Expenditures 15-22'!D59</f>
        <v>7965</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7965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37358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199787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3706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3706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285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285</v>
      </c>
      <c r="C843" s="2" t="s">
        <v>573</v>
      </c>
      <c r="D843" s="2" t="str">
        <f t="shared" si="12"/>
        <v>Error?</v>
      </c>
    </row>
    <row r="844" spans="1:4" x14ac:dyDescent="0.2">
      <c r="A844" s="5">
        <v>783</v>
      </c>
      <c r="B844" s="138">
        <f>'Expenditures 15-22'!E44</f>
        <v>5626</v>
      </c>
      <c r="D844" s="2" t="str">
        <f t="shared" si="12"/>
        <v>Error?</v>
      </c>
    </row>
    <row r="845" spans="1:4" x14ac:dyDescent="0.2">
      <c r="A845" s="5">
        <v>784</v>
      </c>
      <c r="B845" s="138">
        <f>'Expenditures 15-22'!E45</f>
        <v>11021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16647</v>
      </c>
      <c r="C847" s="2" t="s">
        <v>573</v>
      </c>
      <c r="D847" s="2" t="str">
        <f t="shared" si="12"/>
        <v>Error?</v>
      </c>
    </row>
    <row r="848" spans="1:4" x14ac:dyDescent="0.2">
      <c r="A848" s="5">
        <v>787</v>
      </c>
      <c r="B848" s="138">
        <f>'Expenditures 15-22'!E49</f>
        <v>17074</v>
      </c>
      <c r="D848" s="2" t="str">
        <f t="shared" si="12"/>
        <v>Error?</v>
      </c>
    </row>
    <row r="849" spans="1:4" x14ac:dyDescent="0.2">
      <c r="A849" s="5">
        <v>788</v>
      </c>
      <c r="B849" s="138">
        <f>'Expenditures 15-22'!E50</f>
        <v>50</v>
      </c>
      <c r="D849" s="2" t="str">
        <f t="shared" si="12"/>
        <v>Error?</v>
      </c>
    </row>
    <row r="850" spans="1:4" x14ac:dyDescent="0.2">
      <c r="A850" s="5">
        <v>789</v>
      </c>
      <c r="B850" s="138">
        <f>'Expenditures 15-22'!E53</f>
        <v>18965</v>
      </c>
      <c r="C850" s="2" t="s">
        <v>573</v>
      </c>
      <c r="D850" s="2" t="str">
        <f t="shared" si="12"/>
        <v>Error?</v>
      </c>
    </row>
    <row r="851" spans="1:4" x14ac:dyDescent="0.2">
      <c r="A851" s="5">
        <v>790</v>
      </c>
      <c r="B851" s="138">
        <f>'Expenditures 15-22'!E55</f>
        <v>1793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1793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570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1354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1924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39614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136264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10754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10806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4706</v>
      </c>
      <c r="D903" s="2" t="str">
        <f t="shared" si="13"/>
        <v>Error?</v>
      </c>
    </row>
    <row r="904" spans="1:4" x14ac:dyDescent="0.2">
      <c r="A904" s="5">
        <v>843</v>
      </c>
      <c r="B904" s="138">
        <f>'Expenditures 15-22'!F46</f>
        <v>36687</v>
      </c>
      <c r="D904" s="2" t="str">
        <f t="shared" si="13"/>
        <v>Error?</v>
      </c>
    </row>
    <row r="905" spans="1:4" x14ac:dyDescent="0.2">
      <c r="A905" s="5">
        <v>844</v>
      </c>
      <c r="B905" s="138">
        <f>'Expenditures 15-22'!F47</f>
        <v>41393</v>
      </c>
      <c r="C905" s="2" t="s">
        <v>573</v>
      </c>
      <c r="D905" s="2" t="str">
        <f t="shared" si="13"/>
        <v>Error?</v>
      </c>
    </row>
    <row r="906" spans="1:4" x14ac:dyDescent="0.2">
      <c r="A906" s="5">
        <v>845</v>
      </c>
      <c r="B906" s="138">
        <f>'Expenditures 15-22'!F49</f>
        <v>1121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1121</v>
      </c>
      <c r="C908" s="2" t="s">
        <v>573</v>
      </c>
      <c r="D908" s="2" t="str">
        <f t="shared" si="13"/>
        <v>Error?</v>
      </c>
    </row>
    <row r="909" spans="1:4" x14ac:dyDescent="0.2">
      <c r="A909" s="5">
        <v>848</v>
      </c>
      <c r="B909" s="138">
        <f>'Expenditures 15-22'!F55</f>
        <v>1312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1312</v>
      </c>
      <c r="C911" s="2" t="s">
        <v>573</v>
      </c>
      <c r="D911" s="2" t="str">
        <f t="shared" si="13"/>
        <v>Error?</v>
      </c>
    </row>
    <row r="912" spans="1:4" x14ac:dyDescent="0.2">
      <c r="A912" s="5">
        <v>851</v>
      </c>
      <c r="B912" s="138">
        <f>'Expenditures 15-22'!F59</f>
        <v>146</v>
      </c>
      <c r="D912" s="2" t="str">
        <f t="shared" si="13"/>
        <v>Error?</v>
      </c>
    </row>
    <row r="913" spans="1:4" x14ac:dyDescent="0.2">
      <c r="A913" s="5">
        <v>852</v>
      </c>
      <c r="B913" s="138">
        <f>'Expenditures 15-22'!F60</f>
        <v>204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20546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20896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109</v>
      </c>
      <c r="D928" s="2" t="str">
        <f t="shared" si="13"/>
        <v>Error?</v>
      </c>
    </row>
    <row r="929" spans="1:4" x14ac:dyDescent="0.2">
      <c r="A929" s="5">
        <v>868</v>
      </c>
      <c r="B929" s="138">
        <f>'Expenditures 15-22'!F74</f>
        <v>64867</v>
      </c>
      <c r="C929" s="2" t="s">
        <v>573</v>
      </c>
      <c r="D929" s="2" t="str">
        <f t="shared" si="13"/>
        <v>Error?</v>
      </c>
    </row>
    <row r="930" spans="1:4" x14ac:dyDescent="0.2">
      <c r="A930" s="5">
        <v>869</v>
      </c>
      <c r="B930" s="138">
        <f>'Expenditures 15-22'!F75</f>
        <v>539</v>
      </c>
      <c r="D930" s="2" t="str">
        <f t="shared" si="13"/>
        <v>Error?</v>
      </c>
    </row>
    <row r="931" spans="1:4" x14ac:dyDescent="0.2">
      <c r="A931" s="5">
        <v>870</v>
      </c>
      <c r="B931" s="138">
        <f>'Expenditures 15-22'!F114</f>
        <v>76212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180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180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180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624650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5427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762927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3520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3520</v>
      </c>
      <c r="C1115" s="2" t="s">
        <v>573</v>
      </c>
      <c r="D1115" s="2" t="str">
        <f t="shared" si="16"/>
        <v>Error?</v>
      </c>
    </row>
    <row r="1116" spans="1:4" x14ac:dyDescent="0.2">
      <c r="A1116" s="5">
        <v>1055</v>
      </c>
      <c r="B1116" s="138">
        <f>'Expenditures 15-22'!K44</f>
        <v>9286</v>
      </c>
      <c r="C1116" s="2" t="s">
        <v>573</v>
      </c>
      <c r="D1116" s="2" t="str">
        <f t="shared" si="16"/>
        <v>Error?</v>
      </c>
    </row>
    <row r="1117" spans="1:4" x14ac:dyDescent="0.2">
      <c r="A1117" s="5">
        <v>1056</v>
      </c>
      <c r="B1117" s="138">
        <f>'Expenditures 15-22'!K45</f>
        <v>24462</v>
      </c>
      <c r="C1117" s="2" t="s">
        <v>573</v>
      </c>
      <c r="D1117" s="2" t="str">
        <f t="shared" si="16"/>
        <v>Error?</v>
      </c>
    </row>
    <row r="1118" spans="1:4" x14ac:dyDescent="0.2">
      <c r="A1118" s="5">
        <v>1057</v>
      </c>
      <c r="B1118" s="138">
        <f>'Expenditures 15-22'!K46</f>
        <v>36687</v>
      </c>
      <c r="C1118" s="2" t="s">
        <v>573</v>
      </c>
      <c r="D1118" s="2" t="str">
        <f t="shared" si="16"/>
        <v>Error?</v>
      </c>
    </row>
    <row r="1119" spans="1:4" x14ac:dyDescent="0.2">
      <c r="A1119" s="5">
        <v>1058</v>
      </c>
      <c r="B1119" s="138">
        <f>'Expenditures 15-22'!K47</f>
        <v>70435</v>
      </c>
      <c r="C1119" s="2" t="s">
        <v>573</v>
      </c>
      <c r="D1119" s="2" t="str">
        <f t="shared" si="16"/>
        <v>Error?</v>
      </c>
    </row>
    <row r="1120" spans="1:4" x14ac:dyDescent="0.2">
      <c r="A1120" s="5">
        <v>1059</v>
      </c>
      <c r="B1120" s="138">
        <f>'Expenditures 15-22'!K49</f>
        <v>18375</v>
      </c>
      <c r="C1120" s="2" t="s">
        <v>573</v>
      </c>
      <c r="D1120" s="2" t="str">
        <f t="shared" si="16"/>
        <v>Error?</v>
      </c>
    </row>
    <row r="1121" spans="1:4" x14ac:dyDescent="0.2">
      <c r="A1121" s="5">
        <v>1060</v>
      </c>
      <c r="B1121" s="138">
        <f>'Expenditures 15-22'!K50</f>
        <v>52081</v>
      </c>
      <c r="C1121" s="2" t="s">
        <v>573</v>
      </c>
      <c r="D1121" s="2" t="str">
        <f t="shared" si="16"/>
        <v>Error?</v>
      </c>
    </row>
    <row r="1122" spans="1:4" x14ac:dyDescent="0.2">
      <c r="A1122" s="5">
        <v>1061</v>
      </c>
      <c r="B1122" s="138">
        <f>'Expenditures 15-22'!K53</f>
        <v>72297</v>
      </c>
      <c r="C1122" s="2" t="s">
        <v>573</v>
      </c>
      <c r="D1122" s="2" t="str">
        <f t="shared" si="16"/>
        <v>Error?</v>
      </c>
    </row>
    <row r="1123" spans="1:4" x14ac:dyDescent="0.2">
      <c r="A1123" s="5">
        <v>1062</v>
      </c>
      <c r="B1123" s="138">
        <f>'Expenditures 15-22'!K55</f>
        <v>133593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133593</v>
      </c>
      <c r="C1125" s="2" t="s">
        <v>573</v>
      </c>
      <c r="D1125" s="2" t="str">
        <f t="shared" si="16"/>
        <v>Error?</v>
      </c>
    </row>
    <row r="1126" spans="1:4" x14ac:dyDescent="0.2">
      <c r="A1126" s="5">
        <v>1065</v>
      </c>
      <c r="B1126" s="138">
        <f>'Expenditures 15-22'!K59</f>
        <v>45858</v>
      </c>
      <c r="C1126" s="2" t="s">
        <v>573</v>
      </c>
      <c r="D1126" s="2" t="str">
        <f t="shared" si="16"/>
        <v>Error?</v>
      </c>
    </row>
    <row r="1127" spans="1:4" x14ac:dyDescent="0.2">
      <c r="A1127" s="5">
        <v>1066</v>
      </c>
      <c r="B1127" s="138">
        <f>'Expenditures 15-22'!K60</f>
        <v>18522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40630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105010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109</v>
      </c>
      <c r="C1142" s="2" t="s">
        <v>573</v>
      </c>
      <c r="D1142" s="2" t="str">
        <f t="shared" si="16"/>
        <v>Error?</v>
      </c>
    </row>
    <row r="1143" spans="1:4" x14ac:dyDescent="0.2">
      <c r="A1143" s="5">
        <v>1082</v>
      </c>
      <c r="B1143" s="138">
        <f>'Expenditures 15-22'!K74</f>
        <v>384964</v>
      </c>
      <c r="C1143" s="2" t="s">
        <v>573</v>
      </c>
      <c r="D1143" s="2" t="str">
        <f t="shared" si="16"/>
        <v>Error?</v>
      </c>
    </row>
    <row r="1144" spans="1:4" x14ac:dyDescent="0.2">
      <c r="A1144" s="5">
        <v>1083</v>
      </c>
      <c r="B1144" s="138">
        <f>'Expenditures 15-22'!K75</f>
        <v>539</v>
      </c>
      <c r="C1144" s="2" t="s">
        <v>573</v>
      </c>
      <c r="D1144" s="2" t="str">
        <f t="shared" si="16"/>
        <v>Error?</v>
      </c>
    </row>
    <row r="1145" spans="1:4" x14ac:dyDescent="0.2">
      <c r="A1145" s="5">
        <v>1084</v>
      </c>
      <c r="B1145" s="138">
        <f>'Expenditures 15-22'!K102</f>
        <v>92944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1241374</v>
      </c>
      <c r="C1152" s="2" t="s">
        <v>573</v>
      </c>
      <c r="D1152" s="2" t="str">
        <f t="shared" si="17"/>
        <v>Error?</v>
      </c>
    </row>
    <row r="1153" spans="1:4" x14ac:dyDescent="0.2">
      <c r="A1153" s="5">
        <v>1092</v>
      </c>
      <c r="B1153" s="138">
        <f>'Expenditures 15-22'!K115</f>
        <v>-287181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19410</v>
      </c>
      <c r="D1221" s="2" t="str">
        <f t="shared" si="18"/>
        <v>Error?</v>
      </c>
    </row>
    <row r="1222" spans="1:4" x14ac:dyDescent="0.2">
      <c r="A1222" s="10">
        <v>1161</v>
      </c>
      <c r="D1222" s="2" t="str">
        <f t="shared" si="18"/>
        <v>OK</v>
      </c>
    </row>
    <row r="1223" spans="1:4" x14ac:dyDescent="0.2">
      <c r="A1223" s="5">
        <v>1162</v>
      </c>
      <c r="B1223" s="138">
        <f>'Expenditures 15-22'!C127</f>
        <v>19410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19410</v>
      </c>
      <c r="C1225" s="2" t="s">
        <v>573</v>
      </c>
      <c r="D1225" s="2" t="str">
        <f t="shared" si="18"/>
        <v>Error?</v>
      </c>
    </row>
    <row r="1226" spans="1:4" x14ac:dyDescent="0.2">
      <c r="A1226" s="5">
        <v>1165</v>
      </c>
      <c r="B1226" s="138">
        <f>'Expenditures 15-22'!C151</f>
        <v>19410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120178</v>
      </c>
      <c r="D1237" s="2" t="str">
        <f t="shared" si="18"/>
        <v>Error?</v>
      </c>
    </row>
    <row r="1238" spans="1:4" x14ac:dyDescent="0.2">
      <c r="A1238" s="10">
        <v>1177</v>
      </c>
      <c r="D1238" s="2" t="str">
        <f t="shared" si="18"/>
        <v>OK</v>
      </c>
    </row>
    <row r="1239" spans="1:4" x14ac:dyDescent="0.2">
      <c r="A1239" s="5">
        <v>1178</v>
      </c>
      <c r="B1239" s="138">
        <f>'Expenditures 15-22'!E127</f>
        <v>120178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120178</v>
      </c>
      <c r="C1241" s="2" t="s">
        <v>573</v>
      </c>
      <c r="D1241" s="2" t="str">
        <f t="shared" si="18"/>
        <v>Error?</v>
      </c>
    </row>
    <row r="1242" spans="1:4" x14ac:dyDescent="0.2">
      <c r="A1242" s="5">
        <v>1181</v>
      </c>
      <c r="B1242" s="138">
        <f>'Expenditures 15-22'!E151</f>
        <v>120178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6545</v>
      </c>
      <c r="D1245" s="2" t="str">
        <f t="shared" si="18"/>
        <v>Error?</v>
      </c>
    </row>
    <row r="1246" spans="1:4" x14ac:dyDescent="0.2">
      <c r="A1246" s="10">
        <v>1185</v>
      </c>
      <c r="D1246" s="2" t="str">
        <f t="shared" si="18"/>
        <v>OK</v>
      </c>
    </row>
    <row r="1247" spans="1:4" x14ac:dyDescent="0.2">
      <c r="A1247" s="5">
        <v>1186</v>
      </c>
      <c r="B1247" s="138">
        <f>'Expenditures 15-22'!F127</f>
        <v>6545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6545</v>
      </c>
      <c r="C1249" s="2" t="s">
        <v>573</v>
      </c>
      <c r="D1249" s="2" t="str">
        <f t="shared" si="18"/>
        <v>Error?</v>
      </c>
    </row>
    <row r="1250" spans="1:4" x14ac:dyDescent="0.2">
      <c r="A1250" s="5">
        <v>1189</v>
      </c>
      <c r="B1250" s="138">
        <f>'Expenditures 15-22'!F151</f>
        <v>6545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146133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146133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146133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146133</v>
      </c>
      <c r="C1288" s="2" t="s">
        <v>573</v>
      </c>
      <c r="D1288" s="2" t="str">
        <f t="shared" si="19"/>
        <v>Error?</v>
      </c>
    </row>
    <row r="1289" spans="1:4" x14ac:dyDescent="0.2">
      <c r="A1289" s="5">
        <v>1228</v>
      </c>
      <c r="B1289" s="138">
        <f>'Expenditures 15-22'!K152</f>
        <v>-31534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1994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1994</v>
      </c>
      <c r="C1339" s="2" t="s">
        <v>573</v>
      </c>
      <c r="D1339" s="2" t="str">
        <f t="shared" si="19"/>
        <v>Error?</v>
      </c>
    </row>
    <row r="1340" spans="1:4" x14ac:dyDescent="0.2">
      <c r="A1340" s="5">
        <v>1279</v>
      </c>
      <c r="B1340" s="138">
        <f>'Expenditures 15-22'!C210</f>
        <v>1994</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102828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102828</v>
      </c>
      <c r="C1351" s="2" t="s">
        <v>573</v>
      </c>
      <c r="D1351" s="2" t="str">
        <f t="shared" si="20"/>
        <v>Error?</v>
      </c>
    </row>
    <row r="1352" spans="1:4" x14ac:dyDescent="0.2">
      <c r="A1352" s="5">
        <v>1291</v>
      </c>
      <c r="B1352" s="138">
        <f>'Expenditures 15-22'!E196</f>
        <v>4141</v>
      </c>
      <c r="C1352" s="2" t="s">
        <v>573</v>
      </c>
      <c r="D1352" s="2" t="str">
        <f t="shared" si="20"/>
        <v>Error?</v>
      </c>
    </row>
    <row r="1353" spans="1:4" x14ac:dyDescent="0.2">
      <c r="A1353" s="5">
        <v>1292</v>
      </c>
      <c r="B1353" s="138">
        <f>'Expenditures 15-22'!E210</f>
        <v>106969</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104822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104822</v>
      </c>
      <c r="C1381" s="2" t="s">
        <v>573</v>
      </c>
      <c r="D1381" s="2" t="str">
        <f t="shared" si="20"/>
        <v>Error?</v>
      </c>
    </row>
    <row r="1382" spans="1:4" x14ac:dyDescent="0.2">
      <c r="A1382" s="5">
        <v>1321</v>
      </c>
      <c r="B1382" s="138">
        <f>'Expenditures 15-22'!K196</f>
        <v>4141</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108963</v>
      </c>
      <c r="C1388" s="2" t="s">
        <v>573</v>
      </c>
      <c r="D1388" s="2" t="str">
        <f t="shared" si="20"/>
        <v>Error?</v>
      </c>
    </row>
    <row r="1389" spans="1:4" x14ac:dyDescent="0.2">
      <c r="A1389" s="5">
        <v>1328</v>
      </c>
      <c r="B1389" s="138">
        <f>'Expenditures 15-22'!K211</f>
        <v>-44091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14519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497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497</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1278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1278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668</v>
      </c>
      <c r="D1423" s="2" t="str">
        <f t="shared" si="21"/>
        <v>Error?</v>
      </c>
    </row>
    <row r="1424" spans="1:4" x14ac:dyDescent="0.2">
      <c r="A1424" s="5">
        <v>1363</v>
      </c>
      <c r="B1424" s="138">
        <f>'Expenditures 15-22'!D257</f>
        <v>668</v>
      </c>
      <c r="C1424" s="2" t="s">
        <v>573</v>
      </c>
      <c r="D1424" s="2" t="str">
        <f t="shared" si="21"/>
        <v>Error?</v>
      </c>
    </row>
    <row r="1425" spans="1:4" x14ac:dyDescent="0.2">
      <c r="A1425" s="5">
        <v>1364</v>
      </c>
      <c r="B1425" s="138">
        <f>'Expenditures 15-22'!D259</f>
        <v>4720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4720</v>
      </c>
      <c r="C1427" s="2" t="s">
        <v>573</v>
      </c>
      <c r="D1427" s="2" t="str">
        <f t="shared" si="21"/>
        <v>Error?</v>
      </c>
    </row>
    <row r="1428" spans="1:4" x14ac:dyDescent="0.2">
      <c r="A1428" s="5">
        <v>1367</v>
      </c>
      <c r="B1428" s="138">
        <f>'Expenditures 15-22'!D263</f>
        <v>5870</v>
      </c>
      <c r="D1428" s="2" t="str">
        <f t="shared" si="21"/>
        <v>Error?</v>
      </c>
    </row>
    <row r="1429" spans="1:4" x14ac:dyDescent="0.2">
      <c r="A1429" s="5">
        <v>1368</v>
      </c>
      <c r="B1429" s="138">
        <f>'Expenditures 15-22'!D264</f>
        <v>2784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3079</v>
      </c>
      <c r="D1431" s="2" t="str">
        <f t="shared" si="21"/>
        <v>Error?</v>
      </c>
    </row>
    <row r="1432" spans="1:4" x14ac:dyDescent="0.2">
      <c r="A1432" s="5">
        <v>1371</v>
      </c>
      <c r="B1432" s="138">
        <f>'Expenditures 15-22'!D267</f>
        <v>302</v>
      </c>
      <c r="D1432" s="2" t="str">
        <f t="shared" si="21"/>
        <v>Error?</v>
      </c>
    </row>
    <row r="1433" spans="1:4" x14ac:dyDescent="0.2">
      <c r="A1433" s="5">
        <v>1372</v>
      </c>
      <c r="B1433" s="138">
        <f>'Expenditures 15-22'!D268</f>
        <v>2889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14924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22087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36606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86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14519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497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497</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1278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1278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668</v>
      </c>
      <c r="C1487" s="2" t="s">
        <v>573</v>
      </c>
      <c r="D1487" s="2" t="str">
        <f t="shared" si="22"/>
        <v>Error?</v>
      </c>
    </row>
    <row r="1488" spans="1:4" x14ac:dyDescent="0.2">
      <c r="A1488" s="5">
        <v>1427</v>
      </c>
      <c r="B1488" s="138">
        <f>'Expenditures 15-22'!K257</f>
        <v>668</v>
      </c>
      <c r="C1488" s="2" t="s">
        <v>573</v>
      </c>
      <c r="D1488" s="2" t="str">
        <f t="shared" si="22"/>
        <v>Error?</v>
      </c>
    </row>
    <row r="1489" spans="1:4" x14ac:dyDescent="0.2">
      <c r="A1489" s="5">
        <v>1428</v>
      </c>
      <c r="B1489" s="138">
        <f>'Expenditures 15-22'!K259</f>
        <v>4720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4720</v>
      </c>
      <c r="C1491" s="2" t="s">
        <v>573</v>
      </c>
      <c r="D1491" s="2" t="str">
        <f t="shared" si="22"/>
        <v>Error?</v>
      </c>
    </row>
    <row r="1492" spans="1:4" x14ac:dyDescent="0.2">
      <c r="A1492" s="5">
        <v>1431</v>
      </c>
      <c r="B1492" s="138">
        <f>'Expenditures 15-22'!K263</f>
        <v>5870</v>
      </c>
      <c r="C1492" s="2" t="s">
        <v>573</v>
      </c>
      <c r="D1492" s="2" t="str">
        <f t="shared" si="22"/>
        <v>Error?</v>
      </c>
    </row>
    <row r="1493" spans="1:4" x14ac:dyDescent="0.2">
      <c r="A1493" s="5">
        <v>1432</v>
      </c>
      <c r="B1493" s="138">
        <f>'Expenditures 15-22'!K264</f>
        <v>2784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3079</v>
      </c>
      <c r="C1495" s="2" t="s">
        <v>573</v>
      </c>
      <c r="D1495" s="2" t="str">
        <f t="shared" si="22"/>
        <v>Error?</v>
      </c>
    </row>
    <row r="1496" spans="1:4" x14ac:dyDescent="0.2">
      <c r="A1496" s="5">
        <v>1435</v>
      </c>
      <c r="B1496" s="138">
        <f>'Expenditures 15-22'!K267</f>
        <v>302</v>
      </c>
      <c r="C1496" s="2" t="s">
        <v>573</v>
      </c>
      <c r="D1496" s="2" t="str">
        <f t="shared" si="22"/>
        <v>Error?</v>
      </c>
    </row>
    <row r="1497" spans="1:4" x14ac:dyDescent="0.2">
      <c r="A1497" s="5">
        <v>1436</v>
      </c>
      <c r="B1497" s="138">
        <f>'Expenditures 15-22'!K268</f>
        <v>2889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14924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22087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36606</v>
      </c>
      <c r="C1517" s="2" t="s">
        <v>573</v>
      </c>
      <c r="D1517" s="2" t="str">
        <f t="shared" si="22"/>
        <v>Error?</v>
      </c>
    </row>
    <row r="1518" spans="1:4" x14ac:dyDescent="0.2">
      <c r="A1518" s="5">
        <v>1457</v>
      </c>
      <c r="B1518" s="138">
        <f>'Expenditures 15-22'!K296</f>
        <v>-1193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959240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672059</v>
      </c>
      <c r="C1630" s="2" t="s">
        <v>573</v>
      </c>
      <c r="D1630" s="2" t="str">
        <f t="shared" si="24"/>
        <v>Error?</v>
      </c>
    </row>
    <row r="1631" spans="1:4" x14ac:dyDescent="0.2">
      <c r="A1631" s="5">
        <v>1570</v>
      </c>
      <c r="B1631" s="138">
        <f>'Acct Summary 7-8'!D79</f>
        <v>340549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309015</v>
      </c>
      <c r="C1644" s="2" t="s">
        <v>573</v>
      </c>
      <c r="D1644" s="2" t="str">
        <f t="shared" si="24"/>
        <v>Error?</v>
      </c>
    </row>
    <row r="1645" spans="1:4" x14ac:dyDescent="0.2">
      <c r="A1645" s="5">
        <v>1584</v>
      </c>
      <c r="B1645" s="138">
        <f>'Acct Summary 7-8'!E79</f>
        <v>68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186054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141963</v>
      </c>
      <c r="C1672" s="2" t="s">
        <v>573</v>
      </c>
      <c r="D1672" s="2" t="str">
        <f t="shared" si="25"/>
        <v>Error?</v>
      </c>
    </row>
    <row r="1673" spans="1:4" x14ac:dyDescent="0.2">
      <c r="A1673" s="5">
        <v>1612</v>
      </c>
      <c r="B1673" s="138">
        <f>'Acct Summary 7-8'!G79</f>
        <v>37353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36160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608775</v>
      </c>
      <c r="C1744" s="2" t="s">
        <v>573</v>
      </c>
      <c r="D1744" s="2" t="str">
        <f t="shared" si="26"/>
        <v>Error?</v>
      </c>
    </row>
    <row r="1745" spans="1:5" x14ac:dyDescent="0.2">
      <c r="A1745" s="5">
        <v>1684</v>
      </c>
      <c r="B1745" s="138">
        <f>'Tax Sched 23'!B5</f>
        <v>109179</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10449</v>
      </c>
      <c r="C1747" s="2" t="s">
        <v>573</v>
      </c>
      <c r="D1747" s="2" t="str">
        <f t="shared" si="26"/>
        <v>Error?</v>
      </c>
    </row>
    <row r="1748" spans="1:5" x14ac:dyDescent="0.2">
      <c r="A1748" s="5">
        <v>1687</v>
      </c>
      <c r="B1748" s="138">
        <f>'Tax Sched 23'!B8</f>
        <v>12810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19373</v>
      </c>
      <c r="C1752" s="2" t="s">
        <v>573</v>
      </c>
      <c r="D1752" s="2" t="str">
        <f t="shared" si="26"/>
        <v>Error?</v>
      </c>
    </row>
    <row r="1753" spans="1:5" x14ac:dyDescent="0.2">
      <c r="A1753" s="5">
        <v>1692</v>
      </c>
      <c r="B1753" s="138">
        <f>'Tax Sched 23'!B12</f>
        <v>6551</v>
      </c>
      <c r="C1753" s="2" t="s">
        <v>573</v>
      </c>
      <c r="D1753" s="2" t="str">
        <f t="shared" si="26"/>
        <v>Error?</v>
      </c>
    </row>
    <row r="1754" spans="1:5" x14ac:dyDescent="0.2">
      <c r="A1754" s="5">
        <v>1693</v>
      </c>
      <c r="B1754" s="138">
        <f>'Tax Sched 23'!B14</f>
        <v>2006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787482</v>
      </c>
      <c r="C1759" s="2" t="s">
        <v>573</v>
      </c>
      <c r="D1759" s="2" t="str">
        <f t="shared" si="26"/>
        <v>Error?</v>
      </c>
    </row>
    <row r="1760" spans="1:5" x14ac:dyDescent="0.2">
      <c r="A1760" s="5">
        <v>1699</v>
      </c>
      <c r="B1760" s="138">
        <f>'Tax Sched 23'!D4</f>
        <v>431471</v>
      </c>
      <c r="C1760" s="2" t="s">
        <v>573</v>
      </c>
      <c r="D1760" s="2" t="str">
        <f t="shared" si="26"/>
        <v>Error?</v>
      </c>
    </row>
    <row r="1761" spans="1:5" x14ac:dyDescent="0.2">
      <c r="A1761" s="5">
        <v>1700</v>
      </c>
      <c r="B1761" s="138">
        <f>'Tax Sched 23'!D5</f>
        <v>77636</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5651</v>
      </c>
      <c r="C1763" s="2" t="s">
        <v>573</v>
      </c>
      <c r="D1763" s="2" t="str">
        <f t="shared" si="26"/>
        <v>Error?</v>
      </c>
    </row>
    <row r="1764" spans="1:5" x14ac:dyDescent="0.2">
      <c r="A1764" s="5">
        <v>1703</v>
      </c>
      <c r="B1764" s="138">
        <f>'Tax Sched 23'!D8</f>
        <v>9324</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13794</v>
      </c>
      <c r="C1768" s="2" t="s">
        <v>573</v>
      </c>
      <c r="D1768" s="2" t="str">
        <f t="shared" si="26"/>
        <v>Error?</v>
      </c>
    </row>
    <row r="1769" spans="1:5" x14ac:dyDescent="0.2">
      <c r="A1769" s="5">
        <v>1708</v>
      </c>
      <c r="B1769" s="138">
        <f>'Tax Sched 23'!D12</f>
        <v>4640</v>
      </c>
      <c r="C1769" s="2" t="s">
        <v>573</v>
      </c>
      <c r="D1769" s="2" t="str">
        <f t="shared" si="26"/>
        <v>Error?</v>
      </c>
    </row>
    <row r="1770" spans="1:5" x14ac:dyDescent="0.2">
      <c r="A1770" s="5">
        <v>1709</v>
      </c>
      <c r="B1770" s="138">
        <f>'Tax Sched 23'!D14</f>
        <v>1424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557634</v>
      </c>
      <c r="C1775" s="2" t="s">
        <v>573</v>
      </c>
      <c r="D1775" s="2" t="str">
        <f t="shared" si="26"/>
        <v>Error?</v>
      </c>
    </row>
    <row r="1776" spans="1:5" x14ac:dyDescent="0.2">
      <c r="A1776" s="5">
        <v>1715</v>
      </c>
      <c r="B1776" s="138">
        <f>'Tax Sched 23'!C4</f>
        <v>177304</v>
      </c>
      <c r="D1776" s="2" t="str">
        <f t="shared" si="26"/>
        <v>Error?</v>
      </c>
    </row>
    <row r="1777" spans="1:4" x14ac:dyDescent="0.2">
      <c r="A1777" s="5">
        <v>1716</v>
      </c>
      <c r="B1777" s="138">
        <f>'Tax Sched 23'!C5</f>
        <v>31543</v>
      </c>
      <c r="D1777" s="2" t="str">
        <f t="shared" si="26"/>
        <v>Error?</v>
      </c>
    </row>
    <row r="1778" spans="1:4" x14ac:dyDescent="0.2">
      <c r="A1778" s="5">
        <v>1717</v>
      </c>
      <c r="B1778" s="138">
        <f>'Tax Sched 23'!C6</f>
        <v>0</v>
      </c>
      <c r="D1778" s="2" t="str">
        <f t="shared" si="26"/>
        <v>Error?</v>
      </c>
    </row>
    <row r="1779" spans="1:4" x14ac:dyDescent="0.2">
      <c r="A1779" s="5">
        <v>1718</v>
      </c>
      <c r="B1779" s="138">
        <f>'Tax Sched 23'!C7</f>
        <v>4798</v>
      </c>
      <c r="D1779" s="2" t="str">
        <f t="shared" si="26"/>
        <v>Error?</v>
      </c>
    </row>
    <row r="1780" spans="1:4" x14ac:dyDescent="0.2">
      <c r="A1780" s="5">
        <v>1719</v>
      </c>
      <c r="B1780" s="138">
        <f>'Tax Sched 23'!C8</f>
        <v>3486</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5579</v>
      </c>
      <c r="D1784" s="2" t="str">
        <f t="shared" si="26"/>
        <v>Error?</v>
      </c>
    </row>
    <row r="1785" spans="1:4" x14ac:dyDescent="0.2">
      <c r="A1785" s="5">
        <v>1724</v>
      </c>
      <c r="B1785" s="138">
        <f>'Tax Sched 23'!C12</f>
        <v>1911</v>
      </c>
      <c r="D1785" s="2" t="str">
        <f t="shared" si="26"/>
        <v>Error?</v>
      </c>
    </row>
    <row r="1786" spans="1:4" x14ac:dyDescent="0.2">
      <c r="A1786" s="5">
        <v>1725</v>
      </c>
      <c r="B1786" s="138">
        <f>'Tax Sched 23'!C14</f>
        <v>582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229848</v>
      </c>
      <c r="C1791" s="2" t="s">
        <v>573</v>
      </c>
      <c r="D1791" s="2" t="str">
        <f t="shared" ref="D1791:D1854" si="27">IF(ISBLANK(B1791),"OK",IF(A1791-B1791=0,"OK","Error?"))</f>
        <v>Error?</v>
      </c>
    </row>
    <row r="1792" spans="1:4" x14ac:dyDescent="0.2">
      <c r="A1792" s="5">
        <v>1731</v>
      </c>
      <c r="B1792" s="138">
        <f>'Tax Sched 23'!F4</f>
        <v>780696</v>
      </c>
      <c r="C1792" s="2" t="s">
        <v>573</v>
      </c>
      <c r="D1792" s="2" t="str">
        <f t="shared" si="27"/>
        <v>Error?</v>
      </c>
    </row>
    <row r="1793" spans="1:4" x14ac:dyDescent="0.2">
      <c r="A1793" s="5">
        <v>1732</v>
      </c>
      <c r="B1793" s="138">
        <f>'Tax Sched 23'!F5</f>
        <v>138888</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21124</v>
      </c>
      <c r="C1795" s="2" t="s">
        <v>573</v>
      </c>
      <c r="D1795" s="2" t="str">
        <f t="shared" si="27"/>
        <v>Error?</v>
      </c>
    </row>
    <row r="1796" spans="1:4" x14ac:dyDescent="0.2">
      <c r="A1796" s="5">
        <v>1735</v>
      </c>
      <c r="B1796" s="138">
        <f>'Tax Sched 23'!F8</f>
        <v>15352</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24568</v>
      </c>
      <c r="C1800" s="2" t="s">
        <v>573</v>
      </c>
      <c r="D1800" s="2" t="str">
        <f t="shared" si="27"/>
        <v>Error?</v>
      </c>
    </row>
    <row r="1801" spans="1:4" x14ac:dyDescent="0.2">
      <c r="A1801" s="5">
        <v>1740</v>
      </c>
      <c r="B1801" s="138">
        <f>'Tax Sched 23'!F12</f>
        <v>8413</v>
      </c>
      <c r="C1801" s="2" t="s">
        <v>573</v>
      </c>
      <c r="D1801" s="2" t="str">
        <f t="shared" si="27"/>
        <v>Error?</v>
      </c>
    </row>
    <row r="1802" spans="1:4" x14ac:dyDescent="0.2">
      <c r="A1802" s="5">
        <v>1741</v>
      </c>
      <c r="B1802" s="138">
        <f>'Tax Sched 23'!F14</f>
        <v>2563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1012055</v>
      </c>
      <c r="C1807" s="2" t="s">
        <v>573</v>
      </c>
      <c r="D1807" s="2" t="str">
        <f t="shared" si="27"/>
        <v>Error?</v>
      </c>
    </row>
    <row r="1808" spans="1:4" x14ac:dyDescent="0.2">
      <c r="A1808" s="5">
        <v>1747</v>
      </c>
      <c r="B1808" s="138">
        <f>'Tax Sched 23'!E4</f>
        <v>958000</v>
      </c>
      <c r="D1808" s="2" t="str">
        <f t="shared" si="27"/>
        <v>Error?</v>
      </c>
    </row>
    <row r="1809" spans="1:4" x14ac:dyDescent="0.2">
      <c r="A1809" s="5">
        <v>1748</v>
      </c>
      <c r="B1809" s="138">
        <f>'Tax Sched 23'!E5</f>
        <v>170431</v>
      </c>
      <c r="D1809" s="2" t="str">
        <f t="shared" si="27"/>
        <v>Error?</v>
      </c>
    </row>
    <row r="1810" spans="1:4" x14ac:dyDescent="0.2">
      <c r="A1810" s="5">
        <v>1749</v>
      </c>
      <c r="B1810" s="138">
        <f>'Tax Sched 23'!E6</f>
        <v>0</v>
      </c>
      <c r="D1810" s="2" t="str">
        <f t="shared" si="27"/>
        <v>Error?</v>
      </c>
    </row>
    <row r="1811" spans="1:4" x14ac:dyDescent="0.2">
      <c r="A1811" s="5">
        <v>1750</v>
      </c>
      <c r="B1811" s="138">
        <f>'Tax Sched 23'!E7</f>
        <v>25922</v>
      </c>
      <c r="D1811" s="2" t="str">
        <f t="shared" si="27"/>
        <v>Error?</v>
      </c>
    </row>
    <row r="1812" spans="1:4" x14ac:dyDescent="0.2">
      <c r="A1812" s="5">
        <v>1751</v>
      </c>
      <c r="B1812" s="138">
        <f>'Tax Sched 23'!E8</f>
        <v>18838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30147</v>
      </c>
      <c r="D1816" s="2" t="str">
        <f t="shared" si="27"/>
        <v>Error?</v>
      </c>
    </row>
    <row r="1817" spans="1:4" x14ac:dyDescent="0.2">
      <c r="A1817" s="5">
        <v>1756</v>
      </c>
      <c r="B1817" s="138">
        <f>'Tax Sched 23'!E12</f>
        <v>10324</v>
      </c>
      <c r="D1817" s="2" t="str">
        <f t="shared" si="27"/>
        <v>Error?</v>
      </c>
    </row>
    <row r="1818" spans="1:4" x14ac:dyDescent="0.2">
      <c r="A1818" s="5">
        <v>1757</v>
      </c>
      <c r="B1818" s="138">
        <f>'Tax Sched 23'!E14</f>
        <v>3145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1241903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2006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2006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2006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19481</v>
      </c>
      <c r="D2008" s="2" t="str">
        <f t="shared" si="30"/>
        <v>Error?</v>
      </c>
    </row>
    <row r="2009" spans="1:4" x14ac:dyDescent="0.2">
      <c r="A2009" s="5">
        <v>1948</v>
      </c>
      <c r="B2009" s="138">
        <f>'Cap Outlay Deprec 26'!C8</f>
        <v>1054053</v>
      </c>
      <c r="D2009" s="2" t="str">
        <f t="shared" si="30"/>
        <v>Error?</v>
      </c>
    </row>
    <row r="2010" spans="1:4" x14ac:dyDescent="0.2">
      <c r="A2010" s="5">
        <v>1949</v>
      </c>
      <c r="B2010" s="138">
        <f>'Cap Outlay Deprec 26'!C10</f>
        <v>12044</v>
      </c>
      <c r="D2010" s="2" t="str">
        <f t="shared" si="30"/>
        <v>Error?</v>
      </c>
    </row>
    <row r="2011" spans="1:4" x14ac:dyDescent="0.2">
      <c r="A2011" s="5">
        <v>1950</v>
      </c>
      <c r="B2011" s="138">
        <f>'Cap Outlay Deprec 26'!C12</f>
        <v>522625</v>
      </c>
      <c r="D2011" s="2" t="str">
        <f t="shared" si="30"/>
        <v>Error?</v>
      </c>
    </row>
    <row r="2012" spans="1:4" x14ac:dyDescent="0.2">
      <c r="A2012" s="5">
        <v>1951</v>
      </c>
      <c r="B2012" s="138">
        <f>'Cap Outlay Deprec 26'!C13</f>
        <v>38983</v>
      </c>
      <c r="D2012" s="2" t="str">
        <f t="shared" si="30"/>
        <v>Error?</v>
      </c>
    </row>
    <row r="2013" spans="1:4" x14ac:dyDescent="0.2">
      <c r="A2013" s="5">
        <v>1952</v>
      </c>
      <c r="B2013" s="138">
        <f>'Cap Outlay Deprec 26'!C16</f>
        <v>1647186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19481</v>
      </c>
      <c r="C2026" s="2" t="s">
        <v>573</v>
      </c>
      <c r="D2026" s="2" t="str">
        <f t="shared" si="30"/>
        <v>Error?</v>
      </c>
    </row>
    <row r="2027" spans="1:4" x14ac:dyDescent="0.2">
      <c r="A2027" s="5">
        <v>1966</v>
      </c>
      <c r="B2027" s="138">
        <f>'Cap Outlay Deprec 26'!F8</f>
        <v>1054053</v>
      </c>
      <c r="C2027" s="2" t="s">
        <v>573</v>
      </c>
      <c r="D2027" s="2" t="str">
        <f t="shared" si="30"/>
        <v>Error?</v>
      </c>
    </row>
    <row r="2028" spans="1:4" x14ac:dyDescent="0.2">
      <c r="A2028" s="5">
        <v>1967</v>
      </c>
      <c r="B2028" s="138">
        <f>'Cap Outlay Deprec 26'!F10</f>
        <v>12044</v>
      </c>
      <c r="C2028" s="2" t="s">
        <v>573</v>
      </c>
      <c r="D2028" s="2" t="str">
        <f t="shared" si="30"/>
        <v>Error?</v>
      </c>
    </row>
    <row r="2029" spans="1:4" x14ac:dyDescent="0.2">
      <c r="A2029" s="5">
        <v>1968</v>
      </c>
      <c r="B2029" s="138">
        <f>'Cap Outlay Deprec 26'!F12</f>
        <v>522625</v>
      </c>
      <c r="C2029" s="2" t="s">
        <v>573</v>
      </c>
      <c r="D2029" s="2" t="str">
        <f t="shared" si="30"/>
        <v>Error?</v>
      </c>
    </row>
    <row r="2030" spans="1:4" x14ac:dyDescent="0.2">
      <c r="A2030" s="5">
        <v>1969</v>
      </c>
      <c r="B2030" s="138">
        <f>'Cap Outlay Deprec 26'!F13</f>
        <v>38983</v>
      </c>
      <c r="C2030" s="2" t="s">
        <v>573</v>
      </c>
      <c r="D2030" s="2" t="str">
        <f t="shared" si="30"/>
        <v>Error?</v>
      </c>
    </row>
    <row r="2031" spans="1:4" x14ac:dyDescent="0.2">
      <c r="A2031" s="5">
        <v>1970</v>
      </c>
      <c r="B2031" s="138">
        <f>'Cap Outlay Deprec 26'!F16</f>
        <v>1647186</v>
      </c>
      <c r="C2031" s="2" t="s">
        <v>573</v>
      </c>
      <c r="D2031" s="2" t="str">
        <f t="shared" si="30"/>
        <v>Error?</v>
      </c>
    </row>
    <row r="2032" spans="1:4" x14ac:dyDescent="0.2">
      <c r="A2032" s="10">
        <v>1971</v>
      </c>
      <c r="D2032" s="2" t="str">
        <f t="shared" si="30"/>
        <v>OK</v>
      </c>
    </row>
    <row r="2033" spans="1:4" x14ac:dyDescent="0.2">
      <c r="A2033" s="5">
        <v>1972</v>
      </c>
      <c r="B2033" s="138">
        <f>'Cap Outlay Deprec 26'!H8</f>
        <v>811862</v>
      </c>
      <c r="D2033" s="2" t="str">
        <f t="shared" si="30"/>
        <v>Error?</v>
      </c>
    </row>
    <row r="2034" spans="1:4" x14ac:dyDescent="0.2">
      <c r="A2034" s="5">
        <v>1973</v>
      </c>
      <c r="B2034" s="138">
        <f>'Cap Outlay Deprec 26'!H10</f>
        <v>12044</v>
      </c>
      <c r="D2034" s="2" t="str">
        <f t="shared" si="30"/>
        <v>Error?</v>
      </c>
    </row>
    <row r="2035" spans="1:4" x14ac:dyDescent="0.2">
      <c r="A2035" s="5">
        <v>1974</v>
      </c>
      <c r="B2035" s="138">
        <f>'Cap Outlay Deprec 26'!H12</f>
        <v>484477</v>
      </c>
      <c r="D2035" s="2" t="str">
        <f t="shared" si="30"/>
        <v>Error?</v>
      </c>
    </row>
    <row r="2036" spans="1:4" x14ac:dyDescent="0.2">
      <c r="A2036" s="5">
        <v>1975</v>
      </c>
      <c r="B2036" s="138">
        <f>'Cap Outlay Deprec 26'!H13</f>
        <v>38983</v>
      </c>
      <c r="D2036" s="2" t="str">
        <f t="shared" si="30"/>
        <v>Error?</v>
      </c>
    </row>
    <row r="2037" spans="1:4" x14ac:dyDescent="0.2">
      <c r="A2037" s="5">
        <v>1976</v>
      </c>
      <c r="B2037" s="138">
        <f>'Cap Outlay Deprec 26'!H16</f>
        <v>1347366</v>
      </c>
      <c r="C2037" s="2" t="s">
        <v>573</v>
      </c>
      <c r="D2037" s="2" t="str">
        <f t="shared" si="30"/>
        <v>Error?</v>
      </c>
    </row>
    <row r="2038" spans="1:4" x14ac:dyDescent="0.2">
      <c r="A2038" s="10">
        <v>1977</v>
      </c>
      <c r="D2038" s="2" t="str">
        <f t="shared" si="30"/>
        <v>OK</v>
      </c>
    </row>
    <row r="2039" spans="1:4" x14ac:dyDescent="0.2">
      <c r="A2039" s="5">
        <v>1978</v>
      </c>
      <c r="B2039" s="138">
        <f>'Cap Outlay Deprec 26'!I8</f>
        <v>21081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4300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25381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832943</v>
      </c>
      <c r="C2051" s="2" t="s">
        <v>573</v>
      </c>
      <c r="D2051" s="2" t="str">
        <f t="shared" si="31"/>
        <v>Error?</v>
      </c>
    </row>
    <row r="2052" spans="1:4" x14ac:dyDescent="0.2">
      <c r="A2052" s="5">
        <v>1991</v>
      </c>
      <c r="B2052" s="138">
        <f>'Cap Outlay Deprec 26'!K10</f>
        <v>12044</v>
      </c>
      <c r="C2052" s="2" t="s">
        <v>573</v>
      </c>
      <c r="D2052" s="2" t="str">
        <f t="shared" si="31"/>
        <v>Error?</v>
      </c>
    </row>
    <row r="2053" spans="1:4" x14ac:dyDescent="0.2">
      <c r="A2053" s="5">
        <v>1992</v>
      </c>
      <c r="B2053" s="138">
        <f>'Cap Outlay Deprec 26'!K12</f>
        <v>488777</v>
      </c>
      <c r="C2053" s="2" t="s">
        <v>573</v>
      </c>
      <c r="D2053" s="2" t="str">
        <f t="shared" si="31"/>
        <v>Error?</v>
      </c>
    </row>
    <row r="2054" spans="1:4" x14ac:dyDescent="0.2">
      <c r="A2054" s="5">
        <v>1993</v>
      </c>
      <c r="B2054" s="138">
        <f>'Cap Outlay Deprec 26'!K13</f>
        <v>38983</v>
      </c>
      <c r="C2054" s="2" t="s">
        <v>573</v>
      </c>
      <c r="D2054" s="2" t="str">
        <f t="shared" si="31"/>
        <v>Error?</v>
      </c>
    </row>
    <row r="2055" spans="1:4" x14ac:dyDescent="0.2">
      <c r="A2055" s="5">
        <v>1994</v>
      </c>
      <c r="B2055" s="138">
        <f>'Cap Outlay Deprec 26'!K16</f>
        <v>1372747</v>
      </c>
      <c r="C2055" s="2" t="s">
        <v>573</v>
      </c>
      <c r="D2055" s="2" t="str">
        <f t="shared" si="31"/>
        <v>Error?</v>
      </c>
    </row>
    <row r="2056" spans="1:4" x14ac:dyDescent="0.2">
      <c r="A2056" s="5">
        <v>1995</v>
      </c>
      <c r="B2056" s="138">
        <f>'Cap Outlay Deprec 26'!L5</f>
        <v>19481</v>
      </c>
      <c r="C2056" s="2" t="s">
        <v>573</v>
      </c>
      <c r="D2056" s="2" t="str">
        <f t="shared" si="31"/>
        <v>Error?</v>
      </c>
    </row>
    <row r="2057" spans="1:4" x14ac:dyDescent="0.2">
      <c r="A2057" s="5">
        <v>1996</v>
      </c>
      <c r="B2057" s="138">
        <f>'Cap Outlay Deprec 26'!L8</f>
        <v>221110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33848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274439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92944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6482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684594</v>
      </c>
      <c r="C2551" s="2" t="s">
        <v>573</v>
      </c>
      <c r="D2551" s="2" t="str">
        <f t="shared" si="38"/>
        <v>Error?</v>
      </c>
    </row>
    <row r="2552" spans="1:4" x14ac:dyDescent="0.2">
      <c r="A2552" s="10">
        <v>2491</v>
      </c>
      <c r="D2552" s="2" t="str">
        <f t="shared" si="38"/>
        <v>OK</v>
      </c>
    </row>
    <row r="2553" spans="1:4" x14ac:dyDescent="0.2">
      <c r="A2553" s="5">
        <v>2492</v>
      </c>
      <c r="B2553" s="138">
        <f>'Acct Summary 7-8'!C6</f>
        <v>113163</v>
      </c>
      <c r="C2553" s="2" t="s">
        <v>573</v>
      </c>
      <c r="D2553" s="2" t="str">
        <f t="shared" si="38"/>
        <v>Error?</v>
      </c>
    </row>
    <row r="2554" spans="1:4" x14ac:dyDescent="0.2">
      <c r="A2554" s="5">
        <v>2493</v>
      </c>
      <c r="B2554" s="138">
        <f>'Acct Summary 7-8'!C7</f>
        <v>156436</v>
      </c>
      <c r="C2554" s="2" t="s">
        <v>573</v>
      </c>
      <c r="D2554" s="2" t="str">
        <f t="shared" si="38"/>
        <v>Error?</v>
      </c>
    </row>
    <row r="2555" spans="1:4" x14ac:dyDescent="0.2">
      <c r="A2555" s="5">
        <v>2494</v>
      </c>
      <c r="B2555" s="138">
        <f>'Acct Summary 7-8'!C8</f>
        <v>954193</v>
      </c>
      <c r="C2555" s="2" t="s">
        <v>573</v>
      </c>
      <c r="D2555" s="2" t="str">
        <f t="shared" si="38"/>
        <v>Error?</v>
      </c>
    </row>
    <row r="2556" spans="1:4" x14ac:dyDescent="0.2">
      <c r="A2556" s="5">
        <v>2495</v>
      </c>
      <c r="B2556" s="138">
        <f>'Acct Summary 7-8'!C12</f>
        <v>762927</v>
      </c>
      <c r="C2556" s="2" t="s">
        <v>573</v>
      </c>
      <c r="D2556" s="2" t="str">
        <f t="shared" si="38"/>
        <v>Error?</v>
      </c>
    </row>
    <row r="2557" spans="1:4" x14ac:dyDescent="0.2">
      <c r="A2557" s="5">
        <v>2496</v>
      </c>
      <c r="B2557" s="138">
        <f>'Acct Summary 7-8'!C13</f>
        <v>384964</v>
      </c>
      <c r="C2557" s="2" t="s">
        <v>573</v>
      </c>
      <c r="D2557" s="2" t="str">
        <f t="shared" si="38"/>
        <v>Error?</v>
      </c>
    </row>
    <row r="2558" spans="1:4" x14ac:dyDescent="0.2">
      <c r="A2558" s="5">
        <v>2497</v>
      </c>
      <c r="B2558" s="138">
        <f>'Acct Summary 7-8'!C14</f>
        <v>539</v>
      </c>
      <c r="C2558" s="2" t="s">
        <v>573</v>
      </c>
      <c r="D2558" s="2" t="str">
        <f t="shared" si="38"/>
        <v>Error?</v>
      </c>
    </row>
    <row r="2559" spans="1:4" x14ac:dyDescent="0.2">
      <c r="A2559" s="5">
        <v>2498</v>
      </c>
      <c r="B2559" s="138">
        <f>'Acct Summary 7-8'!C15</f>
        <v>92944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1241374</v>
      </c>
      <c r="C2561" s="2" t="s">
        <v>573</v>
      </c>
      <c r="D2561" s="2" t="str">
        <f t="shared" si="39"/>
        <v>Error?</v>
      </c>
    </row>
    <row r="2562" spans="1:4" x14ac:dyDescent="0.2">
      <c r="A2562" s="5">
        <v>2501</v>
      </c>
      <c r="B2562" s="138">
        <f>'Acct Summary 7-8'!C20</f>
        <v>-287181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114599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114599</v>
      </c>
      <c r="C2568" s="2" t="s">
        <v>573</v>
      </c>
      <c r="D2568" s="2" t="str">
        <f t="shared" si="39"/>
        <v>Error?</v>
      </c>
    </row>
    <row r="2569" spans="1:4" x14ac:dyDescent="0.2">
      <c r="A2569" s="5">
        <v>2508</v>
      </c>
      <c r="B2569" s="138">
        <f>'Acct Summary 7-8'!D13</f>
        <v>146133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146133</v>
      </c>
      <c r="C2573" s="2" t="s">
        <v>573</v>
      </c>
      <c r="D2573" s="2" t="str">
        <f t="shared" si="39"/>
        <v>Error?</v>
      </c>
    </row>
    <row r="2574" spans="1:4" x14ac:dyDescent="0.2">
      <c r="A2574" s="5">
        <v>2513</v>
      </c>
      <c r="B2574" s="138">
        <f>'Acct Summary 7-8'!D20</f>
        <v>-31534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13689</v>
      </c>
      <c r="C2591" s="2" t="s">
        <v>573</v>
      </c>
      <c r="D2591" s="2" t="str">
        <f t="shared" si="39"/>
        <v>Error?</v>
      </c>
    </row>
    <row r="2592" spans="1:4" x14ac:dyDescent="0.2">
      <c r="A2592" s="10">
        <v>2531</v>
      </c>
      <c r="D2592" s="2" t="str">
        <f t="shared" si="39"/>
        <v>OK</v>
      </c>
    </row>
    <row r="2593" spans="1:4" x14ac:dyDescent="0.2">
      <c r="A2593" s="5">
        <v>2532</v>
      </c>
      <c r="B2593" s="138">
        <f>'Acct Summary 7-8'!F6</f>
        <v>51183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64872</v>
      </c>
      <c r="C2595" s="2" t="s">
        <v>573</v>
      </c>
      <c r="D2595" s="2" t="str">
        <f t="shared" si="39"/>
        <v>Error?</v>
      </c>
    </row>
    <row r="2596" spans="1:4" x14ac:dyDescent="0.2">
      <c r="A2596" s="5">
        <v>2535</v>
      </c>
      <c r="B2596" s="138">
        <f>'Acct Summary 7-8'!F13</f>
        <v>104822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4141</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108963</v>
      </c>
      <c r="C2600" s="2" t="s">
        <v>573</v>
      </c>
      <c r="D2600" s="2" t="str">
        <f t="shared" si="39"/>
        <v>Error?</v>
      </c>
    </row>
    <row r="2601" spans="1:4" x14ac:dyDescent="0.2">
      <c r="A2601" s="5">
        <v>2540</v>
      </c>
      <c r="B2601" s="138">
        <f>'Acct Summary 7-8'!F20</f>
        <v>-44091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35413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35413</v>
      </c>
      <c r="C2606" s="2" t="s">
        <v>573</v>
      </c>
      <c r="D2606" s="2" t="str">
        <f t="shared" si="39"/>
        <v>Error?</v>
      </c>
    </row>
    <row r="2607" spans="1:4" x14ac:dyDescent="0.2">
      <c r="A2607" s="5">
        <v>2546</v>
      </c>
      <c r="B2607" s="138">
        <f>'Acct Summary 7-8'!G12</f>
        <v>14519</v>
      </c>
      <c r="C2607" s="2" t="s">
        <v>573</v>
      </c>
      <c r="D2607" s="2" t="str">
        <f t="shared" si="39"/>
        <v>Error?</v>
      </c>
    </row>
    <row r="2608" spans="1:4" x14ac:dyDescent="0.2">
      <c r="A2608" s="5">
        <v>2547</v>
      </c>
      <c r="B2608" s="138">
        <f>'Acct Summary 7-8'!G13</f>
        <v>22087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36606</v>
      </c>
      <c r="C2612" s="2" t="s">
        <v>573</v>
      </c>
      <c r="D2612" s="2" t="str">
        <f t="shared" si="39"/>
        <v>Error?</v>
      </c>
    </row>
    <row r="2613" spans="1:4" x14ac:dyDescent="0.2">
      <c r="A2613" s="5">
        <v>2552</v>
      </c>
      <c r="B2613" s="138">
        <f>'Acct Summary 7-8'!G20</f>
        <v>-1193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92944</v>
      </c>
      <c r="C2789" s="2" t="s">
        <v>573</v>
      </c>
      <c r="D2789" s="2" t="str">
        <f t="shared" si="42"/>
        <v>Error?</v>
      </c>
    </row>
    <row r="2790" spans="1:4" x14ac:dyDescent="0.2">
      <c r="A2790" s="5">
        <v>2729</v>
      </c>
      <c r="B2790" s="138">
        <f>'Expenditures 15-22'!E102</f>
        <v>92944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4141</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4141</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4230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28185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4230</v>
      </c>
      <c r="D2912" s="2" t="str">
        <f t="shared" si="44"/>
        <v>Error?</v>
      </c>
    </row>
    <row r="2913" spans="1:4" x14ac:dyDescent="0.2">
      <c r="A2913" s="5">
        <v>2852</v>
      </c>
      <c r="B2913" s="138">
        <f>'Assets-Liab 5-6'!I41</f>
        <v>4230</v>
      </c>
      <c r="C2913" s="2" t="s">
        <v>573</v>
      </c>
      <c r="D2913" s="2" t="str">
        <f t="shared" si="44"/>
        <v>Error?</v>
      </c>
    </row>
    <row r="2914" spans="1:4" x14ac:dyDescent="0.2">
      <c r="A2914" s="5">
        <v>2853</v>
      </c>
      <c r="B2914" s="138">
        <f>'Assets-Liab 5-6'!L33</f>
        <v>28185</v>
      </c>
      <c r="D2914" s="2" t="str">
        <f t="shared" si="44"/>
        <v>Error?</v>
      </c>
    </row>
    <row r="2915" spans="1:4" x14ac:dyDescent="0.2">
      <c r="A2915" s="10">
        <v>2854</v>
      </c>
      <c r="D2915" s="2" t="str">
        <f t="shared" si="44"/>
        <v>OK</v>
      </c>
    </row>
    <row r="2916" spans="1:4" x14ac:dyDescent="0.2">
      <c r="A2916" s="5">
        <v>2855</v>
      </c>
      <c r="B2916" s="138">
        <f>'Assets-Liab 5-6'!L34</f>
        <v>28185</v>
      </c>
      <c r="C2916" s="2" t="s">
        <v>573</v>
      </c>
      <c r="D2916" s="2" t="str">
        <f t="shared" si="44"/>
        <v>Error?</v>
      </c>
    </row>
    <row r="2917" spans="1:4" x14ac:dyDescent="0.2">
      <c r="A2917" s="5">
        <v>2856</v>
      </c>
      <c r="B2917" s="138">
        <f>'Assets-Liab 5-6'!L41</f>
        <v>28185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92944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92944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4141</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4141</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44456</v>
      </c>
      <c r="D3055" s="2" t="str">
        <f t="shared" si="46"/>
        <v>Error?</v>
      </c>
    </row>
    <row r="3056" spans="1:4" x14ac:dyDescent="0.2">
      <c r="A3056" s="5">
        <v>2995</v>
      </c>
      <c r="B3056" s="138">
        <f>'Expenditures 15-22'!D10</f>
        <v>8616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53072</v>
      </c>
      <c r="C3062" s="2" t="s">
        <v>573</v>
      </c>
      <c r="D3062" s="2" t="str">
        <f t="shared" si="46"/>
        <v>Error?</v>
      </c>
    </row>
    <row r="3063" spans="1:4" x14ac:dyDescent="0.2">
      <c r="A3063" s="10">
        <v>3002</v>
      </c>
      <c r="D3063" s="2" t="str">
        <f t="shared" si="46"/>
        <v>OK</v>
      </c>
    </row>
    <row r="3064" spans="1:4" x14ac:dyDescent="0.2">
      <c r="A3064" s="5">
        <v>3003</v>
      </c>
      <c r="B3064" s="138">
        <f>'Expenditures 15-22'!D219</f>
        <v>1333</v>
      </c>
      <c r="D3064" s="2" t="str">
        <f t="shared" si="46"/>
        <v>Error?</v>
      </c>
    </row>
    <row r="3065" spans="1:4" x14ac:dyDescent="0.2">
      <c r="A3065" s="5">
        <v>3004</v>
      </c>
      <c r="B3065" s="138">
        <f>'Expenditures 15-22'!K219</f>
        <v>1333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79</v>
      </c>
      <c r="C3225" s="2" t="s">
        <v>573</v>
      </c>
      <c r="D3225" s="2" t="str">
        <f t="shared" si="49"/>
        <v>Error?</v>
      </c>
    </row>
    <row r="3226" spans="1:4" x14ac:dyDescent="0.2">
      <c r="A3226" s="5">
        <v>3165</v>
      </c>
      <c r="B3226" s="138">
        <f>'Acct Summary 7-8'!I8</f>
        <v>79</v>
      </c>
      <c r="C3226" s="2" t="s">
        <v>573</v>
      </c>
      <c r="D3226" s="2" t="str">
        <f t="shared" si="49"/>
        <v>Error?</v>
      </c>
    </row>
    <row r="3227" spans="1:4" x14ac:dyDescent="0.2">
      <c r="A3227" s="5">
        <v>3166</v>
      </c>
      <c r="B3227" s="138">
        <f>'Acct Summary 7-8'!I20</f>
        <v>79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-287181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-31534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-44091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-1193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68</v>
      </c>
      <c r="D3275" s="2" t="str">
        <f t="shared" si="50"/>
        <v>Error?</v>
      </c>
    </row>
    <row r="3276" spans="1:4" x14ac:dyDescent="0.2">
      <c r="A3276" s="5">
        <v>3215</v>
      </c>
      <c r="B3276" s="138">
        <f>'Acct Summary 7-8'!E76</f>
        <v>68</v>
      </c>
      <c r="C3276" s="2" t="s">
        <v>573</v>
      </c>
      <c r="D3276" s="2" t="str">
        <f t="shared" si="50"/>
        <v>Error?</v>
      </c>
    </row>
    <row r="3277" spans="1:4" x14ac:dyDescent="0.2">
      <c r="A3277" s="5">
        <v>3216</v>
      </c>
      <c r="B3277" s="138">
        <f>'Acct Summary 7-8'!E77</f>
        <v>-68</v>
      </c>
      <c r="C3277" s="2" t="s">
        <v>573</v>
      </c>
      <c r="D3277" s="2" t="str">
        <f t="shared" si="50"/>
        <v>Error?</v>
      </c>
    </row>
    <row r="3278" spans="1:4" x14ac:dyDescent="0.2">
      <c r="A3278" s="5">
        <v>3217</v>
      </c>
      <c r="B3278" s="138">
        <f>'Acct Summary 7-8'!E78</f>
        <v>-68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79</v>
      </c>
      <c r="C3320" s="2" t="s">
        <v>573</v>
      </c>
      <c r="D3320" s="2" t="str">
        <f t="shared" si="50"/>
        <v>Error?</v>
      </c>
    </row>
    <row r="3321" spans="1:4" x14ac:dyDescent="0.2">
      <c r="A3321" s="5">
        <v>3260</v>
      </c>
      <c r="B3321" s="138">
        <f>'Acct Summary 7-8'!I79</f>
        <v>4151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4230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67486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12292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79778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7080</v>
      </c>
      <c r="D3387" s="2" t="str">
        <f t="shared" si="51"/>
        <v>Error?</v>
      </c>
    </row>
    <row r="3388" spans="1:4" x14ac:dyDescent="0.2">
      <c r="A3388" s="5">
        <v>3327</v>
      </c>
      <c r="B3388" s="138">
        <f>'Expenditures 15-22'!D217</f>
        <v>6020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7080</v>
      </c>
      <c r="C3390" s="2" t="s">
        <v>573</v>
      </c>
      <c r="D3390" s="2" t="str">
        <f t="shared" si="51"/>
        <v>Error?</v>
      </c>
    </row>
    <row r="3391" spans="1:4" x14ac:dyDescent="0.2">
      <c r="A3391" s="5">
        <v>3330</v>
      </c>
      <c r="B3391" s="138">
        <f>'Expenditures 15-22'!K217</f>
        <v>6020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672059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309015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141963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36160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4230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28185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18339</v>
      </c>
      <c r="C3446" s="2" t="s">
        <v>573</v>
      </c>
      <c r="D3446" s="2" t="str">
        <f t="shared" si="52"/>
        <v>Error?</v>
      </c>
    </row>
    <row r="3447" spans="1:4" x14ac:dyDescent="0.2">
      <c r="A3447" s="5">
        <v>3386</v>
      </c>
      <c r="B3447" s="138">
        <f>'Tax Sched 23'!D16</f>
        <v>13694</v>
      </c>
      <c r="C3447" s="2" t="s">
        <v>573</v>
      </c>
      <c r="D3447" s="2" t="str">
        <f t="shared" si="52"/>
        <v>Error?</v>
      </c>
    </row>
    <row r="3448" spans="1:4" x14ac:dyDescent="0.2">
      <c r="A3448" s="5">
        <v>3387</v>
      </c>
      <c r="B3448" s="138">
        <f>'Tax Sched 23'!C16</f>
        <v>4645</v>
      </c>
      <c r="D3448" s="2" t="str">
        <f t="shared" si="52"/>
        <v>Error?</v>
      </c>
    </row>
    <row r="3449" spans="1:4" x14ac:dyDescent="0.2">
      <c r="A3449" s="5">
        <v>3388</v>
      </c>
      <c r="B3449" s="138">
        <f>'Tax Sched 23'!F16</f>
        <v>20451</v>
      </c>
      <c r="C3449" s="2" t="s">
        <v>573</v>
      </c>
      <c r="D3449" s="2" t="str">
        <f t="shared" si="52"/>
        <v>Error?</v>
      </c>
    </row>
    <row r="3450" spans="1:4" x14ac:dyDescent="0.2">
      <c r="A3450" s="5">
        <v>3389</v>
      </c>
      <c r="B3450" s="138">
        <f>'Tax Sched 23'!E16</f>
        <v>25096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41395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41395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41395</v>
      </c>
      <c r="D3567" s="2" t="str">
        <f t="shared" si="54"/>
        <v>Error?</v>
      </c>
    </row>
    <row r="3568" spans="1:4" x14ac:dyDescent="0.2">
      <c r="A3568" s="5">
        <v>3507</v>
      </c>
      <c r="B3568" s="138">
        <f>'Assets-Liab 5-6'!K41</f>
        <v>41395</v>
      </c>
      <c r="C3568" s="2" t="s">
        <v>573</v>
      </c>
      <c r="D3568" s="2" t="str">
        <f t="shared" si="54"/>
        <v>Error?</v>
      </c>
    </row>
    <row r="3569" spans="1:4" x14ac:dyDescent="0.2">
      <c r="A3569" s="5">
        <v>3508</v>
      </c>
      <c r="B3569" s="138">
        <f>'Acct Summary 7-8'!K4</f>
        <v>7265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7265</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7265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68</v>
      </c>
      <c r="D3583" s="2" t="str">
        <f t="shared" ref="D3583:D3646" si="55">IF(ISBLANK(B3583),"OK",IF(A3583-B3583=0,"OK","Error?"))</f>
        <v>Error?</v>
      </c>
    </row>
    <row r="3584" spans="1:4" x14ac:dyDescent="0.2">
      <c r="A3584" s="5">
        <v>3523</v>
      </c>
      <c r="B3584" s="138">
        <f>'Acct Summary 7-8'!K44</f>
        <v>68</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68</v>
      </c>
      <c r="C3587" s="2" t="s">
        <v>573</v>
      </c>
      <c r="D3587" s="2" t="str">
        <f t="shared" si="55"/>
        <v>Error?</v>
      </c>
    </row>
    <row r="3588" spans="1:4" x14ac:dyDescent="0.2">
      <c r="A3588" s="5">
        <v>3527</v>
      </c>
      <c r="B3588" s="138">
        <f>'Acct Summary 7-8'!K78</f>
        <v>7333</v>
      </c>
      <c r="C3588" s="2" t="s">
        <v>573</v>
      </c>
      <c r="D3588" s="2" t="str">
        <f t="shared" si="55"/>
        <v>Error?</v>
      </c>
    </row>
    <row r="3589" spans="1:4" x14ac:dyDescent="0.2">
      <c r="A3589" s="5">
        <v>3528</v>
      </c>
      <c r="B3589" s="138">
        <f>'Acct Summary 7-8'!K79</f>
        <v>34062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41395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68</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7265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18044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492688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1446881</v>
      </c>
      <c r="C4122" s="2" t="s">
        <v>573</v>
      </c>
      <c r="D4122" s="2" t="str">
        <f t="shared" si="63"/>
        <v>Error?</v>
      </c>
    </row>
    <row r="4123" spans="1:4" x14ac:dyDescent="0.2">
      <c r="A4123" s="5">
        <v>4062</v>
      </c>
      <c r="B4123" s="138">
        <f>'Acct Summary 7-8'!D10</f>
        <v>114599</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64872</v>
      </c>
      <c r="C4125" s="2" t="s">
        <v>573</v>
      </c>
      <c r="D4125" s="2" t="str">
        <f t="shared" si="63"/>
        <v>Error?</v>
      </c>
    </row>
    <row r="4126" spans="1:4" x14ac:dyDescent="0.2">
      <c r="A4126" s="5">
        <v>4065</v>
      </c>
      <c r="B4126" s="138">
        <f>'Acct Summary 7-8'!G10</f>
        <v>35413</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79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7265</v>
      </c>
      <c r="C4130" s="2" t="s">
        <v>573</v>
      </c>
      <c r="D4130" s="2" t="str">
        <f t="shared" si="63"/>
        <v>Error?</v>
      </c>
    </row>
    <row r="4131" spans="1:4" x14ac:dyDescent="0.2">
      <c r="A4131" s="5">
        <v>4070</v>
      </c>
      <c r="B4131" s="138">
        <f>'Acct Summary 7-8'!C18</f>
        <v>492688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1734062</v>
      </c>
      <c r="C4136" s="2" t="s">
        <v>573</v>
      </c>
      <c r="D4136" s="2" t="str">
        <f t="shared" si="63"/>
        <v>Error?</v>
      </c>
    </row>
    <row r="4137" spans="1:4" x14ac:dyDescent="0.2">
      <c r="A4137" s="5">
        <v>4076</v>
      </c>
      <c r="B4137" s="138">
        <f>'Acct Summary 7-8'!D19</f>
        <v>146133</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108963</v>
      </c>
      <c r="C4139" s="2" t="s">
        <v>573</v>
      </c>
      <c r="D4139" s="2" t="str">
        <f t="shared" si="63"/>
        <v>Error?</v>
      </c>
    </row>
    <row r="4140" spans="1:4" x14ac:dyDescent="0.2">
      <c r="A4140" s="5">
        <v>4079</v>
      </c>
      <c r="B4140" s="138">
        <f>'Acct Summary 7-8'!G19</f>
        <v>36606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3157</v>
      </c>
      <c r="C4265" s="2" t="s">
        <v>573</v>
      </c>
      <c r="D4265" s="2" t="str">
        <f t="shared" si="65"/>
        <v>Error?</v>
      </c>
      <c r="E4265" s="128"/>
    </row>
    <row r="4266" spans="1:5" x14ac:dyDescent="0.2">
      <c r="A4266" s="12">
        <v>4205</v>
      </c>
      <c r="B4266" s="138">
        <f>('FP Info 3'!F10)*100000</f>
        <v>536.5</v>
      </c>
      <c r="C4266" s="2" t="s">
        <v>573</v>
      </c>
      <c r="D4266" s="2" t="str">
        <f t="shared" si="65"/>
        <v>Error?</v>
      </c>
      <c r="E4266" s="128"/>
    </row>
    <row r="4267" spans="1:5" x14ac:dyDescent="0.2">
      <c r="A4267" s="12">
        <v>4206</v>
      </c>
      <c r="B4267" s="138">
        <f>('FP Info 3'!H10)*100000</f>
        <v>81.599999999999994</v>
      </c>
      <c r="C4267" s="2" t="s">
        <v>573</v>
      </c>
      <c r="D4267" s="2" t="str">
        <f t="shared" si="65"/>
        <v>Error?</v>
      </c>
      <c r="E4267" s="128"/>
    </row>
    <row r="4268" spans="1:5" x14ac:dyDescent="0.2">
      <c r="A4268" s="12">
        <v>4207</v>
      </c>
      <c r="B4268" s="138">
        <f>('FP Info 3'!J10)*100000</f>
        <v>3775</v>
      </c>
      <c r="C4268" s="2" t="s">
        <v>573</v>
      </c>
      <c r="D4268" s="2" t="str">
        <f t="shared" si="65"/>
        <v>Error?</v>
      </c>
    </row>
    <row r="4269" spans="1:5" x14ac:dyDescent="0.2">
      <c r="A4269" s="12">
        <v>4208</v>
      </c>
      <c r="B4269" s="138">
        <f>'FP Info 3'!J16</f>
        <v>1127267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676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4175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2941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7820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14112</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31767090</v>
      </c>
      <c r="D4995" s="2" t="str">
        <f t="shared" si="77"/>
        <v>Error?</v>
      </c>
    </row>
    <row r="4996" spans="1:4" x14ac:dyDescent="0.2">
      <c r="A4996" s="12">
        <v>4935</v>
      </c>
      <c r="B4996" s="138">
        <f>'FP Info 3'!H31</f>
        <v>2191929.21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608775</v>
      </c>
      <c r="D5061" s="2" t="str">
        <f t="shared" si="78"/>
        <v>Error?</v>
      </c>
    </row>
    <row r="5062" spans="1:4" x14ac:dyDescent="0.2">
      <c r="A5062" s="10">
        <v>5001</v>
      </c>
      <c r="D5062" s="2" t="str">
        <f t="shared" si="78"/>
        <v>OK</v>
      </c>
    </row>
    <row r="5063" spans="1:4" x14ac:dyDescent="0.2">
      <c r="A5063" s="5">
        <v>5002</v>
      </c>
      <c r="B5063" s="138">
        <f>'Revenues 9-14'!C7</f>
        <v>2006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610781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19898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19898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16299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16299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2041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21503</v>
      </c>
      <c r="C5096" s="2" t="s">
        <v>573</v>
      </c>
      <c r="D5096" s="2" t="str">
        <f t="shared" si="78"/>
        <v>Error?</v>
      </c>
    </row>
    <row r="5097" spans="1:4" x14ac:dyDescent="0.2">
      <c r="A5097" s="5">
        <v>5036</v>
      </c>
      <c r="B5097" s="138">
        <f>'Revenues 9-14'!C77</f>
        <v>7140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5967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13107</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2212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794</v>
      </c>
      <c r="D5119" s="2" t="str">
        <f t="shared" ref="D5119:D5182" si="79">IF(ISBLANK(B5119),"OK",IF(A5119-B5119=0,"OK","Error?"))</f>
        <v>Error?</v>
      </c>
    </row>
    <row r="5120" spans="1:4" x14ac:dyDescent="0.2">
      <c r="A5120" s="5">
        <v>5059</v>
      </c>
      <c r="B5120" s="138">
        <f>'Revenues 9-14'!C108</f>
        <v>3006</v>
      </c>
      <c r="C5120" s="2" t="s">
        <v>573</v>
      </c>
      <c r="D5120" s="2" t="str">
        <f t="shared" si="79"/>
        <v>Error?</v>
      </c>
    </row>
    <row r="5121" spans="1:4" x14ac:dyDescent="0.2">
      <c r="A5121" s="5">
        <v>5060</v>
      </c>
      <c r="B5121" s="138">
        <f>'Revenues 9-14'!C109</f>
        <v>684594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112943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112943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220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220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113163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14112</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18044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18044</v>
      </c>
      <c r="C5246" s="2" t="s">
        <v>573</v>
      </c>
      <c r="D5246" s="2" t="str">
        <f t="shared" si="80"/>
        <v>Error?</v>
      </c>
    </row>
    <row r="5247" spans="1:4" x14ac:dyDescent="0.2">
      <c r="A5247" s="5">
        <v>5186</v>
      </c>
      <c r="B5247" s="138">
        <f>'Revenues 9-14'!C200</f>
        <v>71667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2941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71667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495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30234</v>
      </c>
      <c r="D5278" s="2" t="str">
        <f t="shared" si="81"/>
        <v>Error?</v>
      </c>
    </row>
    <row r="5279" spans="1:4" x14ac:dyDescent="0.2">
      <c r="A5279" s="5">
        <v>5218</v>
      </c>
      <c r="B5279" s="138">
        <f>'Revenues 9-14'!C214</f>
        <v>6272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37001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142324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156436</v>
      </c>
      <c r="C5326" s="2" t="s">
        <v>573</v>
      </c>
      <c r="D5326" s="2" t="str">
        <f t="shared" si="82"/>
        <v>Error?</v>
      </c>
    </row>
    <row r="5327" spans="1:5" x14ac:dyDescent="0.2">
      <c r="A5327" s="5">
        <v>5266</v>
      </c>
      <c r="B5327" s="138">
        <f>'Revenues 9-14'!C268</f>
        <v>954193</v>
      </c>
      <c r="C5327" s="2" t="s">
        <v>573</v>
      </c>
      <c r="D5327" s="2" t="str">
        <f t="shared" si="82"/>
        <v>Error?</v>
      </c>
    </row>
    <row r="5328" spans="1:5" x14ac:dyDescent="0.2">
      <c r="A5328" s="5">
        <v>5267</v>
      </c>
      <c r="B5328" s="138">
        <f>'Revenues 9-14'!D5</f>
        <v>109179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109179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5420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5420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114599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114599</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10449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10449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3240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3240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13689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34192</v>
      </c>
      <c r="D5615" s="2" t="str">
        <f t="shared" si="86"/>
        <v>Error?</v>
      </c>
    </row>
    <row r="5616" spans="1:4" x14ac:dyDescent="0.2">
      <c r="A5616" s="10">
        <v>5555</v>
      </c>
      <c r="D5616" s="2" t="str">
        <f t="shared" si="86"/>
        <v>OK</v>
      </c>
    </row>
    <row r="5617" spans="1:5" x14ac:dyDescent="0.2">
      <c r="A5617" s="5">
        <v>5556</v>
      </c>
      <c r="B5617" s="138">
        <f>'Revenues 9-14'!F153</f>
        <v>16991</v>
      </c>
      <c r="D5617" s="2" t="str">
        <f t="shared" si="86"/>
        <v>Error?</v>
      </c>
    </row>
    <row r="5618" spans="1:5" x14ac:dyDescent="0.2">
      <c r="A5618" s="5">
        <v>5557</v>
      </c>
      <c r="B5618" s="138">
        <f>'Revenues 9-14'!F155</f>
        <v>51183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51183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51183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64872</v>
      </c>
      <c r="C5720" s="2" t="s">
        <v>573</v>
      </c>
      <c r="D5720" s="2" t="str">
        <f t="shared" si="88"/>
        <v>Error?</v>
      </c>
    </row>
    <row r="5721" spans="1:4" x14ac:dyDescent="0.2">
      <c r="A5721" s="5">
        <v>5660</v>
      </c>
      <c r="B5721" s="138">
        <f>'Revenues 9-14'!G5</f>
        <v>12810</v>
      </c>
      <c r="D5721" s="2" t="str">
        <f t="shared" si="88"/>
        <v>Error?</v>
      </c>
    </row>
    <row r="5722" spans="1:4" x14ac:dyDescent="0.2">
      <c r="A5722" s="5">
        <v>5661</v>
      </c>
      <c r="B5722" s="138">
        <f>'Revenues 9-14'!G7</f>
        <v>0</v>
      </c>
      <c r="D5722" s="2" t="str">
        <f t="shared" si="88"/>
        <v>Error?</v>
      </c>
    </row>
    <row r="5723" spans="1:4" x14ac:dyDescent="0.2">
      <c r="A5723" s="5">
        <v>5662</v>
      </c>
      <c r="B5723" s="138">
        <f>'Revenues 9-14'!G8</f>
        <v>18339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31149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3556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3556</v>
      </c>
      <c r="C5730" s="2" t="s">
        <v>573</v>
      </c>
      <c r="D5730" s="2" t="str">
        <f t="shared" si="88"/>
        <v>Error?</v>
      </c>
    </row>
    <row r="5731" spans="1:4" x14ac:dyDescent="0.2">
      <c r="A5731" s="5">
        <v>5670</v>
      </c>
      <c r="B5731" s="138">
        <f>'Revenues 9-14'!G65</f>
        <v>708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708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35413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6551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6551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714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714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7265</v>
      </c>
      <c r="C6023" s="2" t="s">
        <v>573</v>
      </c>
      <c r="D6023" s="2" t="str">
        <f t="shared" si="93"/>
        <v>Error?</v>
      </c>
    </row>
    <row r="6024" spans="1:5" x14ac:dyDescent="0.2">
      <c r="A6024" s="5">
        <v>5963</v>
      </c>
      <c r="B6024" s="138">
        <f>'Revenues 9-14'!G109</f>
        <v>35413</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79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7265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19462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3499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101.2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13907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13907</v>
      </c>
      <c r="D6215" s="2" t="str">
        <f t="shared" si="96"/>
        <v>Error?</v>
      </c>
      <c r="E6215" s="2" t="s">
        <v>190</v>
      </c>
    </row>
    <row r="6216" spans="1:5" x14ac:dyDescent="0.2">
      <c r="A6216">
        <v>6155</v>
      </c>
      <c r="B6216" s="138">
        <f>'Assets-Liab 5-6'!J41</f>
        <v>13907</v>
      </c>
      <c r="D6216" s="2" t="str">
        <f t="shared" si="96"/>
        <v>Error?</v>
      </c>
      <c r="E6216" s="2" t="s">
        <v>190</v>
      </c>
    </row>
    <row r="6217" spans="1:5" x14ac:dyDescent="0.2">
      <c r="A6217">
        <v>6156</v>
      </c>
      <c r="B6217" s="138">
        <f>'Assets-Liab 5-6'!J4</f>
        <v>13907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19557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19557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19557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29881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29881</v>
      </c>
      <c r="D6229" s="2" t="str">
        <f t="shared" si="96"/>
        <v>Error?</v>
      </c>
      <c r="E6229" s="2" t="s">
        <v>190</v>
      </c>
    </row>
    <row r="6230" spans="1:5" x14ac:dyDescent="0.2">
      <c r="A6230">
        <v>6169</v>
      </c>
      <c r="B6230" s="138">
        <f>'Acct Summary 7-8'!J20</f>
        <v>-10324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-10324</v>
      </c>
      <c r="D6263" s="2" t="str">
        <f t="shared" si="96"/>
        <v>Error?</v>
      </c>
      <c r="E6263" s="2" t="s">
        <v>190</v>
      </c>
    </row>
    <row r="6264" spans="1:5" x14ac:dyDescent="0.2">
      <c r="A6264">
        <v>6203</v>
      </c>
      <c r="B6264" s="138">
        <f>'Acct Summary 7-8'!J79</f>
        <v>24231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13907</v>
      </c>
      <c r="D6266" s="2" t="str">
        <f t="shared" si="96"/>
        <v>Error?</v>
      </c>
      <c r="E6266" s="2" t="s">
        <v>190</v>
      </c>
    </row>
    <row r="6267" spans="1:5" x14ac:dyDescent="0.2">
      <c r="A6267">
        <v>6206</v>
      </c>
      <c r="B6267" s="138">
        <f>'Acct Summary 7-8'!C82</f>
        <v>-287181</v>
      </c>
      <c r="D6267" s="2" t="str">
        <f t="shared" si="96"/>
        <v>Error?</v>
      </c>
      <c r="E6267" s="2" t="s">
        <v>190</v>
      </c>
    </row>
    <row r="6268" spans="1:5" x14ac:dyDescent="0.2">
      <c r="A6268">
        <v>6207</v>
      </c>
      <c r="B6268" s="138">
        <f>'Acct Summary 7-8'!D82</f>
        <v>-31534</v>
      </c>
      <c r="D6268" s="2" t="str">
        <f t="shared" si="96"/>
        <v>Error?</v>
      </c>
      <c r="E6268" s="2" t="s">
        <v>190</v>
      </c>
    </row>
    <row r="6269" spans="1:5" x14ac:dyDescent="0.2">
      <c r="A6269">
        <v>6208</v>
      </c>
      <c r="B6269" s="138">
        <f>'Acct Summary 7-8'!E82</f>
        <v>-68</v>
      </c>
      <c r="D6269" s="2" t="str">
        <f t="shared" si="96"/>
        <v>Error?</v>
      </c>
      <c r="E6269" s="2" t="s">
        <v>190</v>
      </c>
    </row>
    <row r="6270" spans="1:5" x14ac:dyDescent="0.2">
      <c r="A6270">
        <v>6209</v>
      </c>
      <c r="B6270" s="138">
        <f>'Acct Summary 7-8'!F82</f>
        <v>-44091</v>
      </c>
      <c r="D6270" s="2" t="str">
        <f t="shared" si="96"/>
        <v>Error?</v>
      </c>
      <c r="E6270" s="2" t="s">
        <v>190</v>
      </c>
    </row>
    <row r="6271" spans="1:5" x14ac:dyDescent="0.2">
      <c r="A6271">
        <v>6210</v>
      </c>
      <c r="B6271" s="138">
        <f>'Acct Summary 7-8'!G82</f>
        <v>-1193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79</v>
      </c>
      <c r="D6273" s="2" t="str">
        <f t="shared" si="97"/>
        <v>Error?</v>
      </c>
      <c r="E6273" s="2" t="s">
        <v>190</v>
      </c>
    </row>
    <row r="6274" spans="1:5" x14ac:dyDescent="0.2">
      <c r="A6274">
        <v>6213</v>
      </c>
      <c r="B6274" s="138">
        <f>'Acct Summary 7-8'!J82</f>
        <v>-10324</v>
      </c>
      <c r="D6274" s="2" t="str">
        <f t="shared" si="97"/>
        <v>Error?</v>
      </c>
      <c r="E6274" s="2" t="s">
        <v>190</v>
      </c>
    </row>
    <row r="6275" spans="1:5" x14ac:dyDescent="0.2">
      <c r="A6275">
        <v>6214</v>
      </c>
      <c r="B6275" s="138">
        <f>'Acct Summary 7-8'!K82</f>
        <v>7333</v>
      </c>
      <c r="D6275" s="2" t="str">
        <f t="shared" si="97"/>
        <v>Error?</v>
      </c>
      <c r="E6275" s="2" t="s">
        <v>190</v>
      </c>
    </row>
    <row r="6276" spans="1:5" x14ac:dyDescent="0.2">
      <c r="A6276">
        <v>6215</v>
      </c>
      <c r="B6276" s="138">
        <f>'Acct Summary 7-8'!C83</f>
        <v>-0.42731516131768194</v>
      </c>
      <c r="D6276" s="2" t="str">
        <f t="shared" si="97"/>
        <v>Error?</v>
      </c>
      <c r="E6276" s="2" t="s">
        <v>190</v>
      </c>
    </row>
    <row r="6277" spans="1:5" x14ac:dyDescent="0.2">
      <c r="A6277">
        <v>6216</v>
      </c>
      <c r="B6277" s="138">
        <f>'Acct Summary 7-8'!D83</f>
        <v>-0.10204682620584761</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-0.31058092601593373</v>
      </c>
      <c r="D6279" s="2" t="str">
        <f t="shared" si="97"/>
        <v>Error?</v>
      </c>
      <c r="E6279" s="2" t="s">
        <v>190</v>
      </c>
    </row>
    <row r="6280" spans="1:5" x14ac:dyDescent="0.2">
      <c r="A6280">
        <v>6219</v>
      </c>
      <c r="B6280" s="138">
        <f>'Acct Summary 7-8'!G83</f>
        <v>-3.2992256637168142E-2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1.867612293144208E-2</v>
      </c>
      <c r="D6282" s="2" t="str">
        <f t="shared" si="97"/>
        <v>Error?</v>
      </c>
      <c r="E6282" s="2" t="s">
        <v>190</v>
      </c>
    </row>
    <row r="6283" spans="1:5" x14ac:dyDescent="0.2">
      <c r="A6283">
        <v>6222</v>
      </c>
      <c r="B6283" s="138">
        <f>'Acct Summary 7-8'!J83</f>
        <v>-0.74235996260875814</v>
      </c>
      <c r="D6283" s="2" t="str">
        <f t="shared" si="97"/>
        <v>Error?</v>
      </c>
      <c r="E6283" s="2" t="s">
        <v>190</v>
      </c>
    </row>
    <row r="6284" spans="1:5" x14ac:dyDescent="0.2">
      <c r="A6284">
        <v>6223</v>
      </c>
      <c r="B6284" s="138">
        <f>'Acct Summary 7-8'!K83</f>
        <v>0.17714699842976206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19373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19373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184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184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19557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1841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1841</v>
      </c>
      <c r="D6940" s="2" t="str">
        <f t="shared" si="107"/>
        <v>Error?</v>
      </c>
    </row>
    <row r="6941" spans="1:4" x14ac:dyDescent="0.2">
      <c r="A6941">
        <v>6880</v>
      </c>
      <c r="B6941" s="138">
        <f>'Expenditures 15-22'!L52</f>
        <v>1841</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29881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19557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17132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17132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29881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29881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29881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29881</v>
      </c>
      <c r="D7224" s="2" t="str">
        <f t="shared" si="111"/>
        <v>Error?</v>
      </c>
    </row>
    <row r="7225" spans="1:4" x14ac:dyDescent="0.2">
      <c r="A7225">
        <v>7164</v>
      </c>
      <c r="B7225" s="138">
        <f>'Expenditures 15-22'!K343</f>
        <v>-10324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25381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12749</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12749</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2006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145502</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95502</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V43" sqref="V4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6" t="s">
        <v>1191</v>
      </c>
      <c r="B2" s="2406"/>
      <c r="C2" s="2406"/>
      <c r="D2" s="2406"/>
      <c r="E2" s="2406"/>
      <c r="F2" s="2406"/>
      <c r="G2" s="2406"/>
      <c r="H2" s="2406"/>
      <c r="I2" s="2406"/>
      <c r="J2" s="2406"/>
      <c r="K2" s="2406"/>
      <c r="L2" s="2406"/>
    </row>
    <row r="3" spans="1:29" ht="13.5" customHeight="1" x14ac:dyDescent="0.2">
      <c r="A3" s="2392" t="s">
        <v>1190</v>
      </c>
      <c r="B3" s="2392"/>
      <c r="C3" s="2392"/>
      <c r="D3" s="2392"/>
      <c r="E3" s="2392"/>
      <c r="F3" s="2392"/>
      <c r="G3" s="2392"/>
      <c r="H3" s="2392"/>
      <c r="I3" s="2392"/>
      <c r="J3" s="2392"/>
      <c r="K3" s="2392"/>
      <c r="L3" s="2392"/>
    </row>
    <row r="4" spans="1:29" ht="13.5" customHeight="1" x14ac:dyDescent="0.2">
      <c r="A4" s="2406" t="s">
        <v>1989</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6" t="str">
        <f>COVER!A17</f>
        <v>SHIRLAND CCSD 134</v>
      </c>
      <c r="B7" s="2387"/>
      <c r="C7" s="2387"/>
      <c r="D7" s="2424"/>
      <c r="E7" s="2425">
        <f>COVER!A13</f>
        <v>4101134004</v>
      </c>
      <c r="F7" s="2426"/>
      <c r="G7" s="2393" t="str">
        <f>COVER!T23</f>
        <v>066-004238</v>
      </c>
      <c r="H7" s="2394"/>
      <c r="I7" s="2394"/>
      <c r="J7" s="2394"/>
      <c r="K7" s="2394"/>
      <c r="L7" s="239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6"/>
      <c r="B9" s="2397"/>
      <c r="C9" s="2397"/>
      <c r="D9" s="2397"/>
      <c r="E9" s="2397"/>
      <c r="F9" s="2398"/>
      <c r="G9" s="2399" t="str">
        <f>COVER!T13</f>
        <v>BENNING GROUP, LLC</v>
      </c>
      <c r="H9" s="2400"/>
      <c r="I9" s="2400"/>
      <c r="J9" s="2400"/>
      <c r="K9" s="2400"/>
      <c r="L9" s="2401"/>
    </row>
    <row r="10" spans="1:29" ht="13.5" customHeight="1" x14ac:dyDescent="0.2">
      <c r="A10" s="2383" t="str">
        <f>COVER!A38</f>
        <v>DR. JOHN ULFERTS</v>
      </c>
      <c r="B10" s="2384"/>
      <c r="C10" s="2384"/>
      <c r="D10" s="2384"/>
      <c r="E10" s="2384"/>
      <c r="F10" s="2385"/>
      <c r="G10" s="2399" t="str">
        <f>COVER!T17</f>
        <v>50 W. DOUGLAS STREET, SUITE 801</v>
      </c>
      <c r="H10" s="2412"/>
      <c r="I10" s="2412"/>
      <c r="J10" s="2412"/>
      <c r="K10" s="2412"/>
      <c r="L10" s="2413"/>
    </row>
    <row r="11" spans="1:29" ht="13.5" customHeight="1" x14ac:dyDescent="0.2">
      <c r="A11" s="1184" t="s">
        <v>1519</v>
      </c>
      <c r="B11" s="1185"/>
      <c r="C11" s="1186"/>
      <c r="D11" s="1191"/>
      <c r="E11" s="1186"/>
      <c r="F11" s="1190"/>
      <c r="G11" s="2399" t="str">
        <f>COVER!T19</f>
        <v>FREEPORT</v>
      </c>
      <c r="H11" s="2412"/>
      <c r="I11" s="2412"/>
      <c r="J11" s="2412"/>
      <c r="K11" s="2412"/>
      <c r="L11" s="2413"/>
    </row>
    <row r="12" spans="1:29" ht="13.5" customHeight="1" x14ac:dyDescent="0.2">
      <c r="A12" s="2417" t="s">
        <v>1518</v>
      </c>
      <c r="B12" s="2418"/>
      <c r="C12" s="2418"/>
      <c r="D12" s="2418"/>
      <c r="E12" s="2418"/>
      <c r="F12" s="2419"/>
      <c r="G12" s="2414"/>
      <c r="H12" s="2415"/>
      <c r="I12" s="2415"/>
      <c r="J12" s="2415"/>
      <c r="K12" s="2415"/>
      <c r="L12" s="2416"/>
    </row>
    <row r="13" spans="1:29" ht="13.5" customHeight="1" x14ac:dyDescent="0.2">
      <c r="A13" s="2399"/>
      <c r="B13" s="2412"/>
      <c r="C13" s="2412"/>
      <c r="D13" s="2412"/>
      <c r="E13" s="2412"/>
      <c r="F13" s="2413"/>
      <c r="G13" s="2407" t="s">
        <v>1520</v>
      </c>
      <c r="H13" s="2408"/>
      <c r="I13" s="2420" t="str">
        <f>COVER!T25</f>
        <v>jblocker@benninggroup.com</v>
      </c>
      <c r="J13" s="2421"/>
      <c r="K13" s="2421"/>
      <c r="L13" s="2422"/>
    </row>
    <row r="14" spans="1:29" ht="13.5" customHeight="1" x14ac:dyDescent="0.2">
      <c r="A14" s="2399" t="str">
        <f>COVER!A19</f>
        <v>8020 NORTH STREET</v>
      </c>
      <c r="B14" s="2412"/>
      <c r="C14" s="2412"/>
      <c r="D14" s="2412"/>
      <c r="E14" s="2412"/>
      <c r="F14" s="2413"/>
      <c r="G14" s="1195" t="s">
        <v>1185</v>
      </c>
      <c r="H14" s="1193"/>
      <c r="I14" s="1193"/>
      <c r="J14" s="1193"/>
      <c r="K14" s="1193"/>
      <c r="L14" s="1194"/>
    </row>
    <row r="15" spans="1:29" ht="13.5" customHeight="1" x14ac:dyDescent="0.2">
      <c r="A15" s="2399" t="str">
        <f>COVER!A21</f>
        <v xml:space="preserve">SHIRLAND  </v>
      </c>
      <c r="B15" s="2412"/>
      <c r="C15" s="2412"/>
      <c r="D15" s="2412"/>
      <c r="E15" s="2412"/>
      <c r="F15" s="2413"/>
      <c r="G15" s="2409" t="str">
        <f>COVER!T15</f>
        <v>JENNY L. BLOCKER</v>
      </c>
      <c r="H15" s="2410"/>
      <c r="I15" s="2410"/>
      <c r="J15" s="2410"/>
      <c r="K15" s="2410"/>
      <c r="L15" s="2411"/>
    </row>
    <row r="16" spans="1:29" ht="12.2" customHeight="1" x14ac:dyDescent="0.2">
      <c r="A16" s="2389">
        <f>COVER!A25</f>
        <v>61079</v>
      </c>
      <c r="B16" s="2390"/>
      <c r="C16" s="2390"/>
      <c r="D16" s="2390"/>
      <c r="E16" s="2390"/>
      <c r="F16" s="2391"/>
      <c r="G16" s="2402"/>
      <c r="H16" s="2403"/>
      <c r="I16" s="2403"/>
      <c r="J16" s="2403"/>
      <c r="K16" s="2403"/>
      <c r="L16" s="2404"/>
    </row>
    <row r="17" spans="1:13" ht="12.2" customHeight="1" x14ac:dyDescent="0.2">
      <c r="A17" s="2405"/>
      <c r="B17" s="2390"/>
      <c r="C17" s="2390"/>
      <c r="D17" s="2390"/>
      <c r="E17" s="2390"/>
      <c r="F17" s="2391"/>
      <c r="G17" s="1195" t="s">
        <v>1184</v>
      </c>
      <c r="H17" s="1193"/>
      <c r="I17" s="1193"/>
      <c r="J17" s="1193"/>
      <c r="K17" s="1197" t="s">
        <v>1183</v>
      </c>
      <c r="L17" s="1190"/>
      <c r="M17" s="1183"/>
    </row>
    <row r="18" spans="1:13" ht="12.2" customHeight="1" x14ac:dyDescent="0.2">
      <c r="A18" s="2383"/>
      <c r="B18" s="2384"/>
      <c r="C18" s="2384"/>
      <c r="D18" s="2384"/>
      <c r="E18" s="2384"/>
      <c r="F18" s="2385"/>
      <c r="G18" s="2386" t="str">
        <f>COVER!T21</f>
        <v>815/235-3157</v>
      </c>
      <c r="H18" s="2387"/>
      <c r="I18" s="2387"/>
      <c r="J18" s="2387"/>
      <c r="K18" s="2386" t="str">
        <f>COVER!X21</f>
        <v>815/235-3158</v>
      </c>
      <c r="L18" s="238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V43" sqref="V4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SHIRLAND CCSD 134</v>
      </c>
      <c r="B1" s="2423"/>
      <c r="C1" s="2423"/>
      <c r="D1" s="2423"/>
    </row>
    <row r="2" spans="1:11" s="1212" customFormat="1" ht="12.75" x14ac:dyDescent="0.2">
      <c r="A2" s="2428">
        <f>'Single Audit Cover'!E7</f>
        <v>4101134004</v>
      </c>
      <c r="B2" s="2429"/>
      <c r="C2" s="2429"/>
      <c r="D2" s="2429"/>
    </row>
    <row r="3" spans="1:11" s="1212" customFormat="1" ht="12.75" x14ac:dyDescent="0.2">
      <c r="A3" s="2427" t="s">
        <v>1513</v>
      </c>
      <c r="B3" s="2423"/>
      <c r="C3" s="2423"/>
      <c r="D3" s="242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V43" sqref="V43"/>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SHIRLAND CCSD 134</v>
      </c>
      <c r="B1" s="2431"/>
      <c r="C1" s="2431"/>
      <c r="D1" s="2431"/>
      <c r="E1" s="2431"/>
    </row>
    <row r="2" spans="1:5" x14ac:dyDescent="0.2">
      <c r="A2" s="2432">
        <f>'Single Audit Cover'!E7</f>
        <v>4101134004</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156436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3499</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-4175</v>
      </c>
    </row>
    <row r="19" spans="1:4" ht="13.5" thickBot="1" x14ac:dyDescent="0.25">
      <c r="A19" s="1262" t="s">
        <v>1235</v>
      </c>
      <c r="D19" s="1263">
        <f>SUM(D10:D17)</f>
        <v>155760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155760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0</v>
      </c>
    </row>
    <row r="49" spans="2:4" x14ac:dyDescent="0.2">
      <c r="B49" s="1269" t="s">
        <v>1226</v>
      </c>
      <c r="C49" s="1269"/>
      <c r="D49" s="1270">
        <f>D32-D47</f>
        <v>155760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V43" sqref="V4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SHIRLAND CCSD 134</v>
      </c>
      <c r="C1" s="2435"/>
      <c r="D1" s="2435"/>
      <c r="E1" s="2435"/>
      <c r="F1" s="2435"/>
      <c r="G1" s="2435"/>
      <c r="H1" s="2435"/>
      <c r="I1" s="2435"/>
      <c r="J1" s="2435"/>
      <c r="K1" s="2435"/>
      <c r="L1" s="2435"/>
      <c r="M1" s="2435"/>
    </row>
    <row r="2" spans="2:14" ht="15" x14ac:dyDescent="0.2">
      <c r="B2" s="2436">
        <f>'Single Audit Cover'!E7</f>
        <v>4101134004</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V43" sqref="V4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SHIRLAND CCSD 134</v>
      </c>
      <c r="B1" s="2440"/>
      <c r="C1" s="2440"/>
      <c r="D1" s="2440"/>
      <c r="E1" s="2440"/>
      <c r="F1" s="2440"/>
    </row>
    <row r="2" spans="1:7" ht="13.5" customHeight="1" x14ac:dyDescent="0.2">
      <c r="A2" s="2436">
        <f>'Single Audit Cover'!E7</f>
        <v>4101134004</v>
      </c>
      <c r="B2" s="2436"/>
      <c r="C2" s="2436"/>
      <c r="D2" s="2436"/>
      <c r="E2" s="2436"/>
      <c r="F2" s="2436"/>
      <c r="G2" s="1272"/>
    </row>
    <row r="3" spans="1:7" ht="15.75" customHeight="1" x14ac:dyDescent="0.2">
      <c r="A3" s="2441" t="s">
        <v>1271</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7"/>
      <c r="D5" s="317"/>
    </row>
    <row r="6" spans="1:7" ht="13.5" customHeight="1" x14ac:dyDescent="0.2">
      <c r="A6" s="1273" t="s">
        <v>1728</v>
      </c>
      <c r="C6" s="317"/>
      <c r="D6" s="317"/>
    </row>
    <row r="7" spans="1:7" ht="60.95" customHeight="1" x14ac:dyDescent="0.2">
      <c r="A7" s="2439" t="s">
        <v>1729</v>
      </c>
      <c r="B7" s="2439"/>
      <c r="C7" s="2439"/>
      <c r="D7" s="2439"/>
      <c r="E7" s="2439"/>
      <c r="F7" s="2439"/>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9" t="s">
        <v>1731</v>
      </c>
      <c r="B13" s="2439"/>
      <c r="C13" s="2439"/>
      <c r="D13" s="2439"/>
      <c r="E13" s="2439"/>
      <c r="F13" s="2439"/>
    </row>
    <row r="14" spans="1:7" ht="9.75" customHeight="1" x14ac:dyDescent="0.2">
      <c r="C14" s="1257"/>
      <c r="D14" s="1257"/>
    </row>
    <row r="15" spans="1:7" ht="13.5" customHeight="1" x14ac:dyDescent="0.2">
      <c r="C15" s="1846" t="s">
        <v>1270</v>
      </c>
      <c r="D15" s="2444" t="s">
        <v>1269</v>
      </c>
      <c r="E15" s="2444"/>
      <c r="F15" s="2444"/>
    </row>
    <row r="16" spans="1:7" ht="13.5" customHeight="1" x14ac:dyDescent="0.2">
      <c r="A16" s="1279"/>
      <c r="B16" s="1273" t="s">
        <v>1268</v>
      </c>
      <c r="C16" s="1846" t="s">
        <v>1267</v>
      </c>
      <c r="D16" s="2445" t="s">
        <v>1588</v>
      </c>
      <c r="E16" s="2445"/>
      <c r="F16" s="2445"/>
    </row>
    <row r="17" spans="1:6" ht="20.45" customHeight="1" x14ac:dyDescent="0.2">
      <c r="A17" s="1280"/>
      <c r="B17" s="1281"/>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7" t="s">
        <v>1732</v>
      </c>
      <c r="B32" s="2447"/>
      <c r="C32" s="2447"/>
      <c r="D32" s="2447"/>
      <c r="E32" s="2447"/>
      <c r="F32" s="2447"/>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8">
        <f>+C33+C34</f>
        <v>0</v>
      </c>
      <c r="F34" s="244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0" t="s">
        <v>1590</v>
      </c>
      <c r="C49" s="2450"/>
      <c r="D49" s="2450"/>
      <c r="E49" s="1396"/>
    </row>
    <row r="50" spans="1:5" s="1297" customFormat="1" ht="3.75" customHeight="1" x14ac:dyDescent="0.2">
      <c r="A50" s="1296"/>
      <c r="B50" s="1845"/>
      <c r="C50" s="1845"/>
      <c r="D50" s="1845"/>
      <c r="E50" s="1396"/>
    </row>
    <row r="51" spans="1:5" s="1297" customFormat="1" ht="20.25" customHeight="1" x14ac:dyDescent="0.2">
      <c r="A51" s="1298">
        <v>6</v>
      </c>
      <c r="B51" s="2446" t="s">
        <v>1551</v>
      </c>
      <c r="C51" s="2446"/>
      <c r="D51" s="2446"/>
    </row>
    <row r="52" spans="1:5" ht="14.25" customHeight="1" x14ac:dyDescent="0.2">
      <c r="A52" s="1298"/>
      <c r="B52" s="2446"/>
      <c r="C52" s="2446"/>
      <c r="D52" s="2446"/>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topLeftCell="A48" colorId="8" zoomScale="110" zoomScaleNormal="110" workbookViewId="0">
      <selection activeCell="V43" sqref="V4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2075</v>
      </c>
      <c r="C53" s="179">
        <v>22</v>
      </c>
      <c r="D53" s="247" t="s">
        <v>1462</v>
      </c>
      <c r="E53" s="248"/>
      <c r="F53" s="249"/>
      <c r="G53" s="249" t="s">
        <v>1461</v>
      </c>
      <c r="H53" s="250">
        <v>35612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2064</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V43" sqref="V43"/>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SHIRLAND CCSD 134</v>
      </c>
      <c r="C1" s="2456"/>
      <c r="D1" s="2456"/>
      <c r="E1" s="2456"/>
      <c r="F1" s="2456"/>
      <c r="G1" s="2456"/>
      <c r="H1" s="2456"/>
      <c r="I1" s="2456"/>
      <c r="J1" s="1406"/>
    </row>
    <row r="2" spans="2:10" s="317" customFormat="1" ht="12.75" customHeight="1" x14ac:dyDescent="0.2">
      <c r="B2" s="2457">
        <f>'Single Audit Cover'!E7</f>
        <v>4101134004</v>
      </c>
      <c r="C2" s="2458"/>
      <c r="D2" s="2458"/>
      <c r="E2" s="2458"/>
      <c r="F2" s="2458"/>
      <c r="G2" s="2458"/>
      <c r="H2" s="2458"/>
      <c r="I2" s="2458"/>
      <c r="J2" s="1406"/>
    </row>
    <row r="3" spans="2:10" s="317" customFormat="1" ht="12.75" customHeight="1" x14ac:dyDescent="0.2">
      <c r="B3" s="2459" t="s">
        <v>1285</v>
      </c>
      <c r="C3" s="2460"/>
      <c r="D3" s="2460"/>
      <c r="E3" s="2460"/>
      <c r="F3" s="2460"/>
      <c r="G3" s="2460"/>
      <c r="H3" s="2460"/>
      <c r="I3" s="2460"/>
      <c r="J3" s="1407"/>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9" t="s">
        <v>1284</v>
      </c>
      <c r="C7" s="2460"/>
      <c r="D7" s="2460"/>
      <c r="E7" s="2460"/>
      <c r="F7" s="2460"/>
      <c r="G7" s="2460"/>
      <c r="H7" s="2460"/>
      <c r="I7" s="246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1"/>
      <c r="D11" s="246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2"/>
      <c r="E29" s="2462"/>
      <c r="F29" s="2462"/>
      <c r="G29" s="2462"/>
      <c r="H29" s="2462"/>
      <c r="I29" s="2462"/>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3" t="s">
        <v>1751</v>
      </c>
      <c r="D37" s="2464"/>
      <c r="E37" s="2464"/>
      <c r="F37" s="2465"/>
      <c r="G37" s="2463" t="s">
        <v>1592</v>
      </c>
      <c r="H37" s="2464"/>
      <c r="I37" s="2465"/>
    </row>
    <row r="38" spans="2:9" ht="16.5" customHeight="1" x14ac:dyDescent="0.2">
      <c r="B38" s="1428"/>
      <c r="C38" s="2451"/>
      <c r="D38" s="2452"/>
      <c r="E38" s="2452"/>
      <c r="F38" s="2453"/>
      <c r="G38" s="2466"/>
      <c r="H38" s="2467"/>
      <c r="I38" s="2468"/>
    </row>
    <row r="39" spans="2:9" ht="16.5" customHeight="1" x14ac:dyDescent="0.2">
      <c r="B39" s="1428"/>
      <c r="C39" s="2451"/>
      <c r="D39" s="2452"/>
      <c r="E39" s="2452"/>
      <c r="F39" s="2453"/>
      <c r="G39" s="2454"/>
      <c r="H39" s="2454"/>
      <c r="I39" s="2454"/>
    </row>
    <row r="40" spans="2:9" ht="16.5" customHeight="1" x14ac:dyDescent="0.2">
      <c r="B40" s="1428"/>
      <c r="C40" s="2451"/>
      <c r="D40" s="2452"/>
      <c r="E40" s="2452"/>
      <c r="F40" s="2453"/>
      <c r="G40" s="2454"/>
      <c r="H40" s="2454"/>
      <c r="I40" s="2454"/>
    </row>
    <row r="41" spans="2:9" ht="16.5" customHeight="1" x14ac:dyDescent="0.2">
      <c r="B41" s="1428"/>
      <c r="C41" s="2451"/>
      <c r="D41" s="2452"/>
      <c r="E41" s="2452"/>
      <c r="F41" s="2453"/>
      <c r="G41" s="2454"/>
      <c r="H41" s="2454"/>
      <c r="I41" s="2454"/>
    </row>
    <row r="42" spans="2:9" ht="16.5" customHeight="1" x14ac:dyDescent="0.2">
      <c r="B42" s="1428"/>
      <c r="C42" s="2451"/>
      <c r="D42" s="2452"/>
      <c r="E42" s="2452"/>
      <c r="F42" s="2453"/>
      <c r="G42" s="2454"/>
      <c r="H42" s="2454"/>
      <c r="I42" s="2454"/>
    </row>
    <row r="43" spans="2:9" ht="16.5" customHeight="1" x14ac:dyDescent="0.2">
      <c r="B43" s="1428"/>
      <c r="C43" s="2469" t="s">
        <v>1593</v>
      </c>
      <c r="D43" s="2470"/>
      <c r="E43" s="2470"/>
      <c r="F43" s="2471"/>
      <c r="G43" s="2472">
        <f>SUM(G38:I42)</f>
        <v>0</v>
      </c>
      <c r="H43" s="2472"/>
      <c r="I43" s="2472"/>
    </row>
    <row r="44" spans="2:9" ht="12.75" customHeight="1" x14ac:dyDescent="0.2"/>
    <row r="45" spans="2:9" ht="12.75" customHeight="1" x14ac:dyDescent="0.2">
      <c r="B45" s="1419" t="s">
        <v>1841</v>
      </c>
      <c r="D45" s="2473">
        <v>0</v>
      </c>
      <c r="E45" s="247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5"/>
      <c r="F49" s="2475"/>
      <c r="G49" s="247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V43" sqref="V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SHIRLAND CCSD 134</v>
      </c>
      <c r="C1" s="2455"/>
      <c r="D1" s="2455"/>
      <c r="E1" s="2455"/>
      <c r="F1" s="2455"/>
      <c r="G1" s="2455"/>
      <c r="H1" s="2455"/>
      <c r="I1" s="2455"/>
      <c r="J1" s="2455"/>
      <c r="K1" s="2455"/>
      <c r="L1" s="1371"/>
      <c r="M1" s="1371"/>
    </row>
    <row r="2" spans="1:13" ht="12" customHeight="1" x14ac:dyDescent="0.2">
      <c r="B2" s="2457">
        <f>'Single Audit Cover'!E7</f>
        <v>4101134004</v>
      </c>
      <c r="C2" s="2457"/>
      <c r="D2" s="2457"/>
      <c r="E2" s="2457"/>
      <c r="F2" s="2457"/>
      <c r="G2" s="2457"/>
      <c r="H2" s="2457"/>
      <c r="I2" s="2457"/>
      <c r="J2" s="2457"/>
      <c r="K2" s="2457"/>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7"/>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1"/>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6"/>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V43" sqref="V4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SHIRLAND CCSD 134</v>
      </c>
      <c r="C1" s="2482"/>
      <c r="D1" s="2482"/>
      <c r="E1" s="2482"/>
      <c r="F1" s="2482"/>
      <c r="G1" s="2482"/>
      <c r="H1" s="2482"/>
      <c r="I1" s="2482"/>
      <c r="J1" s="2482"/>
      <c r="K1" s="2482"/>
      <c r="L1" s="1449"/>
    </row>
    <row r="2" spans="1:12" ht="12.75" customHeight="1" x14ac:dyDescent="0.2">
      <c r="B2" s="2483">
        <f>'Single Audit Cover'!E7</f>
        <v>4101134004</v>
      </c>
      <c r="C2" s="2483"/>
      <c r="D2" s="2483"/>
      <c r="E2" s="2483"/>
      <c r="F2" s="2483"/>
      <c r="G2" s="2483"/>
      <c r="H2" s="2483"/>
      <c r="I2" s="2483"/>
      <c r="J2" s="2483"/>
      <c r="K2" s="2483"/>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2"/>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c r="E14" s="2485"/>
      <c r="F14" s="2485"/>
      <c r="H14" s="1459" t="s">
        <v>1303</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c r="E16" s="2486"/>
      <c r="F16" s="2486"/>
      <c r="G16" s="2486"/>
      <c r="H16" s="2486"/>
      <c r="I16" s="2486"/>
      <c r="J16" s="2486"/>
      <c r="K16" s="2486"/>
      <c r="L16" s="322"/>
    </row>
    <row r="17" spans="2:12" ht="13.5" customHeight="1" x14ac:dyDescent="0.2">
      <c r="B17" s="1384" t="s">
        <v>1301</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V43" sqref="V4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5" t="str">
        <f>'Single Audit Cover'!A7</f>
        <v>SHIRLAND CCSD 134</v>
      </c>
      <c r="C1" s="2455"/>
      <c r="D1" s="2455"/>
      <c r="E1" s="1469"/>
    </row>
    <row r="2" spans="2:5" s="1279" customFormat="1" ht="12.75" customHeight="1" x14ac:dyDescent="0.2">
      <c r="B2" s="2457">
        <f>'Single Audit Cover'!E7</f>
        <v>4101134004</v>
      </c>
      <c r="C2" s="2457"/>
      <c r="D2" s="2457"/>
      <c r="E2" s="1470"/>
    </row>
    <row r="3" spans="2:5" ht="12.75" customHeight="1" x14ac:dyDescent="0.2">
      <c r="B3" s="2478" t="s">
        <v>1766</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topLeftCell="A27" colorId="8" zoomScale="110" zoomScaleNormal="110" workbookViewId="0">
      <selection activeCell="V43" sqref="V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31767090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3.1570000000000001E-2</v>
      </c>
      <c r="E10" s="356" t="s">
        <v>1005</v>
      </c>
      <c r="F10" s="355">
        <v>5.365E-3</v>
      </c>
      <c r="G10" s="356" t="s">
        <v>1005</v>
      </c>
      <c r="H10" s="355">
        <v>8.1599999999999999E-4</v>
      </c>
      <c r="I10" s="356" t="s">
        <v>1006</v>
      </c>
      <c r="J10" s="1732">
        <f>ROUND(D10+F10+H10,5)</f>
        <v>3.7749999999999999E-2</v>
      </c>
      <c r="K10" s="222"/>
      <c r="L10" s="355">
        <v>0</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1133743</v>
      </c>
      <c r="E16" s="356"/>
      <c r="F16" s="1733">
        <f>SUM('Acct Summary 7-8'!C17,'Acct Summary 7-8'!D17,'Acct Summary 7-8'!F17)</f>
        <v>1496470</v>
      </c>
      <c r="G16" s="356"/>
      <c r="H16" s="1733">
        <f>SUM(D16-F16)</f>
        <v>-362727</v>
      </c>
      <c r="I16" s="222"/>
      <c r="J16" s="1733">
        <f>SUM('Acct Summary 7-8'!C81,'Acct Summary 7-8'!D81,'Acct Summary 7-8'!F81,'Acct Summary 7-8'!I81)</f>
        <v>1127267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586</v>
      </c>
      <c r="D31" s="237" t="s">
        <v>1072</v>
      </c>
      <c r="E31" s="222"/>
      <c r="F31" s="222"/>
      <c r="G31" s="363"/>
      <c r="H31" s="1735">
        <f>IF(B31="X",(J7*0.069),IF(B32="X",(J7*0.138),"Enter x in a.or b."))</f>
        <v>2191929.21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t="s">
        <v>2107</v>
      </c>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zoomScale="110" zoomScaleNormal="110" workbookViewId="0">
      <selection activeCell="V43" sqref="V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SHIRLAND CCSD 134</v>
      </c>
      <c r="E7" s="391"/>
      <c r="G7" s="252"/>
      <c r="H7" s="387"/>
      <c r="I7" s="387"/>
      <c r="J7" s="387"/>
      <c r="K7" s="387"/>
      <c r="L7" s="329"/>
      <c r="M7" s="329"/>
      <c r="N7" s="329"/>
      <c r="O7" s="329"/>
      <c r="P7" s="329"/>
    </row>
    <row r="8" spans="1:18" ht="12.75" x14ac:dyDescent="0.2">
      <c r="A8" s="329"/>
      <c r="B8" s="329"/>
      <c r="C8" s="389" t="s">
        <v>1125</v>
      </c>
      <c r="D8" s="392">
        <f>COVER!A13</f>
        <v>4101134004</v>
      </c>
      <c r="E8" s="393"/>
      <c r="G8" s="329"/>
      <c r="H8" s="329"/>
      <c r="I8" s="329"/>
      <c r="J8" s="329"/>
      <c r="K8" s="329"/>
      <c r="L8" s="329"/>
      <c r="M8" s="329"/>
      <c r="N8" s="329"/>
      <c r="O8" s="329"/>
      <c r="P8" s="329"/>
    </row>
    <row r="9" spans="1:18" ht="12.75" x14ac:dyDescent="0.2">
      <c r="A9" s="329"/>
      <c r="B9" s="329"/>
      <c r="C9" s="389" t="s">
        <v>713</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1127267</v>
      </c>
      <c r="I12" s="404"/>
      <c r="J12" s="404"/>
      <c r="K12" s="405">
        <f>TRUNC((H12/H13*100000),5)/100000</f>
        <v>0.99428794700000001</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1133743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1</v>
      </c>
      <c r="P16" s="216"/>
      <c r="R16" s="384"/>
    </row>
    <row r="17" spans="1:18" s="408" customFormat="1" ht="11.25" x14ac:dyDescent="0.2">
      <c r="A17" s="218"/>
      <c r="B17" s="401"/>
      <c r="C17" s="218" t="s">
        <v>797</v>
      </c>
      <c r="D17" s="218"/>
      <c r="E17" s="218"/>
      <c r="F17" s="218" t="s">
        <v>444</v>
      </c>
      <c r="G17" s="402"/>
      <c r="H17" s="403">
        <f>SUM('Acct Summary 7-8'!C17+'Acct Summary 7-8'!D17+'Acct Summary 7-8'!F17)</f>
        <v>1496470</v>
      </c>
      <c r="I17" s="404"/>
      <c r="J17" s="416"/>
      <c r="K17" s="405">
        <f>TRUNC((H17/H18*100000),5)/100000</f>
        <v>1.3199375872000001</v>
      </c>
      <c r="L17" s="406"/>
      <c r="M17" s="417" t="s">
        <v>1171</v>
      </c>
      <c r="O17" s="418" t="str">
        <f>IF(AND(O16="2", J20 &gt; 2),"1",IF(AND(O16 = "1", J20 &gt; 2),"2",IF(AND(O16="1", J20 &gt;1),"1","0")))</f>
        <v>2</v>
      </c>
      <c r="P17" s="218"/>
    </row>
    <row r="18" spans="1:18" s="408" customFormat="1" ht="11.25" x14ac:dyDescent="0.2">
      <c r="A18" s="218"/>
      <c r="B18" s="401"/>
      <c r="C18" s="2103" t="s">
        <v>1317</v>
      </c>
      <c r="D18" s="2104"/>
      <c r="E18" s="218"/>
      <c r="F18" s="419" t="s">
        <v>794</v>
      </c>
      <c r="G18" s="402"/>
      <c r="H18" s="403">
        <f>SUM('Acct Summary 7-8'!C8+'Acct Summary 7-8'!D8+'Acct Summary 7-8'!F8+'Acct Summary 7-8'!I8)+H19</f>
        <v>1133743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2.7951950000000001</v>
      </c>
      <c r="K20" s="405">
        <f>IF(K17&lt;=1,"0",IF(AND(O16="2", J20 &gt; 2),TRUNC(((K12-0.1)/(K17-1)*100),5)/100,IF(AND(O16 = "1", J20 &gt; 2),TRUNC(((K12-0.1)/(K17-1)*100),5)/100,IF(AND(O16="1", J20 &gt;1),TRUNC(((K12-0.1)/(K17-1)*100),5)/100,""))))</f>
        <v>2.7951950000000001</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1127267</v>
      </c>
      <c r="I24" s="422"/>
      <c r="J24" s="422"/>
      <c r="K24" s="423">
        <f>TRUNC(((H24/H25*100000)/100000),2)</f>
        <v>271.18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4156.8611099999998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1019326.50038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2191929.21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colorId="8" zoomScale="90" zoomScaleNormal="90" workbookViewId="0">
      <pane ySplit="2" topLeftCell="A21" activePane="bottomLeft" state="frozen"/>
      <selection activeCell="V43" sqref="V43"/>
      <selection pane="bottomLeft" activeCell="V43" sqref="V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v>672059</v>
      </c>
      <c r="D4" s="466">
        <v>309015</v>
      </c>
      <c r="E4" s="466"/>
      <c r="F4" s="466">
        <v>141963</v>
      </c>
      <c r="G4" s="466">
        <v>36160</v>
      </c>
      <c r="H4" s="466"/>
      <c r="I4" s="466">
        <v>4230</v>
      </c>
      <c r="J4" s="467">
        <v>13907</v>
      </c>
      <c r="K4" s="466">
        <v>41395</v>
      </c>
      <c r="L4" s="466">
        <v>28185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672059</v>
      </c>
      <c r="D13" s="1737">
        <f t="shared" ref="D13:L13" si="0">SUM(D4:D12)</f>
        <v>309015</v>
      </c>
      <c r="E13" s="1737">
        <f t="shared" si="0"/>
        <v>0</v>
      </c>
      <c r="F13" s="1737">
        <f t="shared" si="0"/>
        <v>141963</v>
      </c>
      <c r="G13" s="1737">
        <f t="shared" si="0"/>
        <v>36160</v>
      </c>
      <c r="H13" s="1737">
        <f t="shared" si="0"/>
        <v>0</v>
      </c>
      <c r="I13" s="1737">
        <f t="shared" si="0"/>
        <v>4230</v>
      </c>
      <c r="J13" s="1737">
        <f t="shared" si="0"/>
        <v>13907</v>
      </c>
      <c r="K13" s="1737">
        <f t="shared" si="0"/>
        <v>41395</v>
      </c>
      <c r="L13" s="1737">
        <f t="shared" si="0"/>
        <v>28185</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19481</v>
      </c>
      <c r="N16" s="484"/>
    </row>
    <row r="17" spans="1:14" s="485" customFormat="1" ht="12.75" customHeight="1" x14ac:dyDescent="0.2">
      <c r="A17" s="482" t="s">
        <v>1403</v>
      </c>
      <c r="B17" s="483">
        <v>230</v>
      </c>
      <c r="C17" s="477"/>
      <c r="D17" s="477"/>
      <c r="E17" s="477"/>
      <c r="F17" s="477"/>
      <c r="G17" s="477"/>
      <c r="H17" s="477"/>
      <c r="I17" s="477"/>
      <c r="J17" s="477"/>
      <c r="K17" s="477"/>
      <c r="L17" s="477"/>
      <c r="M17" s="467">
        <v>1054053</v>
      </c>
      <c r="N17" s="484"/>
    </row>
    <row r="18" spans="1:14" s="485" customFormat="1" ht="12.75" customHeight="1" x14ac:dyDescent="0.2">
      <c r="A18" s="482" t="s">
        <v>1404</v>
      </c>
      <c r="B18" s="483">
        <v>240</v>
      </c>
      <c r="C18" s="477"/>
      <c r="D18" s="477"/>
      <c r="E18" s="477"/>
      <c r="F18" s="477"/>
      <c r="G18" s="477"/>
      <c r="H18" s="477"/>
      <c r="I18" s="477"/>
      <c r="J18" s="477"/>
      <c r="K18" s="477"/>
      <c r="L18" s="477"/>
      <c r="M18" s="467">
        <v>12044</v>
      </c>
      <c r="N18" s="484"/>
    </row>
    <row r="19" spans="1:14" s="485" customFormat="1" ht="12.75" customHeight="1" x14ac:dyDescent="0.2">
      <c r="A19" s="482" t="s">
        <v>1405</v>
      </c>
      <c r="B19" s="483">
        <v>250</v>
      </c>
      <c r="C19" s="477"/>
      <c r="D19" s="477"/>
      <c r="E19" s="477"/>
      <c r="F19" s="477"/>
      <c r="G19" s="477"/>
      <c r="H19" s="477"/>
      <c r="I19" s="477"/>
      <c r="J19" s="477"/>
      <c r="K19" s="477"/>
      <c r="L19" s="477"/>
      <c r="M19" s="467">
        <v>561608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1647186</v>
      </c>
      <c r="N23" s="1688">
        <f>SUM(N21:N22)</f>
        <v>0</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28185</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28185</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v>6482</v>
      </c>
      <c r="H38" s="466"/>
      <c r="I38" s="466"/>
      <c r="J38" s="467"/>
      <c r="K38" s="466"/>
      <c r="L38" s="481"/>
      <c r="M38" s="497"/>
      <c r="N38" s="497"/>
    </row>
    <row r="39" spans="1:14" s="329" customFormat="1" ht="13.5" customHeight="1" x14ac:dyDescent="0.2">
      <c r="A39" s="496" t="s">
        <v>342</v>
      </c>
      <c r="B39" s="483">
        <v>730</v>
      </c>
      <c r="C39" s="466">
        <v>672059</v>
      </c>
      <c r="D39" s="466">
        <v>309015</v>
      </c>
      <c r="E39" s="466">
        <v>0</v>
      </c>
      <c r="F39" s="466">
        <v>141963</v>
      </c>
      <c r="G39" s="466">
        <v>29678</v>
      </c>
      <c r="H39" s="466"/>
      <c r="I39" s="466">
        <v>4230</v>
      </c>
      <c r="J39" s="467">
        <v>13907</v>
      </c>
      <c r="K39" s="466">
        <v>41395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1647186</v>
      </c>
      <c r="N40" s="497"/>
    </row>
    <row r="41" spans="1:14" ht="13.5" customHeight="1" thickBot="1" x14ac:dyDescent="0.25">
      <c r="A41" s="1736" t="s">
        <v>655</v>
      </c>
      <c r="B41" s="1706"/>
      <c r="C41" s="1688">
        <f>(SUM(C34,C37,C38,C39))</f>
        <v>672059</v>
      </c>
      <c r="D41" s="1688">
        <f t="shared" ref="D41:L41" si="2">SUM(D34,D37,D38:D39)</f>
        <v>309015</v>
      </c>
      <c r="E41" s="1688">
        <f t="shared" si="2"/>
        <v>0</v>
      </c>
      <c r="F41" s="1688">
        <f t="shared" si="2"/>
        <v>141963</v>
      </c>
      <c r="G41" s="1688">
        <f t="shared" si="2"/>
        <v>36160</v>
      </c>
      <c r="H41" s="1688">
        <f t="shared" si="2"/>
        <v>0</v>
      </c>
      <c r="I41" s="1688">
        <f t="shared" si="2"/>
        <v>4230</v>
      </c>
      <c r="J41" s="1688">
        <f t="shared" si="2"/>
        <v>13907</v>
      </c>
      <c r="K41" s="1688">
        <f t="shared" si="2"/>
        <v>41395</v>
      </c>
      <c r="L41" s="1688">
        <f t="shared" si="2"/>
        <v>28185</v>
      </c>
      <c r="M41" s="1688">
        <f>SUM(M40)</f>
        <v>1647186</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colorId="8" zoomScale="110" zoomScaleNormal="110" zoomScaleSheetLayoutView="100" workbookViewId="0">
      <pane ySplit="2" topLeftCell="A69" activePane="bottomLeft" state="frozen"/>
      <selection activeCell="V43" sqref="V43"/>
      <selection pane="bottomLeft" activeCell="V43" sqref="V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8" t="s">
        <v>1499</v>
      </c>
      <c r="B4" s="1929">
        <v>1000</v>
      </c>
      <c r="C4" s="1742">
        <f>'Revenues 9-14'!C109</f>
        <v>684594</v>
      </c>
      <c r="D4" s="1742">
        <f>'Revenues 9-14'!D109</f>
        <v>114599</v>
      </c>
      <c r="E4" s="1742">
        <f>'Revenues 9-14'!E109</f>
        <v>0</v>
      </c>
      <c r="F4" s="1742">
        <f>'Revenues 9-14'!F109</f>
        <v>13689</v>
      </c>
      <c r="G4" s="1742">
        <f>'Revenues 9-14'!G109</f>
        <v>35413</v>
      </c>
      <c r="H4" s="1742">
        <f>'Revenues 9-14'!H109</f>
        <v>0</v>
      </c>
      <c r="I4" s="1742">
        <f>'Revenues 9-14'!I109</f>
        <v>79</v>
      </c>
      <c r="J4" s="1742">
        <f>'Revenues 9-14'!J109</f>
        <v>19557</v>
      </c>
      <c r="K4" s="1742">
        <f>'Revenues 9-14'!K109</f>
        <v>7265</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113163</v>
      </c>
      <c r="D6" s="1743">
        <f>'Revenues 9-14'!D170</f>
        <v>0</v>
      </c>
      <c r="E6" s="1743">
        <f>'Revenues 9-14'!E170</f>
        <v>0</v>
      </c>
      <c r="F6" s="1743">
        <f>'Revenues 9-14'!F170</f>
        <v>51183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156436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954193</v>
      </c>
      <c r="D8" s="1688">
        <f t="shared" ref="D8:K8" si="0">SUM(D4:D7)</f>
        <v>114599</v>
      </c>
      <c r="E8" s="1688">
        <f t="shared" si="0"/>
        <v>0</v>
      </c>
      <c r="F8" s="1688">
        <f t="shared" si="0"/>
        <v>64872</v>
      </c>
      <c r="G8" s="1688">
        <f t="shared" si="0"/>
        <v>35413</v>
      </c>
      <c r="H8" s="1688">
        <f t="shared" si="0"/>
        <v>0</v>
      </c>
      <c r="I8" s="1688">
        <f t="shared" si="0"/>
        <v>79</v>
      </c>
      <c r="J8" s="1688">
        <f t="shared" si="0"/>
        <v>19557</v>
      </c>
      <c r="K8" s="1688">
        <f t="shared" si="0"/>
        <v>7265</v>
      </c>
      <c r="L8" s="347"/>
    </row>
    <row r="9" spans="1:13" ht="15.75" thickTop="1" x14ac:dyDescent="0.2">
      <c r="A9" s="514" t="s">
        <v>1653</v>
      </c>
      <c r="B9" s="515">
        <v>3998</v>
      </c>
      <c r="C9" s="481">
        <v>492688</v>
      </c>
      <c r="D9" s="516"/>
      <c r="E9" s="481"/>
      <c r="F9" s="481"/>
      <c r="G9" s="517"/>
      <c r="H9" s="481"/>
      <c r="I9" s="509" t="s">
        <v>1169</v>
      </c>
      <c r="J9" s="478"/>
      <c r="K9" s="481"/>
      <c r="L9" s="347"/>
    </row>
    <row r="10" spans="1:13" s="519" customFormat="1" ht="13.5" thickBot="1" x14ac:dyDescent="0.25">
      <c r="A10" s="1736" t="s">
        <v>1173</v>
      </c>
      <c r="B10" s="1709"/>
      <c r="C10" s="1688">
        <f>SUM(C8:C9)</f>
        <v>1446881</v>
      </c>
      <c r="D10" s="1688">
        <f t="shared" ref="D10:K10" si="1">SUM(D8:D9)</f>
        <v>114599</v>
      </c>
      <c r="E10" s="1688">
        <f t="shared" si="1"/>
        <v>0</v>
      </c>
      <c r="F10" s="1688">
        <f t="shared" si="1"/>
        <v>64872</v>
      </c>
      <c r="G10" s="1688">
        <f t="shared" si="1"/>
        <v>35413</v>
      </c>
      <c r="H10" s="1688">
        <f t="shared" si="1"/>
        <v>0</v>
      </c>
      <c r="I10" s="1688">
        <f t="shared" si="1"/>
        <v>79</v>
      </c>
      <c r="J10" s="1688">
        <f t="shared" si="1"/>
        <v>19557</v>
      </c>
      <c r="K10" s="1688">
        <f t="shared" si="1"/>
        <v>7265</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762927</v>
      </c>
      <c r="D12" s="520" t="s">
        <v>1169</v>
      </c>
      <c r="E12" s="468" t="s">
        <v>1169</v>
      </c>
      <c r="F12" s="468" t="s">
        <v>1169</v>
      </c>
      <c r="G12" s="1742">
        <f>'Expenditures 15-22'!K229</f>
        <v>14519</v>
      </c>
      <c r="H12" s="521"/>
      <c r="I12" s="468" t="s">
        <v>1169</v>
      </c>
      <c r="J12" s="468" t="s">
        <v>1169</v>
      </c>
      <c r="K12" s="521" t="s">
        <v>1169</v>
      </c>
      <c r="L12" s="347"/>
    </row>
    <row r="13" spans="1:13" ht="15.75" customHeight="1" x14ac:dyDescent="0.2">
      <c r="A13" s="1576" t="s">
        <v>457</v>
      </c>
      <c r="B13" s="1578">
        <v>2000</v>
      </c>
      <c r="C13" s="1743">
        <f>'Expenditures 15-22'!K74</f>
        <v>384964</v>
      </c>
      <c r="D13" s="1743">
        <f>'Expenditures 15-22'!K129</f>
        <v>146133</v>
      </c>
      <c r="E13" s="469" t="s">
        <v>1169</v>
      </c>
      <c r="F13" s="1743">
        <f>'Expenditures 15-22'!K184</f>
        <v>104822</v>
      </c>
      <c r="G13" s="1743">
        <f>'Expenditures 15-22'!K279</f>
        <v>22087</v>
      </c>
      <c r="H13" s="1743">
        <f>'Expenditures 15-22'!K303</f>
        <v>0</v>
      </c>
      <c r="I13" s="468" t="s">
        <v>1169</v>
      </c>
      <c r="J13" s="1743">
        <f>'Expenditures 15-22'!K330</f>
        <v>29881</v>
      </c>
      <c r="K13" s="1747">
        <f>'Expenditures 15-22'!K352</f>
        <v>0</v>
      </c>
      <c r="L13" s="347"/>
    </row>
    <row r="14" spans="1:13" ht="15.75" customHeight="1" x14ac:dyDescent="0.2">
      <c r="A14" s="1576" t="s">
        <v>449</v>
      </c>
      <c r="B14" s="1578">
        <v>3000</v>
      </c>
      <c r="C14" s="1743">
        <f>'Expenditures 15-22'!K75</f>
        <v>539</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92944</v>
      </c>
      <c r="D15" s="1743">
        <f>'Expenditures 15-22'!K139</f>
        <v>0</v>
      </c>
      <c r="E15" s="1743">
        <f>'Expenditures 15-22'!K160</f>
        <v>0</v>
      </c>
      <c r="F15" s="1743">
        <f>'Expenditures 15-22'!K196</f>
        <v>4141</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1241374</v>
      </c>
      <c r="D17" s="1688">
        <f t="shared" si="2"/>
        <v>146133</v>
      </c>
      <c r="E17" s="1688">
        <f t="shared" si="2"/>
        <v>0</v>
      </c>
      <c r="F17" s="1688">
        <f t="shared" si="2"/>
        <v>108963</v>
      </c>
      <c r="G17" s="1688">
        <f t="shared" si="2"/>
        <v>36606</v>
      </c>
      <c r="H17" s="1688">
        <f t="shared" si="2"/>
        <v>0</v>
      </c>
      <c r="I17" s="468"/>
      <c r="J17" s="1688">
        <f>SUM(J12:J16)</f>
        <v>29881</v>
      </c>
      <c r="K17" s="1688">
        <f>SUM(K12:K16)</f>
        <v>0</v>
      </c>
      <c r="L17" s="347"/>
    </row>
    <row r="18" spans="1:12" ht="15" customHeight="1" thickTop="1" x14ac:dyDescent="0.2">
      <c r="A18" s="1744" t="s">
        <v>1654</v>
      </c>
      <c r="B18" s="1745">
        <v>4180</v>
      </c>
      <c r="C18" s="1742">
        <f t="shared" ref="C18:H18" si="3">C9</f>
        <v>492688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1734062</v>
      </c>
      <c r="D19" s="1688">
        <f t="shared" si="4"/>
        <v>146133</v>
      </c>
      <c r="E19" s="1688">
        <f t="shared" si="4"/>
        <v>0</v>
      </c>
      <c r="F19" s="1688">
        <f t="shared" si="4"/>
        <v>108963</v>
      </c>
      <c r="G19" s="1688">
        <f t="shared" si="4"/>
        <v>36606</v>
      </c>
      <c r="H19" s="1688">
        <f t="shared" si="4"/>
        <v>0</v>
      </c>
      <c r="I19" s="468"/>
      <c r="J19" s="1688">
        <f>SUM(J17:J18)</f>
        <v>29881</v>
      </c>
      <c r="K19" s="1688">
        <f>SUM(K17:K18)</f>
        <v>0</v>
      </c>
      <c r="L19" s="347"/>
    </row>
    <row r="20" spans="1:12" ht="16.5" thickTop="1" thickBot="1" x14ac:dyDescent="0.25">
      <c r="A20" s="2128" t="s">
        <v>1655</v>
      </c>
      <c r="B20" s="2129"/>
      <c r="C20" s="1746">
        <f>C8-C17</f>
        <v>-287181</v>
      </c>
      <c r="D20" s="1746">
        <f t="shared" ref="D20:K20" si="5">D8-D17</f>
        <v>-31534</v>
      </c>
      <c r="E20" s="1746">
        <f t="shared" si="5"/>
        <v>0</v>
      </c>
      <c r="F20" s="1746">
        <f t="shared" si="5"/>
        <v>-44091</v>
      </c>
      <c r="G20" s="1746">
        <f t="shared" si="5"/>
        <v>-1193</v>
      </c>
      <c r="H20" s="1746">
        <f t="shared" si="5"/>
        <v>0</v>
      </c>
      <c r="I20" s="1746">
        <f t="shared" si="5"/>
        <v>79</v>
      </c>
      <c r="J20" s="1746">
        <f t="shared" si="5"/>
        <v>-10324</v>
      </c>
      <c r="K20" s="1746">
        <f t="shared" si="5"/>
        <v>7265</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v>68</v>
      </c>
      <c r="L43" s="524"/>
    </row>
    <row r="44" spans="1:12" s="485" customFormat="1" ht="13.5" customHeight="1" thickBot="1" x14ac:dyDescent="0.25">
      <c r="A44" s="2142" t="s">
        <v>374</v>
      </c>
      <c r="B44" s="2143"/>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68</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v>68</v>
      </c>
      <c r="F75" s="532"/>
      <c r="G75" s="532"/>
      <c r="H75" s="532"/>
      <c r="I75" s="530"/>
      <c r="J75" s="530"/>
      <c r="K75" s="532"/>
      <c r="L75" s="524"/>
    </row>
    <row r="76" spans="1:12" s="485" customFormat="1" ht="14.25" thickTop="1" thickBot="1" x14ac:dyDescent="0.25">
      <c r="A76" s="2118" t="s">
        <v>440</v>
      </c>
      <c r="B76" s="2119"/>
      <c r="C76" s="1703">
        <f t="shared" ref="C76:K76" si="7">SUM(C47:C75)</f>
        <v>0</v>
      </c>
      <c r="D76" s="1703">
        <f t="shared" si="7"/>
        <v>0</v>
      </c>
      <c r="E76" s="1703">
        <f t="shared" si="7"/>
        <v>68</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0" t="s">
        <v>1177</v>
      </c>
      <c r="B77" s="2121"/>
      <c r="C77" s="1703">
        <f t="shared" ref="C77:K77" si="8">C44-C76</f>
        <v>0</v>
      </c>
      <c r="D77" s="1703">
        <f t="shared" si="8"/>
        <v>0</v>
      </c>
      <c r="E77" s="1703">
        <f t="shared" si="8"/>
        <v>-68</v>
      </c>
      <c r="F77" s="1703">
        <f t="shared" si="8"/>
        <v>0</v>
      </c>
      <c r="G77" s="1703">
        <f t="shared" si="8"/>
        <v>0</v>
      </c>
      <c r="H77" s="1703">
        <f t="shared" si="8"/>
        <v>0</v>
      </c>
      <c r="I77" s="1703">
        <f t="shared" si="8"/>
        <v>0</v>
      </c>
      <c r="J77" s="1703">
        <f t="shared" si="8"/>
        <v>0</v>
      </c>
      <c r="K77" s="1703">
        <f t="shared" si="8"/>
        <v>68</v>
      </c>
      <c r="L77" s="347"/>
    </row>
    <row r="78" spans="1:12" ht="21.75" customHeight="1" thickTop="1" thickBot="1" x14ac:dyDescent="0.25">
      <c r="A78" s="2124" t="s">
        <v>597</v>
      </c>
      <c r="B78" s="2125"/>
      <c r="C78" s="1702">
        <f t="shared" ref="C78:K78" si="9">C20+C77</f>
        <v>-287181</v>
      </c>
      <c r="D78" s="1702">
        <f t="shared" si="9"/>
        <v>-31534</v>
      </c>
      <c r="E78" s="1702">
        <f t="shared" si="9"/>
        <v>-68</v>
      </c>
      <c r="F78" s="1702">
        <f t="shared" si="9"/>
        <v>-44091</v>
      </c>
      <c r="G78" s="1702">
        <f t="shared" si="9"/>
        <v>-1193</v>
      </c>
      <c r="H78" s="1702">
        <f t="shared" si="9"/>
        <v>0</v>
      </c>
      <c r="I78" s="1702">
        <f t="shared" si="9"/>
        <v>79</v>
      </c>
      <c r="J78" s="1702">
        <f t="shared" si="9"/>
        <v>-10324</v>
      </c>
      <c r="K78" s="1702">
        <f t="shared" si="9"/>
        <v>7333</v>
      </c>
      <c r="L78" s="533"/>
    </row>
    <row r="79" spans="1:12" ht="13.5" thickTop="1" x14ac:dyDescent="0.2">
      <c r="A79" s="1494" t="s">
        <v>1949</v>
      </c>
      <c r="B79" s="534"/>
      <c r="C79" s="478">
        <v>959240</v>
      </c>
      <c r="D79" s="535">
        <v>340549</v>
      </c>
      <c r="E79" s="535">
        <v>68</v>
      </c>
      <c r="F79" s="535">
        <v>186054</v>
      </c>
      <c r="G79" s="535">
        <v>37353</v>
      </c>
      <c r="H79" s="535"/>
      <c r="I79" s="535">
        <v>4151</v>
      </c>
      <c r="J79" s="535">
        <v>24231</v>
      </c>
      <c r="K79" s="535">
        <v>34062</v>
      </c>
      <c r="L79" s="347"/>
    </row>
    <row r="80" spans="1:12" x14ac:dyDescent="0.2">
      <c r="A80" s="2130" t="s">
        <v>1795</v>
      </c>
      <c r="B80" s="2131"/>
      <c r="C80" s="467"/>
      <c r="D80" s="467"/>
      <c r="E80" s="467"/>
      <c r="F80" s="467"/>
      <c r="G80" s="467"/>
      <c r="H80" s="467"/>
      <c r="I80" s="467"/>
      <c r="J80" s="467"/>
      <c r="K80" s="467"/>
      <c r="L80" s="347"/>
    </row>
    <row r="81" spans="1:12" ht="13.5" thickBot="1" x14ac:dyDescent="0.25">
      <c r="A81" s="2122" t="s">
        <v>1950</v>
      </c>
      <c r="B81" s="2123"/>
      <c r="C81" s="1688">
        <f>(SUM(C78:C80))</f>
        <v>672059</v>
      </c>
      <c r="D81" s="1688">
        <f>SUM(D78:D80)</f>
        <v>309015</v>
      </c>
      <c r="E81" s="1688">
        <f t="shared" ref="E81:K81" si="10">SUM(E78:E80)</f>
        <v>0</v>
      </c>
      <c r="F81" s="1688">
        <f t="shared" si="10"/>
        <v>141963</v>
      </c>
      <c r="G81" s="1688">
        <f t="shared" si="10"/>
        <v>36160</v>
      </c>
      <c r="H81" s="1688">
        <f t="shared" si="10"/>
        <v>0</v>
      </c>
      <c r="I81" s="1688">
        <f t="shared" si="10"/>
        <v>4230</v>
      </c>
      <c r="J81" s="1688">
        <f t="shared" si="10"/>
        <v>13907</v>
      </c>
      <c r="K81" s="1688">
        <f t="shared" si="10"/>
        <v>41395</v>
      </c>
      <c r="L81" s="347"/>
    </row>
    <row r="82" spans="1:12" ht="0.75" customHeight="1" thickTop="1" thickBot="1" x14ac:dyDescent="0.25">
      <c r="A82" s="536" t="s">
        <v>343</v>
      </c>
      <c r="B82" s="537"/>
      <c r="C82" s="538">
        <f>(C81-C79)</f>
        <v>-287181</v>
      </c>
      <c r="D82" s="538">
        <f t="shared" ref="D82:K82" si="11">(D81-D79)</f>
        <v>-31534</v>
      </c>
      <c r="E82" s="538">
        <f t="shared" si="11"/>
        <v>-68</v>
      </c>
      <c r="F82" s="538">
        <f t="shared" si="11"/>
        <v>-44091</v>
      </c>
      <c r="G82" s="538">
        <f t="shared" si="11"/>
        <v>-1193</v>
      </c>
      <c r="H82" s="538">
        <f t="shared" si="11"/>
        <v>0</v>
      </c>
      <c r="I82" s="538">
        <f t="shared" si="11"/>
        <v>79</v>
      </c>
      <c r="J82" s="538">
        <f t="shared" si="11"/>
        <v>-10324</v>
      </c>
      <c r="K82" s="538">
        <f t="shared" si="11"/>
        <v>7333</v>
      </c>
    </row>
    <row r="83" spans="1:12" ht="14.25" hidden="1" thickTop="1" thickBot="1" x14ac:dyDescent="0.25">
      <c r="A83" s="539" t="s">
        <v>344</v>
      </c>
      <c r="B83" s="464"/>
      <c r="C83" s="540">
        <f>C82/C81</f>
        <v>-0.42731516131768194</v>
      </c>
      <c r="D83" s="540">
        <f t="shared" ref="D83:K83" si="12">D82/D81</f>
        <v>-0.10204682620584761</v>
      </c>
      <c r="E83" s="540" t="e">
        <f t="shared" si="12"/>
        <v>#DIV/0!</v>
      </c>
      <c r="F83" s="540">
        <f t="shared" si="12"/>
        <v>-0.31058092601593373</v>
      </c>
      <c r="G83" s="540">
        <f t="shared" si="12"/>
        <v>-3.2992256637168142E-2</v>
      </c>
      <c r="H83" s="540" t="e">
        <f t="shared" si="12"/>
        <v>#DIV/0!</v>
      </c>
      <c r="I83" s="540">
        <f t="shared" si="12"/>
        <v>1.867612293144208E-2</v>
      </c>
      <c r="J83" s="540">
        <f t="shared" si="12"/>
        <v>-0.74235996260875814</v>
      </c>
      <c r="K83" s="540">
        <f t="shared" si="12"/>
        <v>0.17714699842976206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topLeftCell="A166" colorId="8" zoomScaleNormal="100" zoomScaleSheetLayoutView="75" workbookViewId="0">
      <selection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1802</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608775</v>
      </c>
      <c r="D5" s="481">
        <v>109179</v>
      </c>
      <c r="E5" s="466"/>
      <c r="F5" s="548">
        <v>10449</v>
      </c>
      <c r="G5" s="466">
        <v>12810</v>
      </c>
      <c r="H5" s="466"/>
      <c r="I5" s="466"/>
      <c r="J5" s="467">
        <v>19373</v>
      </c>
      <c r="K5" s="466">
        <v>6551</v>
      </c>
    </row>
    <row r="6" spans="1:12" ht="15" x14ac:dyDescent="0.2">
      <c r="A6" s="463" t="s">
        <v>1662</v>
      </c>
      <c r="B6" s="470">
        <v>1130</v>
      </c>
      <c r="C6" s="466"/>
      <c r="D6" s="466"/>
      <c r="E6" s="475"/>
      <c r="F6" s="475"/>
      <c r="G6" s="468"/>
      <c r="H6" s="468"/>
      <c r="I6" s="468"/>
      <c r="J6" s="468"/>
      <c r="K6" s="468"/>
    </row>
    <row r="7" spans="1:12" x14ac:dyDescent="0.2">
      <c r="A7" s="463" t="s">
        <v>110</v>
      </c>
      <c r="B7" s="549">
        <v>1140</v>
      </c>
      <c r="C7" s="466">
        <v>2006</v>
      </c>
      <c r="D7" s="466"/>
      <c r="E7" s="468"/>
      <c r="F7" s="467"/>
      <c r="G7" s="467"/>
      <c r="H7" s="467"/>
      <c r="I7" s="468"/>
      <c r="J7" s="468"/>
      <c r="K7" s="468"/>
    </row>
    <row r="8" spans="1:12" x14ac:dyDescent="0.2">
      <c r="A8" s="463" t="s">
        <v>413</v>
      </c>
      <c r="B8" s="470">
        <v>1150</v>
      </c>
      <c r="C8" s="475"/>
      <c r="D8" s="475"/>
      <c r="E8" s="477"/>
      <c r="F8" s="477"/>
      <c r="G8" s="481">
        <v>18339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610781</v>
      </c>
      <c r="D12" s="1707">
        <f t="shared" si="0"/>
        <v>109179</v>
      </c>
      <c r="E12" s="1707">
        <f t="shared" si="0"/>
        <v>0</v>
      </c>
      <c r="F12" s="1707">
        <f t="shared" si="0"/>
        <v>10449</v>
      </c>
      <c r="G12" s="1707">
        <f t="shared" si="0"/>
        <v>31149</v>
      </c>
      <c r="H12" s="1707">
        <f t="shared" si="0"/>
        <v>0</v>
      </c>
      <c r="I12" s="1707">
        <f t="shared" si="0"/>
        <v>0</v>
      </c>
      <c r="J12" s="1707">
        <f t="shared" si="0"/>
        <v>19373</v>
      </c>
      <c r="K12" s="1688">
        <f t="shared" si="0"/>
        <v>6551</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19898</v>
      </c>
      <c r="D16" s="466"/>
      <c r="E16" s="466"/>
      <c r="F16" s="466"/>
      <c r="G16" s="466">
        <v>3556</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19898</v>
      </c>
      <c r="D18" s="1710">
        <f t="shared" ref="D18:K18" si="1">SUM(D14:D17)</f>
        <v>0</v>
      </c>
      <c r="E18" s="1710">
        <f t="shared" si="1"/>
        <v>0</v>
      </c>
      <c r="F18" s="1710">
        <f t="shared" si="1"/>
        <v>0</v>
      </c>
      <c r="G18" s="1710">
        <f t="shared" si="1"/>
        <v>3556</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16299</v>
      </c>
      <c r="D65" s="466">
        <v>5420</v>
      </c>
      <c r="E65" s="466"/>
      <c r="F65" s="467">
        <v>3240</v>
      </c>
      <c r="G65" s="466">
        <v>708</v>
      </c>
      <c r="H65" s="466"/>
      <c r="I65" s="466">
        <v>79</v>
      </c>
      <c r="J65" s="467">
        <v>184</v>
      </c>
      <c r="K65" s="466">
        <v>714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16299</v>
      </c>
      <c r="D67" s="1688">
        <f t="shared" ref="D67:K67" si="2">SUM(D65:D66)</f>
        <v>5420</v>
      </c>
      <c r="E67" s="1688">
        <f t="shared" si="2"/>
        <v>0</v>
      </c>
      <c r="F67" s="1688">
        <f t="shared" si="2"/>
        <v>3240</v>
      </c>
      <c r="G67" s="1688">
        <f t="shared" si="2"/>
        <v>708</v>
      </c>
      <c r="H67" s="1688">
        <f t="shared" si="2"/>
        <v>0</v>
      </c>
      <c r="I67" s="1688">
        <f t="shared" si="2"/>
        <v>79</v>
      </c>
      <c r="J67" s="1688">
        <f t="shared" si="2"/>
        <v>184</v>
      </c>
      <c r="K67" s="1688">
        <f t="shared" si="2"/>
        <v>714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19462</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2041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21503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7140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5967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13107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2212</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794</v>
      </c>
      <c r="D107" s="466"/>
      <c r="E107" s="466"/>
      <c r="F107" s="466"/>
      <c r="G107" s="466"/>
      <c r="H107" s="466"/>
      <c r="I107" s="466"/>
      <c r="J107" s="467"/>
      <c r="K107" s="466"/>
    </row>
    <row r="108" spans="1:12" ht="12.75" customHeight="1" thickBot="1" x14ac:dyDescent="0.25">
      <c r="A108" s="1708" t="s">
        <v>487</v>
      </c>
      <c r="B108" s="1712"/>
      <c r="C108" s="1707">
        <f>SUM(C95:C107)</f>
        <v>3006</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684594</v>
      </c>
      <c r="D109" s="1715">
        <f t="shared" si="4"/>
        <v>114599</v>
      </c>
      <c r="E109" s="1715">
        <f t="shared" si="4"/>
        <v>0</v>
      </c>
      <c r="F109" s="1715">
        <f t="shared" si="4"/>
        <v>13689</v>
      </c>
      <c r="G109" s="1715">
        <f t="shared" si="4"/>
        <v>35413</v>
      </c>
      <c r="H109" s="1715">
        <f t="shared" si="4"/>
        <v>0</v>
      </c>
      <c r="I109" s="1715">
        <f t="shared" si="4"/>
        <v>79</v>
      </c>
      <c r="J109" s="1715">
        <f t="shared" si="4"/>
        <v>19557</v>
      </c>
      <c r="K109" s="1702">
        <f t="shared" si="4"/>
        <v>7265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112943</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112943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220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34192</v>
      </c>
      <c r="G152" s="467"/>
      <c r="H152" s="468"/>
      <c r="I152" s="468"/>
      <c r="J152" s="468"/>
      <c r="K152" s="468"/>
    </row>
    <row r="153" spans="1:11" ht="12.75" customHeight="1" x14ac:dyDescent="0.2">
      <c r="A153" s="463" t="s">
        <v>1057</v>
      </c>
      <c r="B153" s="562">
        <v>3510</v>
      </c>
      <c r="C153" s="551"/>
      <c r="D153" s="466"/>
      <c r="E153" s="561"/>
      <c r="F153" s="466">
        <v>16991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51183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6" t="s">
        <v>398</v>
      </c>
      <c r="B169" s="2147"/>
      <c r="C169" s="1722">
        <f t="shared" ref="C169:K169" si="6">SUM(C132,C141,C145,C146:C150,C155,C156:C167,C168)</f>
        <v>220</v>
      </c>
      <c r="D169" s="1722">
        <f t="shared" si="6"/>
        <v>0</v>
      </c>
      <c r="E169" s="1722">
        <f t="shared" si="6"/>
        <v>0</v>
      </c>
      <c r="F169" s="1722">
        <f t="shared" si="6"/>
        <v>51183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113163</v>
      </c>
      <c r="D170" s="1715">
        <f t="shared" si="7"/>
        <v>0</v>
      </c>
      <c r="E170" s="1715">
        <f t="shared" si="7"/>
        <v>0</v>
      </c>
      <c r="F170" s="1715">
        <f t="shared" si="7"/>
        <v>51183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14112</v>
      </c>
      <c r="D180" s="466"/>
      <c r="E180" s="468"/>
      <c r="F180" s="466"/>
      <c r="G180" s="466"/>
      <c r="H180" s="466"/>
      <c r="I180" s="468"/>
      <c r="J180" s="468"/>
      <c r="K180" s="466"/>
    </row>
    <row r="181" spans="1:11" ht="13.5" thickBot="1" x14ac:dyDescent="0.25">
      <c r="A181" s="2154" t="s">
        <v>785</v>
      </c>
      <c r="B181" s="2155"/>
      <c r="C181" s="1707">
        <f>SUM(C177:C180)</f>
        <v>14112</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1803</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18044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18044</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71667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71667</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2941</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2941</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495</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30234</v>
      </c>
      <c r="D213" s="466"/>
      <c r="E213" s="468"/>
      <c r="F213" s="466"/>
      <c r="G213" s="466"/>
      <c r="H213" s="468"/>
      <c r="I213" s="468"/>
      <c r="J213" s="468"/>
      <c r="K213" s="468"/>
    </row>
    <row r="214" spans="1:11" ht="12.75" customHeight="1" x14ac:dyDescent="0.2">
      <c r="A214" s="463" t="s">
        <v>1054</v>
      </c>
      <c r="B214" s="470">
        <v>4625</v>
      </c>
      <c r="C214" s="551">
        <v>6272</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37001</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7820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676</v>
      </c>
      <c r="D263" s="576"/>
      <c r="E263" s="468"/>
      <c r="F263" s="576"/>
      <c r="G263" s="576"/>
      <c r="H263" s="468"/>
      <c r="I263" s="468"/>
      <c r="J263" s="468"/>
      <c r="K263" s="468"/>
    </row>
    <row r="264" spans="1:11" ht="12.75" customHeight="1" thickTop="1" thickBot="1" x14ac:dyDescent="0.25">
      <c r="A264" s="463" t="s">
        <v>377</v>
      </c>
      <c r="B264" s="470">
        <v>4992</v>
      </c>
      <c r="C264" s="575">
        <v>4175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142324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156436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954193</v>
      </c>
      <c r="D268" s="1715">
        <f t="shared" si="12"/>
        <v>114599</v>
      </c>
      <c r="E268" s="1715">
        <f t="shared" si="12"/>
        <v>0</v>
      </c>
      <c r="F268" s="1715">
        <f t="shared" si="12"/>
        <v>64872</v>
      </c>
      <c r="G268" s="1715">
        <f t="shared" si="12"/>
        <v>35413</v>
      </c>
      <c r="H268" s="1715">
        <f t="shared" si="12"/>
        <v>0</v>
      </c>
      <c r="I268" s="1715">
        <f t="shared" si="12"/>
        <v>79</v>
      </c>
      <c r="J268" s="1715">
        <f t="shared" si="12"/>
        <v>19557</v>
      </c>
      <c r="K268" s="1702">
        <f t="shared" si="12"/>
        <v>7265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colorId="8" zoomScaleNormal="100" workbookViewId="0">
      <pane ySplit="2" topLeftCell="A114" activePane="bottomLeft" state="frozen"/>
      <selection activeCell="V43" sqref="V43"/>
      <selection pane="bottomLeft" activeCell="V43" sqref="V4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468669</v>
      </c>
      <c r="D5" s="466">
        <v>141521</v>
      </c>
      <c r="E5" s="466">
        <v>3706</v>
      </c>
      <c r="F5" s="466">
        <v>10754</v>
      </c>
      <c r="G5" s="466"/>
      <c r="H5" s="466"/>
      <c r="I5" s="467"/>
      <c r="J5" s="467"/>
      <c r="K5" s="1671">
        <f>SUM(C5:J5)</f>
        <v>624650</v>
      </c>
      <c r="L5" s="466">
        <v>636270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67486</v>
      </c>
      <c r="D8" s="466">
        <v>12292</v>
      </c>
      <c r="E8" s="466"/>
      <c r="F8" s="466"/>
      <c r="G8" s="466"/>
      <c r="H8" s="466"/>
      <c r="I8" s="467"/>
      <c r="J8" s="467"/>
      <c r="K8" s="1671">
        <f t="shared" si="0"/>
        <v>79778</v>
      </c>
      <c r="L8" s="466">
        <v>95358</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44456</v>
      </c>
      <c r="D10" s="466">
        <v>8616</v>
      </c>
      <c r="E10" s="466"/>
      <c r="F10" s="466"/>
      <c r="G10" s="466"/>
      <c r="H10" s="466"/>
      <c r="I10" s="467"/>
      <c r="J10" s="467"/>
      <c r="K10" s="1671">
        <f t="shared" si="0"/>
        <v>53072</v>
      </c>
      <c r="L10" s="466">
        <v>56002</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5375</v>
      </c>
      <c r="D14" s="466"/>
      <c r="E14" s="466"/>
      <c r="F14" s="466">
        <v>52</v>
      </c>
      <c r="G14" s="466"/>
      <c r="H14" s="466"/>
      <c r="I14" s="467"/>
      <c r="J14" s="467"/>
      <c r="K14" s="1671">
        <f t="shared" si="0"/>
        <v>5427</v>
      </c>
      <c r="L14" s="466">
        <v>2800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585986</v>
      </c>
      <c r="D33" s="1670">
        <f t="shared" ref="D33:L33" si="1">SUM(D5:D32)</f>
        <v>162429</v>
      </c>
      <c r="E33" s="1670">
        <f t="shared" si="1"/>
        <v>3706</v>
      </c>
      <c r="F33" s="1670">
        <f t="shared" si="1"/>
        <v>10806</v>
      </c>
      <c r="G33" s="1670">
        <f t="shared" si="1"/>
        <v>0</v>
      </c>
      <c r="H33" s="1670">
        <f t="shared" si="1"/>
        <v>0</v>
      </c>
      <c r="I33" s="1670">
        <f t="shared" si="1"/>
        <v>0</v>
      </c>
      <c r="J33" s="1670">
        <f t="shared" si="1"/>
        <v>0</v>
      </c>
      <c r="K33" s="1670">
        <f t="shared" si="1"/>
        <v>762927</v>
      </c>
      <c r="L33" s="1670">
        <f t="shared" si="1"/>
        <v>790430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3199</v>
      </c>
      <c r="D38" s="466"/>
      <c r="E38" s="466">
        <v>285</v>
      </c>
      <c r="F38" s="466">
        <v>36</v>
      </c>
      <c r="G38" s="466"/>
      <c r="H38" s="466"/>
      <c r="I38" s="467"/>
      <c r="J38" s="467"/>
      <c r="K38" s="1671">
        <f t="shared" si="2"/>
        <v>3520</v>
      </c>
      <c r="L38" s="466">
        <v>4165</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3199</v>
      </c>
      <c r="D42" s="1670">
        <f t="shared" ref="D42:L42" si="3">SUM(D36:D41)</f>
        <v>0</v>
      </c>
      <c r="E42" s="1670">
        <f t="shared" si="3"/>
        <v>285</v>
      </c>
      <c r="F42" s="1670">
        <f t="shared" si="3"/>
        <v>36</v>
      </c>
      <c r="G42" s="1670">
        <f t="shared" si="3"/>
        <v>0</v>
      </c>
      <c r="H42" s="1670">
        <f t="shared" si="3"/>
        <v>0</v>
      </c>
      <c r="I42" s="1670">
        <f t="shared" si="3"/>
        <v>0</v>
      </c>
      <c r="J42" s="1670">
        <f t="shared" si="3"/>
        <v>0</v>
      </c>
      <c r="K42" s="1670">
        <f t="shared" si="3"/>
        <v>3520</v>
      </c>
      <c r="L42" s="1670">
        <f t="shared" si="3"/>
        <v>4165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3660</v>
      </c>
      <c r="E44" s="481">
        <v>5626</v>
      </c>
      <c r="F44" s="481"/>
      <c r="G44" s="481"/>
      <c r="H44" s="481"/>
      <c r="I44" s="467"/>
      <c r="J44" s="467"/>
      <c r="K44" s="1672">
        <f>SUM(C44:J44)</f>
        <v>9286</v>
      </c>
      <c r="L44" s="481">
        <v>5550</v>
      </c>
    </row>
    <row r="45" spans="1:14" x14ac:dyDescent="0.2">
      <c r="A45" s="1504" t="s">
        <v>815</v>
      </c>
      <c r="B45" s="614">
        <v>2220</v>
      </c>
      <c r="C45" s="466">
        <v>8735</v>
      </c>
      <c r="D45" s="466"/>
      <c r="E45" s="466">
        <v>11021</v>
      </c>
      <c r="F45" s="466">
        <v>4706</v>
      </c>
      <c r="G45" s="466"/>
      <c r="H45" s="466"/>
      <c r="I45" s="467"/>
      <c r="J45" s="467"/>
      <c r="K45" s="1672">
        <f>SUM(C45:J45)</f>
        <v>24462</v>
      </c>
      <c r="L45" s="466">
        <v>13890</v>
      </c>
    </row>
    <row r="46" spans="1:14" x14ac:dyDescent="0.2">
      <c r="A46" s="1504" t="s">
        <v>816</v>
      </c>
      <c r="B46" s="614">
        <v>2230</v>
      </c>
      <c r="C46" s="466"/>
      <c r="D46" s="466"/>
      <c r="E46" s="466"/>
      <c r="F46" s="466">
        <v>36687</v>
      </c>
      <c r="G46" s="466"/>
      <c r="H46" s="466"/>
      <c r="I46" s="467"/>
      <c r="J46" s="467"/>
      <c r="K46" s="1672">
        <f>SUM(C46:J46)</f>
        <v>36687</v>
      </c>
      <c r="L46" s="466">
        <v>30291</v>
      </c>
    </row>
    <row r="47" spans="1:14" ht="12.75" customHeight="1" thickBot="1" x14ac:dyDescent="0.25">
      <c r="A47" s="1668" t="s">
        <v>561</v>
      </c>
      <c r="B47" s="1669" t="s">
        <v>32</v>
      </c>
      <c r="C47" s="1670">
        <f>SUM(C44:C46)</f>
        <v>8735</v>
      </c>
      <c r="D47" s="1670">
        <f t="shared" ref="D47:K47" si="4">SUM(D44:D46)</f>
        <v>3660</v>
      </c>
      <c r="E47" s="1670">
        <f t="shared" si="4"/>
        <v>16647</v>
      </c>
      <c r="F47" s="1670">
        <f t="shared" si="4"/>
        <v>41393</v>
      </c>
      <c r="G47" s="1670">
        <f t="shared" si="4"/>
        <v>0</v>
      </c>
      <c r="H47" s="1670">
        <f t="shared" si="4"/>
        <v>0</v>
      </c>
      <c r="I47" s="1670">
        <f t="shared" si="4"/>
        <v>0</v>
      </c>
      <c r="J47" s="1670">
        <f t="shared" si="4"/>
        <v>0</v>
      </c>
      <c r="K47" s="1670">
        <f t="shared" si="4"/>
        <v>70435</v>
      </c>
      <c r="L47" s="1670">
        <f>SUM(L44:L46)</f>
        <v>49731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17074</v>
      </c>
      <c r="F49" s="481">
        <v>1121</v>
      </c>
      <c r="G49" s="481"/>
      <c r="H49" s="481">
        <v>180</v>
      </c>
      <c r="I49" s="467"/>
      <c r="J49" s="467"/>
      <c r="K49" s="1672">
        <f>SUM(C49:J49)</f>
        <v>18375</v>
      </c>
      <c r="L49" s="481">
        <v>19800</v>
      </c>
    </row>
    <row r="50" spans="1:14" x14ac:dyDescent="0.2">
      <c r="A50" s="1504" t="s">
        <v>818</v>
      </c>
      <c r="B50" s="614">
        <v>2320</v>
      </c>
      <c r="C50" s="466">
        <v>46085</v>
      </c>
      <c r="D50" s="466">
        <v>5946</v>
      </c>
      <c r="E50" s="466">
        <v>50</v>
      </c>
      <c r="F50" s="466"/>
      <c r="G50" s="466"/>
      <c r="H50" s="466"/>
      <c r="I50" s="467"/>
      <c r="J50" s="467"/>
      <c r="K50" s="1672">
        <f>SUM(C50:J50)</f>
        <v>52081</v>
      </c>
      <c r="L50" s="466">
        <v>52910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v>1841</v>
      </c>
      <c r="F52" s="474"/>
      <c r="G52" s="474"/>
      <c r="H52" s="474"/>
      <c r="I52" s="474"/>
      <c r="J52" s="474"/>
      <c r="K52" s="1672">
        <f>SUM(C52:J52)</f>
        <v>1841</v>
      </c>
      <c r="L52" s="474">
        <v>1841</v>
      </c>
    </row>
    <row r="53" spans="1:14" ht="12.75" customHeight="1" thickBot="1" x14ac:dyDescent="0.25">
      <c r="A53" s="1668" t="s">
        <v>717</v>
      </c>
      <c r="B53" s="1669" t="s">
        <v>33</v>
      </c>
      <c r="C53" s="1670">
        <f>SUM(C49:C52)</f>
        <v>46085</v>
      </c>
      <c r="D53" s="1670">
        <f t="shared" ref="D53:L53" si="5">SUM(D49:D52)</f>
        <v>5946</v>
      </c>
      <c r="E53" s="1670">
        <f t="shared" si="5"/>
        <v>18965</v>
      </c>
      <c r="F53" s="1670">
        <f t="shared" si="5"/>
        <v>1121</v>
      </c>
      <c r="G53" s="1670">
        <f t="shared" si="5"/>
        <v>0</v>
      </c>
      <c r="H53" s="1670">
        <f t="shared" si="5"/>
        <v>180</v>
      </c>
      <c r="I53" s="1670">
        <f t="shared" si="5"/>
        <v>0</v>
      </c>
      <c r="J53" s="1670">
        <f t="shared" si="5"/>
        <v>0</v>
      </c>
      <c r="K53" s="1670">
        <f t="shared" si="5"/>
        <v>72297</v>
      </c>
      <c r="L53" s="1670">
        <f t="shared" si="5"/>
        <v>74551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110701</v>
      </c>
      <c r="D55" s="481">
        <v>19787</v>
      </c>
      <c r="E55" s="481">
        <v>1793</v>
      </c>
      <c r="F55" s="481">
        <v>1312</v>
      </c>
      <c r="G55" s="481"/>
      <c r="H55" s="481"/>
      <c r="I55" s="467"/>
      <c r="J55" s="467"/>
      <c r="K55" s="1672">
        <f>SUM(C55:J55)</f>
        <v>133593</v>
      </c>
      <c r="L55" s="481">
        <v>132798</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110701</v>
      </c>
      <c r="D57" s="1674">
        <f t="shared" ref="D57:K57" si="6">SUM(D55:D56)</f>
        <v>19787</v>
      </c>
      <c r="E57" s="1674">
        <f t="shared" si="6"/>
        <v>1793</v>
      </c>
      <c r="F57" s="1674">
        <f t="shared" si="6"/>
        <v>1312</v>
      </c>
      <c r="G57" s="1674">
        <f t="shared" si="6"/>
        <v>0</v>
      </c>
      <c r="H57" s="1674">
        <f t="shared" si="6"/>
        <v>0</v>
      </c>
      <c r="I57" s="1674">
        <f t="shared" si="6"/>
        <v>0</v>
      </c>
      <c r="J57" s="1674">
        <f t="shared" si="6"/>
        <v>0</v>
      </c>
      <c r="K57" s="1674">
        <f t="shared" si="6"/>
        <v>133593</v>
      </c>
      <c r="L57" s="1670">
        <f>SUM(L55:L56)</f>
        <v>132798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37747</v>
      </c>
      <c r="D59" s="481">
        <v>7965</v>
      </c>
      <c r="E59" s="481"/>
      <c r="F59" s="481">
        <v>146</v>
      </c>
      <c r="G59" s="481"/>
      <c r="H59" s="481"/>
      <c r="I59" s="467"/>
      <c r="J59" s="467"/>
      <c r="K59" s="1672">
        <f t="shared" ref="K59:K64" si="7">SUM(C59:J59)</f>
        <v>45858</v>
      </c>
      <c r="L59" s="481">
        <v>46295</v>
      </c>
      <c r="M59" s="609"/>
      <c r="N59" s="609"/>
    </row>
    <row r="60" spans="1:14" s="343" customFormat="1" x14ac:dyDescent="0.2">
      <c r="A60" s="1504" t="s">
        <v>463</v>
      </c>
      <c r="B60" s="614">
        <v>2520</v>
      </c>
      <c r="C60" s="466">
        <v>17748</v>
      </c>
      <c r="D60" s="466"/>
      <c r="E60" s="466">
        <v>570</v>
      </c>
      <c r="F60" s="466">
        <v>204</v>
      </c>
      <c r="G60" s="466"/>
      <c r="H60" s="466"/>
      <c r="I60" s="467"/>
      <c r="J60" s="467"/>
      <c r="K60" s="1672">
        <f t="shared" si="7"/>
        <v>18522</v>
      </c>
      <c r="L60" s="466">
        <v>22000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18730</v>
      </c>
      <c r="D63" s="466"/>
      <c r="E63" s="466">
        <v>1354</v>
      </c>
      <c r="F63" s="466">
        <v>20546</v>
      </c>
      <c r="G63" s="466"/>
      <c r="H63" s="466"/>
      <c r="I63" s="467"/>
      <c r="J63" s="467"/>
      <c r="K63" s="1672">
        <f t="shared" si="7"/>
        <v>40630</v>
      </c>
      <c r="L63" s="466">
        <v>44400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74225</v>
      </c>
      <c r="D65" s="1670">
        <f t="shared" ref="D65:L65" si="8">SUM(D59:D64)</f>
        <v>7965</v>
      </c>
      <c r="E65" s="1670">
        <f t="shared" si="8"/>
        <v>1924</v>
      </c>
      <c r="F65" s="1670">
        <f t="shared" si="8"/>
        <v>20896</v>
      </c>
      <c r="G65" s="1670">
        <f t="shared" si="8"/>
        <v>0</v>
      </c>
      <c r="H65" s="1670">
        <f t="shared" si="8"/>
        <v>0</v>
      </c>
      <c r="I65" s="1670">
        <f t="shared" si="8"/>
        <v>0</v>
      </c>
      <c r="J65" s="1670">
        <f t="shared" si="8"/>
        <v>0</v>
      </c>
      <c r="K65" s="1670">
        <f t="shared" si="8"/>
        <v>105010</v>
      </c>
      <c r="L65" s="1670">
        <f t="shared" si="8"/>
        <v>112695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v>300</v>
      </c>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300</v>
      </c>
      <c r="M72" s="609"/>
      <c r="N72" s="609"/>
    </row>
    <row r="73" spans="1:14" s="343" customFormat="1" ht="14.25" thickTop="1" thickBot="1" x14ac:dyDescent="0.25">
      <c r="A73" s="1510" t="s">
        <v>980</v>
      </c>
      <c r="B73" s="632" t="s">
        <v>574</v>
      </c>
      <c r="C73" s="573"/>
      <c r="D73" s="573"/>
      <c r="E73" s="573"/>
      <c r="F73" s="573">
        <v>109</v>
      </c>
      <c r="G73" s="573"/>
      <c r="H73" s="573"/>
      <c r="I73" s="531"/>
      <c r="J73" s="531"/>
      <c r="K73" s="1670">
        <f>SUM(C73:J73)</f>
        <v>109</v>
      </c>
      <c r="L73" s="576">
        <v>500</v>
      </c>
      <c r="M73" s="609"/>
      <c r="N73" s="609"/>
    </row>
    <row r="74" spans="1:14" ht="12.75" customHeight="1" thickTop="1" thickBot="1" x14ac:dyDescent="0.25">
      <c r="A74" s="1668" t="s">
        <v>811</v>
      </c>
      <c r="B74" s="1676">
        <v>2000</v>
      </c>
      <c r="C74" s="1677">
        <f>SUM(C42,C47,C53,C57,C65,C72,C73)</f>
        <v>242945</v>
      </c>
      <c r="D74" s="1677">
        <f t="shared" ref="D74:K74" si="10">SUM(D42,D47,D53,D57,D65,D72,D73)</f>
        <v>37358</v>
      </c>
      <c r="E74" s="1677">
        <f t="shared" si="10"/>
        <v>39614</v>
      </c>
      <c r="F74" s="1677">
        <f t="shared" si="10"/>
        <v>64867</v>
      </c>
      <c r="G74" s="1677">
        <f t="shared" si="10"/>
        <v>0</v>
      </c>
      <c r="H74" s="1677">
        <f t="shared" si="10"/>
        <v>180</v>
      </c>
      <c r="I74" s="1677">
        <f t="shared" si="10"/>
        <v>0</v>
      </c>
      <c r="J74" s="1677">
        <f t="shared" si="10"/>
        <v>0</v>
      </c>
      <c r="K74" s="1677">
        <f t="shared" si="10"/>
        <v>384964</v>
      </c>
      <c r="L74" s="1677">
        <f>SUM(L42,L47,L53,L57,L65,L72,L73)</f>
        <v>374740</v>
      </c>
    </row>
    <row r="75" spans="1:14" s="259" customFormat="1" ht="15.75" customHeight="1" thickTop="1" thickBot="1" x14ac:dyDescent="0.25">
      <c r="A75" s="1610" t="s">
        <v>47</v>
      </c>
      <c r="B75" s="1611" t="s">
        <v>575</v>
      </c>
      <c r="C75" s="573"/>
      <c r="D75" s="573"/>
      <c r="E75" s="573"/>
      <c r="F75" s="573">
        <v>539</v>
      </c>
      <c r="G75" s="573"/>
      <c r="H75" s="573"/>
      <c r="I75" s="531"/>
      <c r="J75" s="531"/>
      <c r="K75" s="1670">
        <f>SUM(C75:J75)</f>
        <v>539</v>
      </c>
      <c r="L75" s="576">
        <v>693</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92944</v>
      </c>
      <c r="F79" s="616"/>
      <c r="G79" s="616"/>
      <c r="H79" s="466"/>
      <c r="I79" s="477"/>
      <c r="J79" s="477"/>
      <c r="K79" s="1671">
        <f t="shared" si="11"/>
        <v>92944</v>
      </c>
      <c r="L79" s="466">
        <v>170000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92944</v>
      </c>
      <c r="F84" s="616"/>
      <c r="G84" s="616"/>
      <c r="H84" s="1670">
        <f>SUM(H78:H83)</f>
        <v>0</v>
      </c>
      <c r="I84" s="477"/>
      <c r="J84" s="477"/>
      <c r="K84" s="1670">
        <f>SUM(K78:K83)</f>
        <v>92944</v>
      </c>
      <c r="L84" s="1670">
        <f>SUM(L78:L83)</f>
        <v>170000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92944</v>
      </c>
      <c r="F102" s="616"/>
      <c r="G102" s="616"/>
      <c r="H102" s="1677">
        <f>SUM(H84,H92,H100,H101)</f>
        <v>0</v>
      </c>
      <c r="I102" s="477"/>
      <c r="J102" s="477"/>
      <c r="K102" s="1677">
        <f>SUM(K84,K92,K100,K101)</f>
        <v>92944</v>
      </c>
      <c r="L102" s="1677">
        <f>SUM(L84,L92,L100,L101)</f>
        <v>170000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828931</v>
      </c>
      <c r="D114" s="1670">
        <f t="shared" ref="D114:K114" si="13">SUM(D33,D74,D75,D102,D112,D113)</f>
        <v>199787</v>
      </c>
      <c r="E114" s="1670">
        <f t="shared" si="13"/>
        <v>136264</v>
      </c>
      <c r="F114" s="1670">
        <f t="shared" si="13"/>
        <v>76212</v>
      </c>
      <c r="G114" s="1670">
        <f t="shared" si="13"/>
        <v>0</v>
      </c>
      <c r="H114" s="1670">
        <f>SUM(H33,H74,H75,H102,H112,H113)</f>
        <v>180</v>
      </c>
      <c r="I114" s="1670">
        <f t="shared" si="13"/>
        <v>0</v>
      </c>
      <c r="J114" s="1670">
        <f t="shared" si="13"/>
        <v>0</v>
      </c>
      <c r="K114" s="1670">
        <f t="shared" si="13"/>
        <v>1241374</v>
      </c>
      <c r="L114" s="1670">
        <f>SUM(L33,L74,L75,L102,L112,L113)</f>
        <v>1335863</v>
      </c>
    </row>
    <row r="115" spans="1:14" ht="13.5" thickTop="1" x14ac:dyDescent="0.2">
      <c r="A115" s="2158" t="s">
        <v>996</v>
      </c>
      <c r="B115" s="2159"/>
      <c r="C115" s="618"/>
      <c r="D115" s="618"/>
      <c r="E115" s="618"/>
      <c r="F115" s="618"/>
      <c r="G115" s="618"/>
      <c r="H115" s="618"/>
      <c r="I115" s="618"/>
      <c r="J115" s="618"/>
      <c r="K115" s="1684">
        <f>'Revenues 9-14'!C268-'Expenditures 15-22'!K114</f>
        <v>-287181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19410</v>
      </c>
      <c r="D124" s="466"/>
      <c r="E124" s="466">
        <v>120178</v>
      </c>
      <c r="F124" s="466">
        <v>6545</v>
      </c>
      <c r="G124" s="466"/>
      <c r="H124" s="466"/>
      <c r="I124" s="467"/>
      <c r="J124" s="467"/>
      <c r="K124" s="1670">
        <f>SUM(C124:J124)</f>
        <v>146133</v>
      </c>
      <c r="L124" s="466">
        <v>136800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19410</v>
      </c>
      <c r="D127" s="1670">
        <f t="shared" ref="D127:L127" si="14">SUM(D122:D126)</f>
        <v>0</v>
      </c>
      <c r="E127" s="1670">
        <f t="shared" si="14"/>
        <v>120178</v>
      </c>
      <c r="F127" s="1670">
        <f t="shared" si="14"/>
        <v>6545</v>
      </c>
      <c r="G127" s="1670">
        <f t="shared" si="14"/>
        <v>0</v>
      </c>
      <c r="H127" s="1670">
        <f t="shared" si="14"/>
        <v>0</v>
      </c>
      <c r="I127" s="1670">
        <f t="shared" si="14"/>
        <v>0</v>
      </c>
      <c r="J127" s="1670">
        <f t="shared" si="14"/>
        <v>0</v>
      </c>
      <c r="K127" s="1670">
        <f t="shared" si="14"/>
        <v>146133</v>
      </c>
      <c r="L127" s="1670">
        <f t="shared" si="14"/>
        <v>136800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19410</v>
      </c>
      <c r="D129" s="1677">
        <f t="shared" ref="D129:L129" si="15">SUM(D120,D127,D128)</f>
        <v>0</v>
      </c>
      <c r="E129" s="1677">
        <f t="shared" si="15"/>
        <v>120178</v>
      </c>
      <c r="F129" s="1677">
        <f t="shared" si="15"/>
        <v>6545</v>
      </c>
      <c r="G129" s="1677">
        <f t="shared" si="15"/>
        <v>0</v>
      </c>
      <c r="H129" s="1677">
        <f t="shared" si="15"/>
        <v>0</v>
      </c>
      <c r="I129" s="1677">
        <f t="shared" si="15"/>
        <v>0</v>
      </c>
      <c r="J129" s="1677">
        <f t="shared" si="15"/>
        <v>0</v>
      </c>
      <c r="K129" s="1677">
        <f t="shared" si="15"/>
        <v>146133</v>
      </c>
      <c r="L129" s="1677">
        <f t="shared" si="15"/>
        <v>136800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5" t="s">
        <v>620</v>
      </c>
      <c r="B151" s="2155"/>
      <c r="C151" s="1670">
        <f>SUM(C129,C130,C139,C149,C150)</f>
        <v>19410</v>
      </c>
      <c r="D151" s="1670">
        <f t="shared" ref="D151:K151" si="16">SUM(D129,D130,D139,D149,D150)</f>
        <v>0</v>
      </c>
      <c r="E151" s="1670">
        <f t="shared" si="16"/>
        <v>120178</v>
      </c>
      <c r="F151" s="1670">
        <f t="shared" si="16"/>
        <v>6545</v>
      </c>
      <c r="G151" s="1670">
        <f t="shared" si="16"/>
        <v>0</v>
      </c>
      <c r="H151" s="1670">
        <f t="shared" si="16"/>
        <v>0</v>
      </c>
      <c r="I151" s="1670">
        <f t="shared" si="16"/>
        <v>0</v>
      </c>
      <c r="J151" s="1670">
        <f t="shared" si="16"/>
        <v>0</v>
      </c>
      <c r="K151" s="1670">
        <f t="shared" si="16"/>
        <v>146133</v>
      </c>
      <c r="L151" s="1670">
        <f>SUM(L129,L130,L139,L149,L150)</f>
        <v>136800</v>
      </c>
    </row>
    <row r="152" spans="1:14" ht="12.75" customHeight="1" thickTop="1" x14ac:dyDescent="0.2">
      <c r="A152" s="2178" t="s">
        <v>1178</v>
      </c>
      <c r="B152" s="2179"/>
      <c r="C152" s="618"/>
      <c r="D152" s="618"/>
      <c r="E152" s="618"/>
      <c r="F152" s="618"/>
      <c r="G152" s="618"/>
      <c r="H152" s="618"/>
      <c r="I152" s="618"/>
      <c r="J152" s="616"/>
      <c r="K152" s="1684">
        <f>'Revenues 9-14'!D268-'Expenditures 15-22'!K151</f>
        <v>-31534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8" t="s">
        <v>996</v>
      </c>
      <c r="B175" s="2159"/>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1994</v>
      </c>
      <c r="D182" s="466"/>
      <c r="E182" s="466">
        <v>102828</v>
      </c>
      <c r="F182" s="466"/>
      <c r="G182" s="466"/>
      <c r="H182" s="466"/>
      <c r="I182" s="467"/>
      <c r="J182" s="467"/>
      <c r="K182" s="1671">
        <f>SUM(C182:J182)</f>
        <v>104822</v>
      </c>
      <c r="L182" s="466">
        <v>94393</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1994</v>
      </c>
      <c r="D184" s="1677">
        <f t="shared" ref="D184:J184" si="17">SUM(D180,D182,D183)</f>
        <v>0</v>
      </c>
      <c r="E184" s="1677">
        <f t="shared" si="17"/>
        <v>102828</v>
      </c>
      <c r="F184" s="1677">
        <f t="shared" si="17"/>
        <v>0</v>
      </c>
      <c r="G184" s="1677">
        <f t="shared" si="17"/>
        <v>0</v>
      </c>
      <c r="H184" s="1677">
        <f t="shared" si="17"/>
        <v>0</v>
      </c>
      <c r="I184" s="1677">
        <f t="shared" si="17"/>
        <v>0</v>
      </c>
      <c r="J184" s="1677">
        <f t="shared" si="17"/>
        <v>0</v>
      </c>
      <c r="K184" s="1677">
        <f>SUM(K180,K182,K183)</f>
        <v>104822</v>
      </c>
      <c r="L184" s="1677">
        <f>SUM(L180, L182:L183)</f>
        <v>94393</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v>4141</v>
      </c>
      <c r="F189" s="616"/>
      <c r="G189" s="616"/>
      <c r="H189" s="466"/>
      <c r="I189" s="477"/>
      <c r="J189" s="616"/>
      <c r="K189" s="1671">
        <f t="shared" si="18"/>
        <v>4141</v>
      </c>
      <c r="L189" s="466">
        <v>2000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4141</v>
      </c>
      <c r="F194" s="616"/>
      <c r="G194" s="616"/>
      <c r="H194" s="1670">
        <f>SUM(H188:H193)</f>
        <v>0</v>
      </c>
      <c r="I194" s="477"/>
      <c r="J194" s="616"/>
      <c r="K194" s="1670">
        <f>SUM(K188:K193)</f>
        <v>4141</v>
      </c>
      <c r="L194" s="1670">
        <f>SUM(L188:L193)</f>
        <v>2000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4141</v>
      </c>
      <c r="F196" s="616"/>
      <c r="G196" s="616"/>
      <c r="H196" s="1677">
        <f>SUM(H194,H195)</f>
        <v>0</v>
      </c>
      <c r="I196" s="477"/>
      <c r="J196" s="616"/>
      <c r="K196" s="1677">
        <f>SUM(K194,K195)</f>
        <v>4141</v>
      </c>
      <c r="L196" s="1677">
        <f>SUM(L194,L195)</f>
        <v>2000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1994</v>
      </c>
      <c r="D210" s="1670">
        <f>SUM(D184,D185)</f>
        <v>0</v>
      </c>
      <c r="E210" s="1670">
        <f>SUM(E184,E185,E196)</f>
        <v>106969</v>
      </c>
      <c r="F210" s="1670">
        <f>SUM(F184,F185)</f>
        <v>0</v>
      </c>
      <c r="G210" s="1670">
        <f>SUM(G184,G185)</f>
        <v>0</v>
      </c>
      <c r="H210" s="1670">
        <f>SUM(H184,H185,H196,H208,H209)</f>
        <v>0</v>
      </c>
      <c r="I210" s="1670">
        <f>SUM(I184,I185)</f>
        <v>0</v>
      </c>
      <c r="J210" s="1670">
        <f>SUM(J184,J185)</f>
        <v>0</v>
      </c>
      <c r="K210" s="1671">
        <f>SUM(K184,K185,K196,K208,K209)</f>
        <v>108963</v>
      </c>
      <c r="L210" s="1670">
        <f>SUM(L184,L185,L196,L208,L209)</f>
        <v>96393</v>
      </c>
    </row>
    <row r="211" spans="1:14" ht="13.5" thickTop="1" x14ac:dyDescent="0.2">
      <c r="A211" s="2158" t="s">
        <v>996</v>
      </c>
      <c r="B211" s="2159"/>
      <c r="C211" s="618"/>
      <c r="D211" s="618"/>
      <c r="E211" s="618"/>
      <c r="F211" s="618"/>
      <c r="G211" s="618"/>
      <c r="H211" s="618"/>
      <c r="I211" s="616"/>
      <c r="J211" s="616"/>
      <c r="K211" s="1684">
        <f>'Revenues 9-14'!F268-'Expenditures 15-22'!K210</f>
        <v>-44091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7080</v>
      </c>
      <c r="E215" s="616"/>
      <c r="F215" s="616"/>
      <c r="G215" s="616"/>
      <c r="H215" s="616"/>
      <c r="I215" s="616"/>
      <c r="J215" s="616"/>
      <c r="K215" s="1671">
        <f>D215</f>
        <v>7080</v>
      </c>
      <c r="L215" s="466">
        <v>6600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6020</v>
      </c>
      <c r="E217" s="616"/>
      <c r="F217" s="616"/>
      <c r="G217" s="616"/>
      <c r="H217" s="616"/>
      <c r="I217" s="616"/>
      <c r="J217" s="616"/>
      <c r="K217" s="1671">
        <f t="shared" si="19"/>
        <v>6020</v>
      </c>
      <c r="L217" s="466">
        <v>8300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1333</v>
      </c>
      <c r="E219" s="616"/>
      <c r="F219" s="616"/>
      <c r="G219" s="616"/>
      <c r="H219" s="616"/>
      <c r="I219" s="616"/>
      <c r="J219" s="616"/>
      <c r="K219" s="1671">
        <f t="shared" si="19"/>
        <v>1333</v>
      </c>
      <c r="L219" s="466">
        <v>2650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86</v>
      </c>
      <c r="E223" s="616"/>
      <c r="F223" s="616"/>
      <c r="G223" s="616"/>
      <c r="H223" s="616"/>
      <c r="I223" s="616"/>
      <c r="J223" s="616"/>
      <c r="K223" s="1671">
        <f t="shared" si="19"/>
        <v>86</v>
      </c>
      <c r="L223" s="466">
        <v>225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14519</v>
      </c>
      <c r="E229" s="616"/>
      <c r="F229" s="616"/>
      <c r="G229" s="616"/>
      <c r="H229" s="616"/>
      <c r="I229" s="616"/>
      <c r="J229" s="616"/>
      <c r="K229" s="1670">
        <f>SUM(K215:K228)</f>
        <v>14519</v>
      </c>
      <c r="L229" s="1670">
        <f>SUM(L215:L228)</f>
        <v>17775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497</v>
      </c>
      <c r="E234" s="616"/>
      <c r="F234" s="616"/>
      <c r="G234" s="616"/>
      <c r="H234" s="616"/>
      <c r="I234" s="616"/>
      <c r="J234" s="616"/>
      <c r="K234" s="1671">
        <f t="shared" si="20"/>
        <v>497</v>
      </c>
      <c r="L234" s="466">
        <v>540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v>354</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497</v>
      </c>
      <c r="E238" s="616"/>
      <c r="F238" s="616"/>
      <c r="G238" s="616"/>
      <c r="H238" s="616"/>
      <c r="I238" s="616"/>
      <c r="J238" s="616"/>
      <c r="K238" s="1670">
        <f>SUM(K232:K237)</f>
        <v>497</v>
      </c>
      <c r="L238" s="1670">
        <f>SUM(L232:L237)</f>
        <v>894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1278</v>
      </c>
      <c r="E241" s="616"/>
      <c r="F241" s="616"/>
      <c r="G241" s="616"/>
      <c r="H241" s="616"/>
      <c r="I241" s="616"/>
      <c r="J241" s="616"/>
      <c r="K241" s="1672">
        <f>D241</f>
        <v>1278</v>
      </c>
      <c r="L241" s="466"/>
    </row>
    <row r="242" spans="1:12" x14ac:dyDescent="0.2">
      <c r="A242" s="1504" t="s">
        <v>816</v>
      </c>
      <c r="B242" s="614">
        <v>2230</v>
      </c>
      <c r="C242" s="616"/>
      <c r="D242" s="466"/>
      <c r="E242" s="616"/>
      <c r="F242" s="616"/>
      <c r="G242" s="616"/>
      <c r="H242" s="616"/>
      <c r="I242" s="616"/>
      <c r="J242" s="616"/>
      <c r="K242" s="1672">
        <f>D242</f>
        <v>0</v>
      </c>
      <c r="L242" s="466">
        <v>778</v>
      </c>
    </row>
    <row r="243" spans="1:12" ht="12.75" customHeight="1" thickBot="1" x14ac:dyDescent="0.25">
      <c r="A243" s="1694" t="s">
        <v>561</v>
      </c>
      <c r="B243" s="1695">
        <v>2200</v>
      </c>
      <c r="C243" s="616"/>
      <c r="D243" s="1670">
        <f>SUM(D240:D242)</f>
        <v>1278</v>
      </c>
      <c r="E243" s="616"/>
      <c r="F243" s="616"/>
      <c r="G243" s="616"/>
      <c r="H243" s="616"/>
      <c r="I243" s="616"/>
      <c r="J243" s="616"/>
      <c r="K243" s="1670">
        <f>SUM(K240:K242)</f>
        <v>1278</v>
      </c>
      <c r="L243" s="1670">
        <f>SUM(L240:L242)</f>
        <v>778</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668</v>
      </c>
      <c r="E246" s="616"/>
      <c r="F246" s="616"/>
      <c r="G246" s="616"/>
      <c r="H246" s="616"/>
      <c r="I246" s="616"/>
      <c r="J246" s="616"/>
      <c r="K246" s="1672">
        <f t="shared" ref="K246:K256" si="21">D246</f>
        <v>668</v>
      </c>
      <c r="L246" s="466">
        <v>778</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668</v>
      </c>
      <c r="E257" s="616"/>
      <c r="F257" s="616"/>
      <c r="G257" s="616"/>
      <c r="H257" s="616"/>
      <c r="I257" s="616"/>
      <c r="J257" s="616"/>
      <c r="K257" s="1670">
        <f>SUM(K245:K256)</f>
        <v>668</v>
      </c>
      <c r="L257" s="1670">
        <f>SUM(L245:L256)</f>
        <v>778</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4720</v>
      </c>
      <c r="E259" s="616"/>
      <c r="F259" s="616"/>
      <c r="G259" s="616"/>
      <c r="H259" s="616"/>
      <c r="I259" s="616"/>
      <c r="J259" s="616"/>
      <c r="K259" s="1672">
        <f>D259</f>
        <v>4720</v>
      </c>
      <c r="L259" s="481">
        <v>4700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4720</v>
      </c>
      <c r="E261" s="616"/>
      <c r="F261" s="616"/>
      <c r="G261" s="616"/>
      <c r="H261" s="616"/>
      <c r="I261" s="616"/>
      <c r="J261" s="616"/>
      <c r="K261" s="1670">
        <f>SUM(K259:K260)</f>
        <v>4720</v>
      </c>
      <c r="L261" s="1670">
        <f>SUM(L259:L260)</f>
        <v>4700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5870</v>
      </c>
      <c r="E263" s="616"/>
      <c r="F263" s="616"/>
      <c r="G263" s="616"/>
      <c r="H263" s="616"/>
      <c r="I263" s="616"/>
      <c r="J263" s="616"/>
      <c r="K263" s="1672">
        <f>D263</f>
        <v>5870</v>
      </c>
      <c r="L263" s="481">
        <v>6810</v>
      </c>
    </row>
    <row r="264" spans="1:14" x14ac:dyDescent="0.2">
      <c r="A264" s="1504" t="s">
        <v>463</v>
      </c>
      <c r="B264" s="685">
        <v>2520</v>
      </c>
      <c r="C264" s="616"/>
      <c r="D264" s="466">
        <v>2784</v>
      </c>
      <c r="E264" s="616"/>
      <c r="F264" s="616"/>
      <c r="G264" s="616"/>
      <c r="H264" s="616"/>
      <c r="I264" s="616"/>
      <c r="J264" s="616"/>
      <c r="K264" s="1672">
        <f t="shared" ref="K264:K269" si="22">D264</f>
        <v>2784</v>
      </c>
      <c r="L264" s="466">
        <v>3530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3079</v>
      </c>
      <c r="E266" s="616"/>
      <c r="F266" s="616"/>
      <c r="G266" s="616"/>
      <c r="H266" s="616"/>
      <c r="I266" s="616"/>
      <c r="J266" s="616"/>
      <c r="K266" s="1672">
        <f t="shared" si="22"/>
        <v>3079</v>
      </c>
      <c r="L266" s="466">
        <v>3705</v>
      </c>
    </row>
    <row r="267" spans="1:14" x14ac:dyDescent="0.2">
      <c r="A267" s="1504" t="s">
        <v>953</v>
      </c>
      <c r="B267" s="614">
        <v>2550</v>
      </c>
      <c r="C267" s="616"/>
      <c r="D267" s="466">
        <v>302</v>
      </c>
      <c r="E267" s="616"/>
      <c r="F267" s="616"/>
      <c r="G267" s="616"/>
      <c r="H267" s="616"/>
      <c r="I267" s="616"/>
      <c r="J267" s="616"/>
      <c r="K267" s="1672">
        <f t="shared" si="22"/>
        <v>302</v>
      </c>
      <c r="L267" s="466">
        <v>423</v>
      </c>
    </row>
    <row r="268" spans="1:14" x14ac:dyDescent="0.2">
      <c r="A268" s="1504" t="s">
        <v>100</v>
      </c>
      <c r="B268" s="614">
        <v>2560</v>
      </c>
      <c r="C268" s="616"/>
      <c r="D268" s="466">
        <v>2889</v>
      </c>
      <c r="E268" s="616"/>
      <c r="F268" s="616"/>
      <c r="G268" s="616"/>
      <c r="H268" s="616"/>
      <c r="I268" s="616"/>
      <c r="J268" s="616"/>
      <c r="K268" s="1672">
        <f t="shared" si="22"/>
        <v>2889</v>
      </c>
      <c r="L268" s="466">
        <v>3390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14924</v>
      </c>
      <c r="E270" s="616"/>
      <c r="F270" s="616"/>
      <c r="G270" s="616"/>
      <c r="H270" s="616"/>
      <c r="I270" s="616"/>
      <c r="J270" s="616"/>
      <c r="K270" s="1670">
        <f>SUM(K263:K269)</f>
        <v>14924</v>
      </c>
      <c r="L270" s="1670">
        <f>SUM(L263:L269)</f>
        <v>17858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22087</v>
      </c>
      <c r="E279" s="616"/>
      <c r="F279" s="616"/>
      <c r="G279" s="616"/>
      <c r="H279" s="616"/>
      <c r="I279" s="616"/>
      <c r="J279" s="616"/>
      <c r="K279" s="1677">
        <f>SUM(K238,K243,K257,K261,K270,K277,K278)</f>
        <v>22087</v>
      </c>
      <c r="L279" s="1677">
        <f>SUM(L238,L243,L257,L261,L270,L277,L278)</f>
        <v>25008</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70">
        <f>SUM(D229,D279,D280,D285)</f>
        <v>36606</v>
      </c>
      <c r="E295" s="616"/>
      <c r="F295" s="616"/>
      <c r="G295" s="616"/>
      <c r="H295" s="1670">
        <f>H293</f>
        <v>0</v>
      </c>
      <c r="I295" s="616"/>
      <c r="J295" s="616"/>
      <c r="K295" s="1670">
        <f>SUM(K229,K279,K280,K285,K293,K294)</f>
        <v>36606</v>
      </c>
      <c r="L295" s="1670">
        <f>SUM(L229,L279,L280,L285,L293,L294)</f>
        <v>42783</v>
      </c>
    </row>
    <row r="296" spans="1:14" ht="13.5" thickTop="1" x14ac:dyDescent="0.2">
      <c r="A296" s="2158" t="s">
        <v>996</v>
      </c>
      <c r="B296" s="2159"/>
      <c r="C296" s="616"/>
      <c r="D296" s="618"/>
      <c r="E296" s="616"/>
      <c r="F296" s="616"/>
      <c r="G296" s="616"/>
      <c r="H296" s="687"/>
      <c r="I296" s="616"/>
      <c r="J296" s="616"/>
      <c r="K296" s="1684">
        <f>'Revenues 9-14'!G268-'Expenditures 15-22'!K295</f>
        <v>-1193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9" t="s">
        <v>996</v>
      </c>
      <c r="B313" s="2170"/>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17132</v>
      </c>
      <c r="F320" s="467"/>
      <c r="G320" s="467"/>
      <c r="H320" s="467"/>
      <c r="I320" s="467"/>
      <c r="J320" s="467"/>
      <c r="K320" s="1671">
        <f t="shared" ref="K320:K327" si="24">SUM(C320:J320)</f>
        <v>17132</v>
      </c>
      <c r="L320" s="467">
        <v>17132</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v>12749</v>
      </c>
      <c r="F328" s="474"/>
      <c r="G328" s="474"/>
      <c r="H328" s="474"/>
      <c r="I328" s="474"/>
      <c r="J328" s="474"/>
      <c r="K328" s="1699">
        <f>SUM(C328:J328)</f>
        <v>12749</v>
      </c>
      <c r="L328" s="474">
        <v>12749</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29881</v>
      </c>
      <c r="F330" s="1670">
        <f t="shared" si="25"/>
        <v>0</v>
      </c>
      <c r="G330" s="1670">
        <f t="shared" si="25"/>
        <v>0</v>
      </c>
      <c r="H330" s="1670">
        <f t="shared" si="25"/>
        <v>0</v>
      </c>
      <c r="I330" s="1670">
        <f t="shared" si="25"/>
        <v>0</v>
      </c>
      <c r="J330" s="1670">
        <f t="shared" si="25"/>
        <v>0</v>
      </c>
      <c r="K330" s="1670">
        <f>SUM(K319:K329)</f>
        <v>29881</v>
      </c>
      <c r="L330" s="1670">
        <f>SUM(L319:L329)</f>
        <v>29881</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29881</v>
      </c>
      <c r="F342" s="1670">
        <f>SUM(F330)</f>
        <v>0</v>
      </c>
      <c r="G342" s="1670">
        <f>SUM(G330)</f>
        <v>0</v>
      </c>
      <c r="H342" s="1670">
        <f>SUM(H330,H334,H340)</f>
        <v>0</v>
      </c>
      <c r="I342" s="1670">
        <f>SUM(I330)</f>
        <v>0</v>
      </c>
      <c r="J342" s="1670">
        <f>SUM(J330)</f>
        <v>0</v>
      </c>
      <c r="K342" s="1670">
        <f>SUM(K330,K334,K340)</f>
        <v>29881</v>
      </c>
      <c r="L342" s="1677">
        <f>SUM(L330,L340,L341)</f>
        <v>29881</v>
      </c>
    </row>
    <row r="343" spans="1:14" ht="12.75" customHeight="1" thickTop="1" x14ac:dyDescent="0.2">
      <c r="A343" s="2171" t="s">
        <v>996</v>
      </c>
      <c r="B343" s="2172"/>
      <c r="C343" s="616"/>
      <c r="D343" s="616"/>
      <c r="E343" s="616"/>
      <c r="F343" s="616"/>
      <c r="G343" s="616"/>
      <c r="H343" s="616"/>
      <c r="I343" s="616"/>
      <c r="J343" s="616"/>
      <c r="K343" s="1684">
        <f>'Revenues 9-14'!J268-'Expenditures 15-22'!K342</f>
        <v>-10324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8" t="s">
        <v>996</v>
      </c>
      <c r="B368" s="2159"/>
      <c r="C368" s="654"/>
      <c r="D368" s="654"/>
      <c r="E368" s="626"/>
      <c r="F368" s="626"/>
      <c r="G368" s="626"/>
      <c r="H368" s="626"/>
      <c r="I368" s="626"/>
      <c r="J368" s="623"/>
      <c r="K368" s="1671">
        <f>'Revenues 9-14'!K268-'Expenditures 15-22'!K367</f>
        <v>7265</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www.w3.org/XML/1998/namespace"/>
    <ds:schemaRef ds:uri="6ce3111e-7420-4802-b50a-75d4e9a0b980"/>
    <ds:schemaRef ds:uri="http://schemas.microsoft.com/office/2006/metadata/properties"/>
    <ds:schemaRef ds:uri="http://purl.org/dc/elements/1.1/"/>
    <ds:schemaRef ds:uri="http://schemas.microsoft.com/office/2006/documentManagement/types"/>
    <ds:schemaRef ds:uri="4d435f69-8686-490b-bd6d-b153bf22ab50"/>
    <ds:schemaRef ds:uri="http://purl.org/dc/terms/"/>
    <ds:schemaRef ds:uri="http://schemas.microsoft.com/sharepoint/v3"/>
    <ds:schemaRef ds:uri="http://schemas.microsoft.com/office/infopath/2007/PartnerControls"/>
    <ds:schemaRef ds:uri="http://schemas.openxmlformats.org/package/2006/metadata/core-properties"/>
    <ds:schemaRef ds:uri="d21dc803-237d-4c68-8692-8d731fd29118"/>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2019-09-24T20:41:33Z</cp:lastPrinted>
  <dcterms:created xsi:type="dcterms:W3CDTF">2003-10-29T19:06:34Z</dcterms:created>
  <dcterms:modified xsi:type="dcterms:W3CDTF">2019-11-04T20:55:14Z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