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7990B0B-C623-40C5-B131-4C3D011950E9}" xr6:coauthVersionLast="36" xr6:coauthVersionMax="36" xr10:uidLastSave="{00000000-0000-0000-0000-000000000000}"/>
  <bookViews>
    <workbookView xWindow="-28920" yWindow="-3165" windowWidth="29040" windowHeight="15840" tabRatio="736"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D27" i="108"/>
  <c r="E27" i="108"/>
  <c r="G27" i="108"/>
  <c r="F28" i="108"/>
  <c r="F31" i="108"/>
  <c r="F36" i="108"/>
  <c r="F37" i="108"/>
  <c r="G28" i="108"/>
  <c r="E29" i="108"/>
  <c r="E30"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J22" i="37"/>
  <c r="L22" i="37"/>
  <c r="D9" i="7"/>
  <c r="B1767" i="106" s="1"/>
  <c r="D1767" i="106" s="1"/>
  <c r="B7235" i="106" l="1"/>
  <c r="D7235" i="106" s="1"/>
  <c r="L342" i="29"/>
  <c r="I24" i="12"/>
  <c r="B1996" i="106" s="1"/>
  <c r="D1996" i="106" s="1"/>
  <c r="H29" i="118"/>
  <c r="K28" i="118" s="1"/>
  <c r="O27" i="118" s="1"/>
  <c r="O29" i="118" s="1"/>
  <c r="E28" i="108"/>
  <c r="L5" i="11"/>
  <c r="B2056" i="106" s="1"/>
  <c r="D2056" i="106" s="1"/>
  <c r="G30" i="108"/>
  <c r="F26" i="108"/>
  <c r="D26" i="108"/>
  <c r="D41" i="108" s="1"/>
  <c r="E43" i="108" s="1"/>
  <c r="F34" i="34"/>
  <c r="B4268" i="106"/>
  <c r="D4268" i="106" s="1"/>
  <c r="L15" i="11"/>
  <c r="B3459" i="106" s="1"/>
  <c r="D3459" i="106" s="1"/>
  <c r="F77" i="4"/>
  <c r="B3255" i="106" s="1"/>
  <c r="D3255" i="106" s="1"/>
  <c r="J41" i="3"/>
  <c r="K184" i="29"/>
  <c r="F13" i="4" s="1"/>
  <c r="B2596" i="106" s="1"/>
  <c r="D2596" i="106" s="1"/>
  <c r="G210" i="29"/>
  <c r="G15" i="145"/>
  <c r="D17" i="7"/>
  <c r="B4104" i="106" s="1"/>
  <c r="D4104" i="106" s="1"/>
  <c r="D24" i="37"/>
  <c r="B4270" i="106" s="1"/>
  <c r="D4270" i="106" s="1"/>
  <c r="D11" i="37"/>
  <c r="F72" i="34"/>
  <c r="G35" i="108"/>
  <c r="D54" i="36"/>
  <c r="I26" i="12"/>
  <c r="B7741" i="106" s="1"/>
  <c r="D7741" i="106" s="1"/>
  <c r="B6289" i="106"/>
  <c r="D6289" i="106" s="1"/>
  <c r="J77" i="4"/>
  <c r="B6262" i="106" s="1"/>
  <c r="D6262" i="106" s="1"/>
  <c r="K41" i="3"/>
  <c r="C129" i="29"/>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D7251" i="106"/>
  <c r="B1381" i="106"/>
  <c r="D1381" i="106" s="1"/>
  <c r="L16" i="11"/>
  <c r="B2061" i="106" s="1"/>
  <c r="D2061" i="106" s="1"/>
  <c r="B2031" i="106"/>
  <c r="D2031" i="106" s="1"/>
  <c r="C114" i="29"/>
  <c r="B757" i="106" s="1"/>
  <c r="D757" i="106" s="1"/>
  <c r="D44" i="36"/>
  <c r="B5527" i="106"/>
  <c r="D5527" i="106" s="1"/>
  <c r="G170" i="5"/>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B5778" i="106"/>
  <c r="D5778" i="106" s="1"/>
  <c r="G6" i="4"/>
  <c r="B2604" i="106" s="1"/>
  <c r="D2604"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8" i="4" l="1"/>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F8" i="146"/>
  <c r="D10" i="146"/>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77" i="34" l="1"/>
  <c r="F179" i="34"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<sst xmlns="http://schemas.openxmlformats.org/spreadsheetml/2006/main" count="5103" uniqueCount="2114">
  <si>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</si>
  <si>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</si>
  <si>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</si>
  <si>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</si>
  <si>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</si>
  <si>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</si>
  <si>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</si>
  <si>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</si>
  <si>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</si>
  <si>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</si>
  <si>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</si>
  <si>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</si>
  <si>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</si>
  <si>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</si>
  <si>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</si>
  <si>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</si>
  <si>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</si>
  <si>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</si>
  <si>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</si>
  <si>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</si>
  <si>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</si>
  <si>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</si>
  <si>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</si>
  <si>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</si>
  <si>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</si>
  <si>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</si>
  <si>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</si>
  <si>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</si>
  <si>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</si>
  <si>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</si>
  <si>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</si>
  <si>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</si>
  <si>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</si>
  <si>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</si>
  <si>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</si>
  <si>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</si>
  <si>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</si>
  <si>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</si>
  <si>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</si>
  <si>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</si>
  <si>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</si>
  <si>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</si>
  <si>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</si>
  <si>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</si>
  <si>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</si>
  <si>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</si>
  <si>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</si>
  <si>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</si>
  <si>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</si>
  <si>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</si>
  <si>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</si>
  <si>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</si>
  <si>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</si>
  <si>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</si>
  <si>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</si>
  <si>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</si>
  <si>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</si>
  <si>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</si>
  <si>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</si>
  <si>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</si>
  <si>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</si>
  <si>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</si>
  <si>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</si>
  <si>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</si>
  <si>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</si>
  <si>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</si>
  <si>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</si>
  <si>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</si>
  <si>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</si>
  <si>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</si>
  <si>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</si>
  <si>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</si>
  <si>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</si>
  <si>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</si>
  <si>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</si>
  <si>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</si>
  <si>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</si>
  <si>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</si>
  <si>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</si>
  <si>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</si>
  <si>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</si>
  <si>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</si>
  <si>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</si>
  <si>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</si>
  <si>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</si>
  <si>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</si>
  <si>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</si>
  <si>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</si>
  <si>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</si>
  <si>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</si>
  <si>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</si>
  <si>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</si>
  <si>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</si>
  <si>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</si>
  <si>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</si>
  <si>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</si>
  <si>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</si>
  <si>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</si>
  <si>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</si>
  <si>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</si>
  <si>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</si>
  <si>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</si>
  <si>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</si>
  <si>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</si>
  <si>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</si>
  <si>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</si>
  <si>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</si>
  <si>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</si>
  <si>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</si>
  <si>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</si>
  <si>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</si>
  <si>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</si>
  <si>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</si>
  <si>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</si>
  <si>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</si>
  <si>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</si>
  <si>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</si>
  <si>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</si>
  <si>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</si>
  <si>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</si>
  <si>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</si>
  <si>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</si>
  <si>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</si>
  <si>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</si>
  <si>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</si>
  <si>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</si>
  <si>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</si>
  <si>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</si>
  <si>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</si>
  <si>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</si>
  <si>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</si>
  <si>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</si>
  <si>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</si>
  <si>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</si>
  <si>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</si>
  <si>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</si>
  <si>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</si>
  <si>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</si>
  <si>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</si>
  <si>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</si>
  <si>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</si>
  <si>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</si>
  <si>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</si>
  <si>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</si>
  <si>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</si>
  <si>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</si>
  <si>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</si>
  <si>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</si>
  <si>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</si>
  <si>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</si>
  <si>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</si>
  <si>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</si>
  <si>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</si>
  <si>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</si>
  <si>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</si>
  <si>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</si>
  <si>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</si>
  <si>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</si>
  <si>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</si>
  <si>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</si>
  <si>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</si>
  <si>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</si>
  <si>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</si>
  <si>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</si>
  <si>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</si>
  <si>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</si>
  <si>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</si>
  <si>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</si>
  <si>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</si>
  <si>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</si>
  <si>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</si>
  <si>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</si>
  <si>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</si>
  <si>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</si>
  <si>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</si>
  <si>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</si>
  <si>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</si>
  <si>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</si>
  <si>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</si>
  <si>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</si>
  <si>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</si>
  <si>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</si>
  <si>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</si>
  <si>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</si>
  <si>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</si>
  <si>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</si>
  <si>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</si>
  <si>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</si>
  <si>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</si>
  <si>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</si>
  <si>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</si>
  <si>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</si>
  <si>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</si>
  <si>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</si>
  <si>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</si>
  <si>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</si>
  <si>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</si>
  <si>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</si>
  <si>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</si>
  <si>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</si>
  <si>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</si>
  <si>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</si>
  <si>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</si>
  <si>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</si>
  <si>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</si>
  <si>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</si>
  <si>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</si>
  <si>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</si>
  <si>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</si>
  <si>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</si>
  <si>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</si>
  <si>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</si>
  <si>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</si>
  <si>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</si>
  <si>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</si>
  <si>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</si>
  <si>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</si>
  <si>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</si>
  <si>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</si>
  <si>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</si>
  <si>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</si>
  <si>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</si>
  <si>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</si>
  <si>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</si>
  <si>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</si>
  <si>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</si>
  <si>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</si>
  <si>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</si>
  <si>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</si>
  <si>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</si>
  <si>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</si>
  <si>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</si>
  <si>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</si>
  <si>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</si>
  <si>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</si>
  <si>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</si>
  <si>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</si>
  <si>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</si>
  <si>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</si>
  <si>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</si>
  <si>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</si>
  <si>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</si>
  <si>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</si>
  <si>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</si>
  <si>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</si>
  <si>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</si>
  <si>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</si>
  <si>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</si>
  <si>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</si>
  <si>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</si>
  <si>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</si>
  <si>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</si>
  <si>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</si>
  <si>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</si>
  <si>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</si>
  <si>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</si>
  <si>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</si>
  <si>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</si>
  <si>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</si>
  <si>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</si>
  <si>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</si>
  <si>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</si>
  <si>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</si>
  <si>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</si>
  <si>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</si>
  <si>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</si>
  <si>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</si>
  <si>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</si>
  <si>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</si>
  <si>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</si>
  <si>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</si>
  <si>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</si>
  <si>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</si>
  <si>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</si>
  <si>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</si>
  <si>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</si>
  <si>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</si>
  <si>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</si>
  <si>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</si>
  <si>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</si>
  <si>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</si>
  <si>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</si>
  <si>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</si>
  <si>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</si>
  <si>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</si>
  <si>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</si>
  <si>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</si>
  <si>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</si>
  <si>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</si>
  <si>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</si>
  <si>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</si>
  <si>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</si>
  <si>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</si>
  <si>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</si>
  <si>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</si>
  <si>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</si>
  <si>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</si>
  <si>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</si>
  <si>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</si>
  <si>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</si>
  <si>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</si>
  <si>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</si>
  <si>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</si>
  <si>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</si>
  <si>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</si>
  <si>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</si>
  <si>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</si>
  <si>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</si>
  <si>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</si>
  <si>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</si>
  <si>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</si>
  <si>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</si>
  <si>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</si>
  <si>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</si>
  <si>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</si>
  <si>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</si>
  <si>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</si>
  <si>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</si>
  <si>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</si>
  <si>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</si>
  <si>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</si>
  <si>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</si>
  <si>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</si>
  <si>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</si>
  <si>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</si>
  <si>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</si>
  <si>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</si>
  <si>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</si>
  <si>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</si>
  <si>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</si>
  <si>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</si>
  <si>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</si>
  <si>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</si>
  <si>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</si>
  <si>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</si>
  <si>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</si>
  <si>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</si>
  <si>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</si>
  <si>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</si>
  <si>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</si>
  <si>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</si>
  <si>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</si>
  <si>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</si>
  <si>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</si>
  <si>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</si>
  <si>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</si>
  <si>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</si>
  <si>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</si>
  <si>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</si>
  <si>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</si>
  <si>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</si>
  <si>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</si>
  <si>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</si>
  <si>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</si>
  <si>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</si>
  <si>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</si>
  <si>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</si>
  <si>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</si>
  <si>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</si>
  <si>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</si>
  <si>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</si>
  <si>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</si>
  <si>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</si>
  <si>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</si>
  <si>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</si>
  <si>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</si>
  <si>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</si>
  <si>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</si>
  <si>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</si>
  <si>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</si>
  <si>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</si>
  <si>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</si>
  <si>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</si>
  <si>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</si>
  <si>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</si>
  <si>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</si>
  <si>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</si>
  <si>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</si>
  <si>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</si>
  <si>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</si>
  <si>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</si>
  <si>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</si>
  <si>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</si>
  <si>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</si>
  <si>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</si>
  <si>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</si>
  <si>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</si>
  <si>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</si>
  <si>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</si>
  <si>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</si>
  <si>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</si>
  <si>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</si>
  <si>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</si>
  <si>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</si>
  <si>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</si>
  <si>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</si>
  <si>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</si>
  <si>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</si>
  <si>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</si>
  <si>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</si>
  <si>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</si>
  <si>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</si>
  <si>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</si>
  <si>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</si>
  <si>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</si>
  <si>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</si>
  <si>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</si>
  <si>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</si>
  <si>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</si>
  <si>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</si>
  <si>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</si>
  <si>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</si>
  <si>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</si>
  <si>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</si>
  <si>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</si>
  <si>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</si>
  <si>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</si>
  <si>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</si>
  <si>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</si>
  <si>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</si>
  <si>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</si>
  <si>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</si>
  <si>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</si>
  <si>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</si>
  <si>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</si>
  <si>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</si>
  <si>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</si>
  <si>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</si>
  <si>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</si>
  <si>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</si>
  <si>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</si>
  <si>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</si>
  <si>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</si>
  <si>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</si>
  <si>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</si>
  <si>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</si>
  <si>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</si>
  <si>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</si>
  <si>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</si>
  <si>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</si>
  <si>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</si>
  <si>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</si>
  <si>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</si>
  <si>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</si>
  <si>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</si>
  <si>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</si>
  <si>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</si>
  <si>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</si>
  <si>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</si>
  <si>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</si>
  <si>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</si>
  <si>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</si>
  <si>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</si>
  <si>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</si>
  <si>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</si>
  <si>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</si>
  <si>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</si>
  <si>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</si>
  <si>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</si>
  <si>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</si>
  <si>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</si>
  <si>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</si>
  <si>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</si>
  <si>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</si>
  <si>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</si>
  <si>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</si>
  <si>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</si>
  <si>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</si>
  <si>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</si>
  <si>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</si>
  <si>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</si>
  <si>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</si>
  <si>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</si>
  <si>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</si>
  <si>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</si>
  <si>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</si>
  <si>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</si>
  <si>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</si>
  <si>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</si>
  <si>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</si>
  <si>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</si>
  <si>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</si>
  <si>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</si>
  <si>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</si>
  <si>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</si>
  <si>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</si>
  <si>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</si>
  <si>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</si>
  <si>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</si>
  <si>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</si>
  <si>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</si>
  <si>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</si>
  <si>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</si>
  <si>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</si>
  <si>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</si>
  <si>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</si>
  <si>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</si>
  <si>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</si>
  <si>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</si>
  <si>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</si>
  <si>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</si>
  <si>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</si>
  <si>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</si>
  <si>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</si>
  <si>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</si>
  <si>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</si>
  <si>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</si>
  <si>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</si>
  <si>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</si>
  <si>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</si>
  <si>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</si>
  <si>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</si>
  <si>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</si>
  <si>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</si>
  <si>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</si>
  <si>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</si>
  <si>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</si>
  <si>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</si>
  <si>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</si>
  <si>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</si>
  <si>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</si>
  <si>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</si>
  <si>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</si>
  <si>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</si>
  <si>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</si>
  <si>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</si>
  <si>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</si>
  <si>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</si>
  <si>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</si>
  <si>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</si>
  <si>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</si>
  <si>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</si>
  <si>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</si>
  <si>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</si>
  <si>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</si>
  <si>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</si>
  <si>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</si>
  <si>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</si>
  <si>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</si>
  <si>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</si>
  <si>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</si>
  <si>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</si>
  <si>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</si>
  <si>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</si>
  <si>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</si>
  <si>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</si>
  <si>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</si>
  <si>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</si>
  <si>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</si>
  <si>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</si>
  <si>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</si>
  <si>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</si>
  <si>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</si>
  <si>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</si>
  <si>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</si>
  <si>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</si>
  <si>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</si>
  <si>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</si>
  <si>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</si>
  <si>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</si>
  <si>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</si>
  <si>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</si>
  <si>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</si>
  <si>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</si>
  <si>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</si>
  <si>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</si>
  <si>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</si>
  <si>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</si>
  <si>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</si>
  <si>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</si>
  <si>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</si>
  <si>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</si>
  <si>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</si>
  <si>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</si>
  <si>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</si>
  <si>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</si>
  <si>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</si>
  <si>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</si>
  <si>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</si>
  <si>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</si>
  <si>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</si>
  <si>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</si>
  <si>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</si>
  <si>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</si>
  <si>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</si>
  <si>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</si>
  <si>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</si>
  <si>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</si>
  <si>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</si>
  <si>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</si>
  <si>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</si>
  <si>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</si>
  <si>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</si>
  <si>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</si>
  <si>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</si>
  <si>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</si>
  <si>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</si>
  <si>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</si>
  <si>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</si>
  <si>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</si>
  <si>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</si>
  <si>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</si>
  <si>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</si>
  <si>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</si>
  <si>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</si>
  <si>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</si>
  <si>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</si>
  <si>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</si>
  <si>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</si>
  <si>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</si>
  <si>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</si>
  <si>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</si>
  <si>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</si>
  <si>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</si>
  <si>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</si>
  <si>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</si>
  <si>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</si>
  <si>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</si>
  <si>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</si>
  <si>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</si>
  <si>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</si>
  <si>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</si>
  <si>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</si>
  <si>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</si>
  <si>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</si>
  <si>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</si>
  <si>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</si>
  <si>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</si>
  <si>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</si>
  <si>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</si>
  <si>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</si>
  <si>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</si>
  <si>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</si>
  <si>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</si>
  <si>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</si>
  <si>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</si>
  <si>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</si>
  <si>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</si>
  <si>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</si>
  <si>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</si>
  <si>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</si>
  <si>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</si>
  <si>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</si>
  <si>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</si>
  <si>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</si>
  <si>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</si>
  <si>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</si>
  <si>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</si>
  <si>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</si>
  <si>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</si>
  <si>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</si>
  <si>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</si>
  <si>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</si>
  <si>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</si>
  <si>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</si>
  <si>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</si>
  <si>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</si>
  <si>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</si>
  <si>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</si>
  <si>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</si>
  <si>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</si>
  <si>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</si>
  <si>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</si>
  <si>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</si>
  <si>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</si>
  <si>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</si>
  <si>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</si>
  <si>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</si>
  <si>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</si>
  <si>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</si>
  <si>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</si>
  <si>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</si>
  <si>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</si>
  <si>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</si>
  <si>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</si>
  <si>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</si>
  <si>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</si>
  <si>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</si>
  <si>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</si>
  <si>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</si>
  <si>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</si>
  <si>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</si>
  <si>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</si>
  <si>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</si>
  <si>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</si>
  <si>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</si>
  <si>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</si>
  <si>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</si>
  <si>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</si>
  <si>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</si>
  <si>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</si>
  <si>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</si>
  <si>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</si>
  <si>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</si>
  <si>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</si>
  <si>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</si>
  <si>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</si>
  <si>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</si>
  <si>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</si>
  <si>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</si>
  <si>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</si>
  <si>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</si>
  <si>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</si>
  <si>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</si>
  <si>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</si>
  <si>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</si>
  <si>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</si>
  <si>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</si>
  <si>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</si>
  <si>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</si>
  <si>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</si>
  <si>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</si>
  <si>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</si>
  <si>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</si>
  <si>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</si>
  <si>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</si>
  <si>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</si>
  <si>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</si>
  <si>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</si>
  <si>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</si>
  <si>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</si>
  <si>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</si>
  <si>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</si>
  <si>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</si>
  <si>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</si>
  <si>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</si>
  <si>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</si>
  <si>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</si>
  <si>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</si>
  <si>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</si>
  <si>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</si>
  <si>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</si>
  <si>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</si>
  <si>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</si>
  <si>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</si>
  <si>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</si>
  <si>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</si>
  <si>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</si>
  <si>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</si>
  <si>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</si>
  <si>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</si>
  <si>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</si>
  <si>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</si>
  <si>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</si>
  <si>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</si>
  <si>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</si>
  <si>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</si>
  <si>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</si>
  <si>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</si>
  <si>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</si>
  <si>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</si>
  <si>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</si>
  <si>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</si>
  <si>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</si>
  <si>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</si>
  <si>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</si>
  <si>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</si>
  <si>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</si>
  <si>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</si>
  <si>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</si>
  <si>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</si>
  <si>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</si>
  <si>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</si>
  <si>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</si>
  <si>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</si>
  <si>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</si>
  <si>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</si>
  <si>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</si>
  <si>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</si>
  <si>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</si>
  <si>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</si>
  <si>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</si>
  <si>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</si>
  <si>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</si>
  <si>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</si>
  <si>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</si>
  <si>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</si>
  <si>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</si>
  <si>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</si>
  <si>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</si>
  <si>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</si>
  <si>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</si>
  <si>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</si>
  <si>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</si>
  <si>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</si>
  <si>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</si>
  <si>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</si>
  <si>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</si>
  <si>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</si>
  <si>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</si>
  <si>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</si>
  <si>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</si>
  <si>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</si>
  <si>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</si>
  <si>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</si>
  <si>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</si>
  <si>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</si>
  <si>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</si>
  <si>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</si>
  <si>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</si>
  <si>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</si>
  <si>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</si>
  <si>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</si>
  <si>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</si>
  <si>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</si>
  <si>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</si>
  <si>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</si>
  <si>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</si>
  <si>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</si>
  <si>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</si>
  <si>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</si>
  <si>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</si>
  <si>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</si>
  <si>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</si>
  <si>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</si>
  <si>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</si>
  <si>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</si>
  <si>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</si>
  <si>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</si>
  <si>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</si>
  <si>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</si>
  <si>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</si>
  <si>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</si>
  <si>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</si>
  <si>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</si>
  <si>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</si>
  <si>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</si>
  <si>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</si>
  <si>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</si>
  <si>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</si>
  <si>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</si>
  <si>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</si>
  <si>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</si>
  <si>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</si>
  <si>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</si>
  <si>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</si>
  <si>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</si>
  <si>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</si>
  <si>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</si>
  <si>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</si>
  <si>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</si>
  <si>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</si>
  <si>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</si>
  <si>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</si>
  <si>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</si>
  <si>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</si>
  <si>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</si>
  <si>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</si>
  <si>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</si>
  <si>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</si>
  <si>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</si>
  <si>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</si>
  <si>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</si>
  <si>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</si>
  <si>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</si>
  <si>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</si>
  <si>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</si>
  <si>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</si>
  <si>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</si>
  <si>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</si>
  <si>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</si>
  <si>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</si>
  <si>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</si>
  <si>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</si>
  <si>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</si>
  <si>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</si>
  <si>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</si>
  <si>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</si>
  <si>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</si>
  <si>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</si>
  <si>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</si>
  <si>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</si>
  <si>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</si>
  <si>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</si>
  <si>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</si>
  <si>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</si>
  <si>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</si>
  <si>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</si>
  <si>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</si>
  <si>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</si>
  <si>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</si>
  <si>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</si>
  <si>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</si>
  <si>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</si>
  <si>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</si>
  <si>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</si>
  <si>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</si>
  <si>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</si>
  <si>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</si>
  <si>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</si>
  <si>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</si>
  <si>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</si>
  <si>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</si>
  <si>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</si>
  <si>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</si>
  <si>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</si>
  <si>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</si>
  <si>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</si>
  <si>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</si>
  <si>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</si>
  <si>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</si>
  <si>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</si>
  <si>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</si>
  <si>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</si>
  <si>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</si>
  <si>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</si>
  <si>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</si>
  <si>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</si>
  <si>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</si>
  <si>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</si>
  <si>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</si>
  <si>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</si>
  <si>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</si>
  <si>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</si>
  <si>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</si>
  <si>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</si>
  <si>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</si>
  <si>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</si>
  <si>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</si>
  <si>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</si>
  <si>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</si>
  <si>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</si>
  <si>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</si>
  <si>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</si>
  <si>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</si>
  <si>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</si>
  <si>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</si>
  <si>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</si>
  <si>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</si>
  <si>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</si>
  <si>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</si>
  <si>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</si>
  <si>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</si>
  <si>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</si>
  <si>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</si>
  <si>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</si>
  <si>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</si>
  <si>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</si>
  <si>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</si>
  <si>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</si>
  <si>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</si>
  <si>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</si>
  <si>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</si>
  <si>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</si>
  <si>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</si>
  <si>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</si>
  <si>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</si>
  <si>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</si>
  <si>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</si>
  <si>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</si>
  <si>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</si>
  <si>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</si>
  <si>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</si>
  <si>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</si>
  <si>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</si>
  <si>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</si>
  <si>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</si>
  <si>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</si>
  <si>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</si>
  <si>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</si>
  <si>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</si>
  <si>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</si>
  <si>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</si>
  <si>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</si>
  <si>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</si>
  <si>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</si>
  <si>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</si>
  <si>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</si>
  <si>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</si>
  <si>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</si>
  <si>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</si>
  <si>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</si>
  <si>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</si>
  <si>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</si>
  <si>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</si>
  <si>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</si>
  <si>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</si>
  <si>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</si>
  <si>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</si>
  <si>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</si>
  <si>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</si>
  <si>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</si>
  <si>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</si>
  <si>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</si>
  <si>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</si>
  <si>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</si>
  <si>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</si>
  <si>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</si>
  <si>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</si>
  <si>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</si>
  <si>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</si>
  <si>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</si>
  <si>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</si>
  <si>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</si>
  <si>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</si>
  <si>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</si>
  <si>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</si>
  <si>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</si>
  <si>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</si>
  <si>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</si>
  <si>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</si>
  <si>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</si>
  <si>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</si>
  <si>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</si>
  <si>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</si>
  <si>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</si>
  <si>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</si>
  <si>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</si>
  <si>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</si>
  <si>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</si>
  <si>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</si>
  <si>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</si>
  <si>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</si>
  <si>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</si>
  <si>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</si>
  <si>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</si>
  <si>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</si>
  <si>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</si>
  <si>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</si>
  <si>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</si>
  <si>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</si>
  <si>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</si>
  <si>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</si>
  <si>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</si>
  <si>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</si>
  <si>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</si>
  <si>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</si>
  <si>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</si>
  <si>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</si>
  <si>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</si>
  <si>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</si>
  <si>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</si>
  <si>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</si>
  <si>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</si>
  <si>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</si>
  <si>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</si>
  <si>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</si>
  <si>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</si>
  <si>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</si>
  <si>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</si>
  <si>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</si>
  <si>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</si>
  <si>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</si>
  <si>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</si>
  <si>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</si>
  <si>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</si>
  <si>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</si>
  <si>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</si>
  <si>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</si>
  <si>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</si>
  <si>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</si>
  <si>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</si>
  <si>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</si>
  <si>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</si>
  <si>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</si>
  <si>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</si>
  <si>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</si>
  <si>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</si>
  <si>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</si>
  <si>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</si>
  <si>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</si>
  <si>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</si>
  <si>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</si>
  <si>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</si>
  <si>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</si>
  <si>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</si>
  <si>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</si>
  <si>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</si>
  <si>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</si>
  <si>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</si>
  <si>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</si>
  <si>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</si>
  <si>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</si>
  <si>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</si>
  <si>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</si>
  <si>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</si>
  <si>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</si>
  <si>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</si>
  <si>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</si>
  <si>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</si>
  <si>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</si>
  <si>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</si>
  <si>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</si>
  <si>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</si>
  <si>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</si>
  <si>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</si>
  <si>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</si>
  <si>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</si>
  <si>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</si>
  <si>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</si>
  <si>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</si>
  <si>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</si>
  <si>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</si>
  <si>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</si>
  <si>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</si>
  <si>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</si>
  <si>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</si>
  <si>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</si>
  <si>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</si>
  <si>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</si>
  <si>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</si>
  <si>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</si>
  <si>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</si>
  <si>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</si>
  <si>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</si>
  <si>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</si>
  <si>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</si>
  <si>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</si>
  <si>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</si>
  <si>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</si>
  <si>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</si>
  <si>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</si>
  <si>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</si>
  <si>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</si>
  <si>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</si>
  <si>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</si>
  <si>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</si>
  <si>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</si>
  <si>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</si>
  <si>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</si>
  <si>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</si>
  <si>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</si>
  <si>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</si>
  <si>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</si>
  <si>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</si>
  <si>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</si>
  <si>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</si>
  <si>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</si>
  <si>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</si>
  <si>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</si>
  <si>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</si>
  <si>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</si>
  <si>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</si>
  <si>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</si>
  <si>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</si>
  <si>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</si>
  <si>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</si>
  <si>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</si>
  <si>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</si>
  <si>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</si>
  <si>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</si>
  <si>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</si>
  <si>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</si>
  <si>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</si>
  <si>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</si>
  <si>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</si>
  <si>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</si>
  <si>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</si>
  <si>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</si>
  <si>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</si>
  <si>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</si>
  <si>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</si>
  <si>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</si>
  <si>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</si>
  <si>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</si>
  <si>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</si>
  <si>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</si>
  <si>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</si>
  <si>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</si>
  <si>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</si>
  <si>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</si>
  <si>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</si>
  <si>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</si>
  <si>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</si>
  <si>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</si>
  <si>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</si>
  <si>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</si>
  <si>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</si>
  <si>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</si>
  <si>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</si>
  <si>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</si>
  <si>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</si>
  <si>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</si>
  <si>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</si>
  <si>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</si>
  <si>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</si>
  <si>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</si>
  <si>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</si>
  <si>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</si>
  <si>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</si>
  <si>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</si>
  <si>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</si>
  <si>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</si>
  <si>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</si>
  <si>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</si>
  <si>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</si>
  <si>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</si>
  <si>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</si>
  <si>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</si>
  <si>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</si>
  <si>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</si>
  <si>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</si>
  <si>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</si>
  <si>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</si>
  <si>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</si>
  <si>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</si>
  <si>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</si>
  <si>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</si>
  <si>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</si>
  <si>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</si>
  <si>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</si>
  <si>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</si>
  <si>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</si>
  <si>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</si>
  <si>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</si>
  <si>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</si>
  <si>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</si>
  <si>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</si>
  <si>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</si>
  <si>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</si>
  <si>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</si>
  <si>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</si>
  <si>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</si>
  <si>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</si>
  <si>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</si>
  <si>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</si>
  <si>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</si>
  <si>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</si>
  <si>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</si>
  <si>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</si>
  <si>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</si>
  <si>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</si>
  <si>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</si>
  <si>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</si>
  <si>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</si>
  <si>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</si>
  <si>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</si>
  <si>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</si>
  <si>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</si>
  <si>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</si>
  <si>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</si>
  <si>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</si>
  <si>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</si>
  <si>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</si>
  <si>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</si>
  <si>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</si>
  <si>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</si>
  <si>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</si>
  <si>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</si>
  <si>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</si>
  <si>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</si>
  <si>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</si>
  <si>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</si>
  <si>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</si>
  <si>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</si>
  <si>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</si>
  <si>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</si>
  <si>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</si>
  <si>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</si>
  <si>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</si>
  <si>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</si>
  <si>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</si>
  <si>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</si>
  <si>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</si>
  <si>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</si>
  <si>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</si>
  <si>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</si>
  <si>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</si>
  <si>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</si>
  <si>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</si>
  <si>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</si>
  <si>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</si>
  <si>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</si>
  <si>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</si>
  <si>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</si>
  <si>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</si>
  <si>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</si>
  <si>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</si>
  <si>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</si>
  <si>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</si>
  <si>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</si>
  <si>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</si>
  <si>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</si>
  <si>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</si>
  <si>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</si>
  <si>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</si>
  <si>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</si>
  <si>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</si>
  <si>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</si>
  <si>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</si>
  <si>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</si>
  <si>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</si>
  <si>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</si>
  <si>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</si>
  <si>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</si>
  <si>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</si>
  <si>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</si>
  <si>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</si>
  <si>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</si>
  <si>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</si>
  <si>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</si>
  <si>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</si>
  <si>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</si>
  <si>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</si>
  <si>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</si>
  <si>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</si>
  <si>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</si>
  <si>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</si>
  <si>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</si>
  <si>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</si>
  <si>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</si>
  <si>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</si>
  <si>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</si>
  <si>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</si>
  <si>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</si>
  <si>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</si>
  <si>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</si>
  <si>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</si>
  <si>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</si>
  <si>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</si>
  <si>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</si>
  <si>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</si>
  <si>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</si>
  <si>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</si>
  <si>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</si>
  <si>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</si>
  <si>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</si>
  <si>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</si>
  <si>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</si>
  <si>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</si>
  <si>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</si>
  <si>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</si>
  <si>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</si>
  <si>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</si>
  <si>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</si>
  <si>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</si>
  <si>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</si>
  <si>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</si>
  <si>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</si>
  <si>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</si>
  <si>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</si>
  <si>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</si>
  <si>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</si>
  <si>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</si>
  <si>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</si>
  <si>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</si>
  <si>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</si>
  <si>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</si>
  <si>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</si>
  <si>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</si>
  <si>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</si>
  <si>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</si>
  <si>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</si>
  <si>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</si>
  <si>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</si>
  <si>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</si>
  <si>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</si>
  <si>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</si>
  <si>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</si>
  <si>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</si>
  <si>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</si>
  <si>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</si>
  <si>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</si>
  <si>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</si>
  <si>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</si>
  <si>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</si>
  <si>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</si>
  <si>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</si>
  <si>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</si>
  <si>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</si>
  <si>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</si>
  <si>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</si>
  <si>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</si>
  <si>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</si>
  <si>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</si>
  <si>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</si>
  <si>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</si>
  <si>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</si>
  <si>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</si>
  <si>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</si>
  <si>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</si>
  <si>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</si>
  <si>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</si>
  <si>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</si>
  <si>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</si>
  <si>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</si>
  <si>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</si>
  <si>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</si>
  <si>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</si>
  <si>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</si>
  <si>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</si>
  <si>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</si>
  <si>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</si>
  <si>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</si>
  <si>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</si>
  <si>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</si>
  <si>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</si>
  <si>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</si>
  <si>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</si>
  <si>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</si>
  <si>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</si>
  <si>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</si>
  <si>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</si>
  <si>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</si>
  <si>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</si>
  <si>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</si>
  <si>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</si>
  <si>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</si>
  <si>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</si>
  <si>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</si>
  <si>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</si>
  <si>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</si>
  <si>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</si>
  <si>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</si>
  <si>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</si>
  <si>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</si>
  <si>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</si>
  <si>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</si>
  <si>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</si>
  <si>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</si>
  <si>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</si>
  <si>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</si>
  <si>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</si>
  <si>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</si>
  <si>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</si>
  <si>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</si>
  <si>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</si>
  <si>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</si>
  <si>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</si>
  <si>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</si>
  <si>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</si>
  <si>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</si>
  <si>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</si>
  <si>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</si>
  <si>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</si>
  <si>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</si>
  <si>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</si>
  <si>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</si>
  <si>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</si>
  <si>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</si>
  <si>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</si>
  <si>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</si>
  <si>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</si>
  <si>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</si>
  <si>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</si>
  <si>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</si>
  <si>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</si>
  <si>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</si>
  <si>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</si>
  <si>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</si>
  <si>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</si>
  <si>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</si>
  <si>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</si>
  <si>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</si>
  <si>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</si>
  <si>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</si>
  <si>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</si>
  <si>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</si>
  <si>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</si>
  <si>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</si>
  <si>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</si>
  <si>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</si>
  <si>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</si>
  <si>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</si>
  <si>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</si>
  <si>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</si>
  <si>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</si>
  <si>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</si>
  <si>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</si>
  <si>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</si>
  <si>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</si>
  <si>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</si>
  <si>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</si>
  <si>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</si>
  <si>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</si>
  <si>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</si>
  <si>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</si>
  <si>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</si>
  <si>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</si>
  <si>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</si>
  <si>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</si>
  <si>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</si>
  <si>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</si>
  <si>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</si>
  <si>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</si>
  <si>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</si>
  <si>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</si>
  <si>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</si>
  <si>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</si>
  <si>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</si>
  <si>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</si>
  <si>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</si>
  <si>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</si>
  <si>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</si>
  <si>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</si>
  <si>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</si>
  <si>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</si>
  <si>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</si>
  <si>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</si>
  <si>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</si>
  <si>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</si>
  <si>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</si>
  <si>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</si>
  <si>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</si>
  <si>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</si>
  <si>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</si>
  <si>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</si>
  <si>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</si>
  <si>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</si>
  <si>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</si>
  <si>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</si>
  <si>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</si>
  <si>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</si>
  <si>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</si>
  <si>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</si>
  <si>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</si>
  <si>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</si>
  <si>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</si>
  <si>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</si>
  <si>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</si>
  <si>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</si>
  <si>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</si>
  <si>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</si>
  <si>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</si>
  <si>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</si>
  <si>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</si>
  <si>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</si>
  <si>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</si>
  <si>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</si>
  <si>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</si>
  <si>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</si>
  <si>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</si>
  <si>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</si>
  <si>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</si>
  <si>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</si>
  <si>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</si>
  <si>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</si>
  <si>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</si>
  <si>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</si>
  <si>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</si>
  <si>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</si>
  <si>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</si>
  <si>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</si>
  <si>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</si>
  <si>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</si>
  <si>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</si>
  <si>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</si>
  <si>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</si>
  <si>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</si>
  <si>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</si>
  <si>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</si>
  <si>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</si>
  <si>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</si>
  <si>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</si>
  <si>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</si>
  <si>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</si>
  <si>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</si>
  <si>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</si>
  <si>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</si>
  <si>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</si>
  <si>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</si>
  <si>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</si>
  <si>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</si>
  <si>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</si>
  <si>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</si>
  <si>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</si>
  <si>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</si>
  <si>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</si>
  <si>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</si>
  <si>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</si>
  <si>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</si>
  <si>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</si>
  <si>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</si>
  <si>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</si>
  <si>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</si>
  <si>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</si>
  <si>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</si>
  <si>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</si>
  <si>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</si>
  <si>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</si>
  <si>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</si>
  <si>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</si>
  <si>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</si>
  <si>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</si>
  <si>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</si>
  <si>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</si>
  <si>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</si>
  <si>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</si>
  <si>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</si>
  <si>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</si>
  <si>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</si>
  <si>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</si>
  <si>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</si>
  <si>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</si>
  <si>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</si>
  <si>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</si>
  <si>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</si>
  <si>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</si>
  <si>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</si>
  <si>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</si>
  <si>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</si>
  <si>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</si>
  <si>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</si>
  <si>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</si>
  <si>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</si>
  <si>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</si>
  <si>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</si>
  <si>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</si>
  <si>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</si>
  <si>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</si>
  <si>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</si>
  <si>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</si>
  <si>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</si>
  <si>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</si>
  <si>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</si>
  <si>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</si>
  <si>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</si>
  <si>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</si>
  <si>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</si>
  <si>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</si>
  <si>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</si>
  <si>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</si>
  <si>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</si>
  <si>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</si>
  <si>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</si>
  <si>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</si>
  <si>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</si>
  <si>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</si>
  <si>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</si>
  <si>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</si>
  <si>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</si>
  <si>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</si>
  <si>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</si>
  <si>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</si>
  <si>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</si>
  <si>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</si>
  <si>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</si>
  <si>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</si>
  <si>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</si>
  <si>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</si>
  <si>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</si>
  <si>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</si>
  <si>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</si>
  <si>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</si>
  <si>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</si>
  <si>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</si>
  <si>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</si>
  <si>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</si>
  <si>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</si>
  <si>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</si>
  <si>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</si>
  <si>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</si>
  <si>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</si>
  <si>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</si>
  <si>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</si>
  <si>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</si>
  <si>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</si>
  <si>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</si>
  <si>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</si>
  <si>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</si>
  <si>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</si>
  <si>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</si>
  <si>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</si>
  <si>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</si>
  <si>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</si>
  <si>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</si>
  <si>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</si>
  <si>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</si>
  <si>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</si>
  <si>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</si>
  <si>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</si>
  <si>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</si>
  <si>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</si>
  <si>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</si>
  <si>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</si>
  <si>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</si>
  <si>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</si>
  <si>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</si>
  <si>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</si>
  <si>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</si>
  <si>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</si>
  <si>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</si>
  <si>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</si>
  <si>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</si>
  <si>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</si>
  <si>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</si>
  <si>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</si>
  <si>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</si>
  <si>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</si>
  <si>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</si>
  <si>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</si>
  <si>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</si>
  <si>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</si>
  <si>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</si>
  <si>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</si>
  <si>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</si>
  <si>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</si>
  <si>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</si>
  <si>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</si>
  <si>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</si>
  <si>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</si>
  <si>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</si>
  <si>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</si>
  <si>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</si>
  <si>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</si>
  <si>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</si>
  <si>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</si>
  <si>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</si>
  <si>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</si>
  <si>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</si>
  <si>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</si>
  <si>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</si>
  <si>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</si>
  <si>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</si>
  <si>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</si>
  <si>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</si>
  <si>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</si>
  <si>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</si>
  <si>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</si>
  <si>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</si>
  <si>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</si>
  <si>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</si>
  <si>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</si>
  <si>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</si>
  <si>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</si>
  <si>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</si>
  <si>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</si>
  <si>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</si>
  <si>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</si>
  <si>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</si>
  <si>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</si>
  <si>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</si>
  <si>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</si>
  <si>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</si>
  <si>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</si>
  <si>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</si>
  <si>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</si>
  <si>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</si>
  <si>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</si>
  <si>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</si>
  <si>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</si>
  <si>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</si>
  <si>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</si>
  <si>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</si>
  <si>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</si>
  <si>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</si>
  <si>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</si>
  <si>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</si>
  <si>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</si>
  <si>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</si>
  <si>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</si>
  <si>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</si>
  <si>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</si>
  <si>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</si>
  <si>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</si>
  <si>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</si>
  <si>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</si>
  <si>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</si>
  <si>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</si>
  <si>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</si>
  <si>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</si>
  <si>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</si>
  <si>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</si>
  <si>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</si>
  <si>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</si>
  <si>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</si>
  <si>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</si>
  <si>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</si>
  <si>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</si>
  <si>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</si>
  <si>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</si>
  <si>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</si>
  <si>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</si>
  <si>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</si>
  <si>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</si>
  <si>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</si>
  <si>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</si>
  <si>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</si>
  <si>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</si>
  <si>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</si>
  <si>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</si>
  <si>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</si>
  <si>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</si>
  <si>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</si>
  <si>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</si>
  <si>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</si>
  <si>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</si>
  <si>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</si>
  <si>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</si>
  <si>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</si>
  <si>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</si>
  <si>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</si>
  <si>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</si>
  <si>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</si>
  <si>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</si>
  <si>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</si>
  <si>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</si>
  <si>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</si>
  <si>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</si>
  <si>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</si>
  <si>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</si>
  <si>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</si>
  <si>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</si>
  <si>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</si>
  <si>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</si>
  <si>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</si>
  <si>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</si>
  <si>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</si>
  <si>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</si>
  <si>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</si>
  <si>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</si>
  <si>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</si>
  <si>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</si>
  <si>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</si>
  <si>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</si>
  <si>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</si>
  <si>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</si>
  <si>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</si>
  <si>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</si>
  <si>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</si>
  <si>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</si>
  <si>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</si>
  <si>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</si>
  <si>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</si>
  <si>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</si>
  <si>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</si>
  <si>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</si>
  <si>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</si>
  <si>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</si>
  <si>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</si>
  <si>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</si>
  <si>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</si>
  <si>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</si>
  <si>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</si>
  <si>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</si>
  <si>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</si>
  <si>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</si>
  <si>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</si>
  <si>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</si>
  <si>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</si>
  <si>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</si>
  <si>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</si>
  <si>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</si>
  <si>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</si>
  <si>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</si>
  <si>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</si>
  <si>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</si>
  <si>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</si>
  <si>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</si>
  <si>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</si>
  <si>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</si>
  <si>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</si>
  <si>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</si>
  <si>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</si>
  <si>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</si>
  <si>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</si>
  <si>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</si>
  <si>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</si>
  <si>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</si>
  <si>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</si>
  <si>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</si>
  <si>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</si>
  <si>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</si>
  <si>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</si>
  <si>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</si>
  <si>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</si>
  <si>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</si>
  <si>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</si>
  <si>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</si>
  <si>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</si>
  <si>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</si>
  <si>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</si>
  <si>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</si>
  <si>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</si>
  <si>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</si>
  <si>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</si>
  <si>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</si>
  <si>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</si>
  <si>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</si>
  <si>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</si>
  <si>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</si>
  <si>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</si>
  <si>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</si>
  <si>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</si>
  <si>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</si>
  <si>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</si>
  <si>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</si>
  <si>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</si>
  <si>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</si>
  <si>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</si>
  <si>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</si>
  <si>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</si>
  <si>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</si>
  <si>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</si>
  <si>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</si>
  <si>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</si>
  <si>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</si>
  <si>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</si>
  <si>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</si>
  <si>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</si>
  <si>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</si>
  <si>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</si>
  <si>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</si>
  <si>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</si>
  <si>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</si>
  <si>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</si>
  <si>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</si>
  <si>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</si>
  <si>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</si>
  <si>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</si>
  <si>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</si>
  <si>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</si>
  <si>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</si>
  <si>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</si>
  <si>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</si>
  <si>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</si>
  <si>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</si>
  <si>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</si>
  <si>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</si>
  <si>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</si>
  <si>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</si>
  <si>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</si>
  <si>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</si>
  <si>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</si>
  <si>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</si>
  <si>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</si>
  <si>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</si>
  <si>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</si>
  <si>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</si>
  <si>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</si>
  <si>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</si>
  <si>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</si>
  <si>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</si>
  <si>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</si>
  <si>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</si>
  <si>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</si>
  <si>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</si>
  <si>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</si>
  <si>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</si>
  <si>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</si>
  <si>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</si>
  <si>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</si>
  <si>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</si>
  <si>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</si>
  <si>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</si>
  <si>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</si>
  <si>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</si>
  <si>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</si>
  <si>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</si>
  <si>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</si>
  <si>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</si>
  <si>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</si>
  <si>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</si>
  <si>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</si>
  <si>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</si>
  <si>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</si>
  <si>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</si>
  <si>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</si>
  <si>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</si>
  <si>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</si>
  <si>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</si>
  <si>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</si>
  <si>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</si>
  <si>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</si>
  <si>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</si>
  <si>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</si>
  <si>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</si>
  <si>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</si>
  <si>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</si>
  <si>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</si>
  <si>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</si>
  <si>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</si>
  <si>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</si>
  <si>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</si>
  <si>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</si>
  <si>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</si>
  <si>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</si>
  <si>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</si>
  <si>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</si>
  <si>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</si>
  <si>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</si>
  <si>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</si>
  <si>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</si>
  <si>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</si>
  <si>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</si>
  <si>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</si>
  <si>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</si>
  <si>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</si>
  <si>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</si>
  <si>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</si>
  <si>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</si>
  <si>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</si>
  <si>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</si>
  <si>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</si>
  <si>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</si>
  <si>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</si>
  <si>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</si>
  <si>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</si>
  <si>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</si>
  <si>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</si>
  <si>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</si>
  <si>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</si>
  <si>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</si>
  <si>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</si>
  <si>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</si>
  <si>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</si>
  <si>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</si>
  <si>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</si>
  <si>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</si>
  <si>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</si>
  <si>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</si>
  <si>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</si>
  <si>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</si>
  <si>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</si>
  <si>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</si>
  <si>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</si>
  <si>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</si>
  <si>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</si>
  <si>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</si>
  <si>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</si>
  <si>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</si>
  <si>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</si>
  <si>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</si>
  <si>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</si>
  <si>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</si>
  <si>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</si>
  <si>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</si>
  <si>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</si>
  <si>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</si>
  <si>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</si>
  <si>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</si>
  <si>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</si>
  <si>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</si>
  <si>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</si>
  <si>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</si>
  <si>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</si>
  <si>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</si>
  <si>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</si>
  <si>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</si>
  <si>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</si>
  <si>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</si>
  <si>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</si>
  <si>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</si>
  <si>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</si>
  <si>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</si>
  <si>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</si>
  <si>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</si>
  <si>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</si>
  <si>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</si>
  <si>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</si>
  <si>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</si>
  <si>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</si>
  <si>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</si>
  <si>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</si>
  <si>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</si>
  <si>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</si>
  <si>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</si>
  <si>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</si>
  <si>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</si>
  <si>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</si>
  <si>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</si>
  <si>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</si>
  <si>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</si>
  <si>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</si>
  <si>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</si>
  <si>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</si>
  <si>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</si>
  <si>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</si>
  <si>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</si>
  <si>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</si>
  <si>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</si>
  <si>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</si>
  <si>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</si>
  <si>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</si>
  <si>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</si>
  <si>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</si>
  <si>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</si>
  <si>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</si>
  <si>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</si>
  <si>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</si>
  <si>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</si>
  <si>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</si>
  <si>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</si>
  <si>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x</t>
  </si>
  <si>
    <t>Winnebago</t>
  </si>
  <si>
    <t>5410 Pine Lane</t>
  </si>
  <si>
    <t>Roscoe</t>
  </si>
  <si>
    <t>Ms. Keli Freelund</t>
  </si>
  <si>
    <t>kfreelund@kinnschools.org</t>
  </si>
  <si>
    <t>815-623-2837</t>
  </si>
  <si>
    <t>815-623-9285</t>
  </si>
  <si>
    <t>815-636-3060</t>
  </si>
  <si>
    <t>815-636-3069</t>
  </si>
  <si>
    <t>X</t>
  </si>
  <si>
    <t>G.O. Refunding School Bonds, Series 2010B</t>
  </si>
  <si>
    <t>Note 1</t>
  </si>
  <si>
    <t>Prairie State Insurance Cooperative (140+ Members)</t>
  </si>
  <si>
    <t>Joint waste disposal services with Rockton SD#140</t>
  </si>
  <si>
    <t>Note 2</t>
  </si>
  <si>
    <t>Note 1: Food services - joint bid for dairy and bread products with Shirland CCSD #134, Prairie Hill CCSD #133, Rockton SD #140, Hononegah CHSD #207, County of Winnebago #320, and North Boone SD #200</t>
  </si>
  <si>
    <t>Note 2: Special Education serivecs: received from special education cooperative that serves other districts - Shirland CCSD #134, Prairie Hill SD #133, Rockton SD #140, Hononegah CHSD #207,</t>
  </si>
  <si>
    <t>County of Winnebago SD #320, Pecatonica CUSD #321, Durand SD #322, and Winnebago CUSD #323</t>
  </si>
  <si>
    <t>Account</t>
  </si>
  <si>
    <t>Page</t>
  </si>
  <si>
    <t>Line #</t>
  </si>
  <si>
    <t>Student Supply Fees</t>
  </si>
  <si>
    <t>Registration Fees, Tech Fees, &amp; Kids Care Fees</t>
  </si>
  <si>
    <t>IMRF, FICA and Medicare Support Services</t>
  </si>
  <si>
    <t>Easter Seals - Rockford</t>
  </si>
  <si>
    <t>Allendale School - Lake Villa</t>
  </si>
  <si>
    <t>40-2550-300</t>
  </si>
  <si>
    <t>Education/Transportation</t>
  </si>
  <si>
    <t>Single Path - Professional &amp; Tech Serv</t>
  </si>
  <si>
    <t>Due to a delay in receiving the state's property tax rate multiplier, the 2019 Winnebago County property tax cycle was also delayed several  weeks. For this reason, school district's with property located in Winnebago County received significantly less property tax revenue prior to their June 30th fiscal year-end. At no fault of the District, current year revenue is much lower than anticipated, causing a significant decrease in the District's Estimated Financial Profile Score as calculated on page 4.</t>
  </si>
  <si>
    <t>ED-Instruction-Other</t>
  </si>
  <si>
    <t>ED-General Admin. - Purchased Service</t>
  </si>
  <si>
    <t>10-2300-300</t>
  </si>
  <si>
    <t>TR-Pupil Transportation - Purchased Services</t>
  </si>
  <si>
    <t xml:space="preserve">Joint bus contract with Prairie Hill CCSD #122, Rockton #140, </t>
  </si>
  <si>
    <t>Hononegah CHSD #207 and County of Winnebago SD #320</t>
  </si>
  <si>
    <t>Bond Fees</t>
  </si>
  <si>
    <t>Scott Bloomquist</t>
  </si>
  <si>
    <t>sbloomquist@roe4.org</t>
  </si>
  <si>
    <t>Kinnikinnick CCSD 131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</si>
</sst>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49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75" fillId="0" borderId="0" xfId="0" applyFont="1" applyAlignment="1">
      <alignment horizontal="center"/>
    </xf>
    <xf numFmtId="0" fontId="57" fillId="0" borderId="0" xfId="0" applyFont="1" applyAlignment="1">
      <alignment horizontal="center"/>
    </xf>
    <xf numFmtId="181" fontId="57" fillId="0" borderId="0" xfId="19" applyNumberFormat="1" applyFont="1"/>
    <xf numFmtId="181" fontId="75" fillId="0" borderId="0" xfId="19" applyNumberFormat="1" applyFont="1" applyAlignment="1">
      <alignment horizontal="center"/>
    </xf>
    <xf numFmtId="181" fontId="57" fillId="0" borderId="165" xfId="19" applyNumberFormat="1" applyFont="1" applyBorder="1" applyAlignment="1">
      <alignment horizontal="center"/>
    </xf>
    <xf numFmtId="181" fontId="57" fillId="0" borderId="0" xfId="19" applyNumberFormat="1" applyFont="1" applyAlignment="1">
      <alignment horizontal="center"/>
    </xf>
    <xf numFmtId="0" fontId="2"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F0"/>
  </sheetPr>
  <dimension ref="A1:AB48"/>
  <sheetViews>
    <sheetView showGridLines="0" tabSelected="1" zoomScaleNormal="10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90" t="s">
        <v>405</v>
      </c>
      <c r="J1" s="1991"/>
      <c r="K1" s="1991"/>
      <c r="L1" s="1991"/>
      <c r="M1" s="1991"/>
      <c r="N1" s="1991"/>
      <c r="O1" s="1991"/>
      <c r="P1" s="1991"/>
      <c r="Q1" s="1991"/>
      <c r="R1" s="1991"/>
      <c r="S1" s="1991"/>
    </row>
    <row r="2" spans="1:28" ht="12" customHeight="1" x14ac:dyDescent="0.2">
      <c r="A2" s="47" t="s">
        <v>1993</v>
      </c>
      <c r="D2" s="48"/>
      <c r="I2" s="1992" t="s">
        <v>979</v>
      </c>
      <c r="J2" s="1991"/>
      <c r="K2" s="1991"/>
      <c r="L2" s="1991"/>
      <c r="M2" s="1991"/>
      <c r="N2" s="1991"/>
      <c r="O2" s="1991"/>
      <c r="P2" s="1991"/>
      <c r="Q2" s="1991"/>
      <c r="R2" s="1991"/>
      <c r="S2" s="1991"/>
    </row>
    <row r="3" spans="1:28" ht="12" customHeight="1" x14ac:dyDescent="0.2">
      <c r="A3" s="155" t="s">
        <v>1945</v>
      </c>
      <c r="B3" s="156"/>
      <c r="C3" s="156"/>
      <c r="D3" s="157"/>
      <c r="I3" s="1992" t="s">
        <v>52</v>
      </c>
      <c r="J3" s="1991"/>
      <c r="K3" s="1991"/>
      <c r="L3" s="1991"/>
      <c r="M3" s="1991"/>
      <c r="N3" s="1991"/>
      <c r="O3" s="1991"/>
      <c r="P3" s="1991"/>
      <c r="Q3" s="1991"/>
      <c r="R3" s="1991"/>
      <c r="S3" s="1991"/>
    </row>
    <row r="4" spans="1:28" ht="12" customHeight="1" x14ac:dyDescent="0.2">
      <c r="A4" s="37"/>
      <c r="I4" s="1992" t="s">
        <v>524</v>
      </c>
      <c r="J4" s="1991"/>
      <c r="K4" s="1991"/>
      <c r="L4" s="1991"/>
      <c r="M4" s="1991"/>
      <c r="N4" s="1991"/>
      <c r="O4" s="1991"/>
      <c r="P4" s="1991"/>
      <c r="Q4" s="1991"/>
      <c r="R4" s="1991"/>
      <c r="S4" s="1991"/>
    </row>
    <row r="5" spans="1:28" ht="14.1" customHeight="1" x14ac:dyDescent="0.2">
      <c r="B5" s="104" t="s">
        <v>2073</v>
      </c>
      <c r="C5" s="26" t="s">
        <v>910</v>
      </c>
      <c r="D5" s="84"/>
      <c r="E5" s="84"/>
      <c r="H5" s="38"/>
      <c r="I5" s="2000" t="s">
        <v>680</v>
      </c>
      <c r="J5" s="1999"/>
      <c r="K5" s="1999"/>
      <c r="L5" s="1999"/>
      <c r="M5" s="1999"/>
      <c r="N5" s="1999"/>
      <c r="O5" s="1999"/>
      <c r="P5" s="1999"/>
      <c r="Q5" s="1999"/>
      <c r="R5" s="1999"/>
      <c r="S5" s="1999"/>
    </row>
    <row r="6" spans="1:28" ht="14.1" customHeight="1" x14ac:dyDescent="0.2">
      <c r="B6" s="104"/>
      <c r="C6" s="26" t="s">
        <v>911</v>
      </c>
      <c r="D6" s="84"/>
      <c r="E6" s="84"/>
      <c r="I6" s="1998" t="s">
        <v>883</v>
      </c>
      <c r="J6" s="1999"/>
      <c r="K6" s="1999"/>
      <c r="L6" s="1999"/>
      <c r="M6" s="1999"/>
      <c r="N6" s="1999"/>
      <c r="O6" s="1999"/>
      <c r="P6" s="1999"/>
      <c r="Q6" s="1999"/>
      <c r="R6" s="1999"/>
      <c r="S6" s="1999"/>
    </row>
    <row r="7" spans="1:28" ht="12.2" customHeight="1" x14ac:dyDescent="0.2">
      <c r="I7" s="1993">
        <v>43646</v>
      </c>
      <c r="J7" s="1994"/>
      <c r="K7" s="1994"/>
      <c r="L7" s="1994"/>
      <c r="M7" s="1994"/>
      <c r="N7" s="1994"/>
      <c r="O7" s="1994"/>
      <c r="P7" s="1994"/>
      <c r="Q7" s="1994"/>
      <c r="R7" s="1994"/>
      <c r="S7" s="199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5" t="s">
        <v>674</v>
      </c>
      <c r="J9" s="1996"/>
      <c r="K9" s="1996"/>
      <c r="L9" s="1996"/>
      <c r="M9" s="1996"/>
      <c r="N9" s="1996"/>
      <c r="O9" s="1996"/>
      <c r="P9" s="1996"/>
      <c r="Q9" s="1996"/>
      <c r="R9" s="1996"/>
      <c r="S9" s="1997"/>
      <c r="T9" s="2011" t="s">
        <v>533</v>
      </c>
      <c r="U9" s="2012"/>
      <c r="V9" s="2012"/>
      <c r="W9" s="2012"/>
      <c r="X9" s="2012"/>
      <c r="Y9" s="2012"/>
      <c r="Z9" s="2012"/>
      <c r="AA9" s="2013"/>
    </row>
    <row r="10" spans="1:28" ht="13.5" customHeight="1" x14ac:dyDescent="0.2">
      <c r="A10" s="2018" t="s">
        <v>675</v>
      </c>
      <c r="B10" s="2019"/>
      <c r="C10" s="2019"/>
      <c r="D10" s="2019"/>
      <c r="E10" s="2019"/>
      <c r="F10" s="2019"/>
      <c r="G10" s="2019"/>
      <c r="H10" s="2020"/>
      <c r="I10" s="29"/>
      <c r="J10" s="30"/>
      <c r="K10" s="28"/>
      <c r="R10" s="30"/>
      <c r="S10" s="30"/>
      <c r="T10" s="2014"/>
      <c r="U10" s="1999"/>
      <c r="V10" s="1999"/>
      <c r="W10" s="1999"/>
      <c r="X10" s="1999"/>
      <c r="Y10" s="1999"/>
      <c r="Z10" s="1999"/>
      <c r="AA10" s="2005"/>
    </row>
    <row r="11" spans="1:28" ht="14.25" customHeight="1" x14ac:dyDescent="0.2">
      <c r="A11" s="2021" t="s">
        <v>955</v>
      </c>
      <c r="B11" s="2022"/>
      <c r="C11" s="2022"/>
      <c r="D11" s="2022"/>
      <c r="E11" s="2022"/>
      <c r="F11" s="2022"/>
      <c r="G11" s="2022"/>
      <c r="H11" s="2023"/>
      <c r="I11" s="27"/>
      <c r="J11" s="74"/>
      <c r="K11" s="27"/>
      <c r="O11" s="148" t="s">
        <v>2073</v>
      </c>
      <c r="P11" s="100" t="s">
        <v>201</v>
      </c>
      <c r="Q11" s="30"/>
      <c r="R11" s="28"/>
      <c r="S11" s="27"/>
      <c r="T11" s="2015"/>
      <c r="U11" s="2016"/>
      <c r="V11" s="2016"/>
      <c r="W11" s="2016"/>
      <c r="X11" s="2016"/>
      <c r="Y11" s="2016"/>
      <c r="Z11" s="2016"/>
      <c r="AA11" s="201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5">
        <v>4101131004</v>
      </c>
      <c r="B13" s="2026"/>
      <c r="C13" s="2026"/>
      <c r="D13" s="2026"/>
      <c r="E13" s="2026"/>
      <c r="F13" s="2026"/>
      <c r="G13" s="2026"/>
      <c r="H13" s="2027"/>
      <c r="I13" s="31"/>
      <c r="J13" s="30"/>
      <c r="K13" s="28"/>
      <c r="L13" s="30"/>
      <c r="M13" s="30"/>
      <c r="N13" s="30"/>
      <c r="O13" s="30"/>
      <c r="P13" s="30"/>
      <c r="Q13" s="30"/>
      <c r="R13" s="30"/>
      <c r="S13" s="30"/>
      <c r="T13" s="2030" t="s">
        <v>2064</v>
      </c>
      <c r="U13" s="2031"/>
      <c r="V13" s="2031"/>
      <c r="W13" s="2031"/>
      <c r="X13" s="2031"/>
      <c r="Y13" s="2032"/>
      <c r="Z13" s="2032"/>
      <c r="AA13" s="203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4" t="s">
        <v>2074</v>
      </c>
      <c r="B15" s="2028"/>
      <c r="C15" s="2028"/>
      <c r="D15" s="2028"/>
      <c r="E15" s="2028"/>
      <c r="F15" s="2028"/>
      <c r="G15" s="2028"/>
      <c r="H15" s="2029"/>
      <c r="T15" s="2034" t="s">
        <v>2065</v>
      </c>
      <c r="U15" s="1978"/>
      <c r="V15" s="1978"/>
      <c r="W15" s="1978"/>
      <c r="X15" s="1978"/>
      <c r="Y15" s="2035"/>
      <c r="Z15" s="2035"/>
      <c r="AA15" s="203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4" t="s">
        <v>2113</v>
      </c>
      <c r="B17" s="1985"/>
      <c r="C17" s="1985"/>
      <c r="D17" s="1985"/>
      <c r="E17" s="1985"/>
      <c r="F17" s="1985"/>
      <c r="G17" s="1985"/>
      <c r="H17" s="2010"/>
      <c r="T17" s="2041" t="s">
        <v>2066</v>
      </c>
      <c r="U17" s="2042"/>
      <c r="V17" s="2042"/>
      <c r="W17" s="2042"/>
      <c r="X17" s="2042"/>
      <c r="Y17" s="2042"/>
      <c r="Z17" s="2042"/>
      <c r="AA17" s="2043"/>
    </row>
    <row r="18" spans="1:27" ht="13.5" customHeight="1" x14ac:dyDescent="0.2">
      <c r="A18" s="85" t="s">
        <v>530</v>
      </c>
      <c r="B18" s="76"/>
      <c r="C18" s="72"/>
      <c r="D18" s="76"/>
      <c r="E18" s="76"/>
      <c r="F18" s="76"/>
      <c r="G18" s="76"/>
      <c r="H18" s="56"/>
      <c r="I18" s="2009" t="s">
        <v>676</v>
      </c>
      <c r="J18" s="1960"/>
      <c r="K18" s="1960"/>
      <c r="L18" s="1960"/>
      <c r="M18" s="1960"/>
      <c r="N18" s="1960"/>
      <c r="O18" s="1960"/>
      <c r="P18" s="1960"/>
      <c r="Q18" s="1960"/>
      <c r="R18" s="1960"/>
      <c r="S18" s="1961"/>
      <c r="T18" s="85" t="s">
        <v>711</v>
      </c>
      <c r="U18" s="51"/>
      <c r="V18" s="72"/>
      <c r="W18" s="50"/>
      <c r="X18" s="85" t="s">
        <v>266</v>
      </c>
      <c r="Y18" s="81"/>
      <c r="Z18" s="159" t="s">
        <v>677</v>
      </c>
      <c r="AA18" s="46"/>
    </row>
    <row r="19" spans="1:27" ht="13.5" customHeight="1" x14ac:dyDescent="0.2">
      <c r="A19" s="2024" t="s">
        <v>2075</v>
      </c>
      <c r="B19" s="1970"/>
      <c r="C19" s="1970"/>
      <c r="D19" s="1970"/>
      <c r="E19" s="1970"/>
      <c r="F19" s="1970"/>
      <c r="G19" s="1970"/>
      <c r="H19" s="1950"/>
      <c r="I19" s="30"/>
      <c r="J19" s="99"/>
      <c r="K19" s="40"/>
      <c r="L19" s="38"/>
      <c r="M19" s="112" t="s">
        <v>315</v>
      </c>
      <c r="P19" s="27"/>
      <c r="Q19" s="27"/>
      <c r="R19" s="27"/>
      <c r="S19" s="31"/>
      <c r="T19" s="2024" t="s">
        <v>2067</v>
      </c>
      <c r="U19" s="1949"/>
      <c r="V19" s="1949"/>
      <c r="W19" s="1950"/>
      <c r="X19" s="2039" t="s">
        <v>2068</v>
      </c>
      <c r="Y19" s="2040"/>
      <c r="Z19" s="2037">
        <v>61032</v>
      </c>
      <c r="AA19" s="203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8" t="s">
        <v>2076</v>
      </c>
      <c r="B21" s="1949"/>
      <c r="C21" s="1949"/>
      <c r="D21" s="1949"/>
      <c r="E21" s="1949"/>
      <c r="F21" s="1949"/>
      <c r="G21" s="1949"/>
      <c r="H21" s="1950"/>
      <c r="I21" s="2004" t="s">
        <v>678</v>
      </c>
      <c r="J21" s="1999"/>
      <c r="K21" s="1999"/>
      <c r="L21" s="1999"/>
      <c r="M21" s="1999"/>
      <c r="N21" s="1999"/>
      <c r="O21" s="1999"/>
      <c r="P21" s="1999"/>
      <c r="Q21" s="1999"/>
      <c r="R21" s="1999"/>
      <c r="S21" s="2005"/>
      <c r="T21" s="2048" t="s">
        <v>2069</v>
      </c>
      <c r="U21" s="2049"/>
      <c r="V21" s="2049"/>
      <c r="W21" s="2049"/>
      <c r="X21" s="2054" t="s">
        <v>2070</v>
      </c>
      <c r="Y21" s="2055"/>
      <c r="Z21" s="2055"/>
      <c r="AA21" s="2056"/>
    </row>
    <row r="22" spans="1:27" ht="13.5" customHeight="1" x14ac:dyDescent="0.2">
      <c r="A22" s="87" t="s">
        <v>531</v>
      </c>
      <c r="B22" s="59"/>
      <c r="C22" s="59"/>
      <c r="D22" s="59"/>
      <c r="E22" s="59"/>
      <c r="F22" s="59"/>
      <c r="G22" s="59"/>
      <c r="H22" s="60"/>
      <c r="I22" s="2006" t="s">
        <v>1429</v>
      </c>
      <c r="J22" s="2007"/>
      <c r="K22" s="2007"/>
      <c r="L22" s="2007"/>
      <c r="M22" s="2007"/>
      <c r="N22" s="2007"/>
      <c r="O22" s="2007"/>
      <c r="P22" s="2007"/>
      <c r="Q22" s="2007"/>
      <c r="R22" s="2007"/>
      <c r="S22" s="2008"/>
      <c r="T22" s="85" t="s">
        <v>1516</v>
      </c>
      <c r="U22" s="51"/>
      <c r="V22" s="72"/>
      <c r="W22" s="51"/>
      <c r="X22" s="160" t="s">
        <v>1318</v>
      </c>
      <c r="Z22" s="45"/>
      <c r="AA22" s="46"/>
    </row>
    <row r="23" spans="1:27" ht="13.5" customHeight="1" x14ac:dyDescent="0.2">
      <c r="A23" s="2001"/>
      <c r="B23" s="2002"/>
      <c r="C23" s="2002"/>
      <c r="D23" s="2002"/>
      <c r="E23" s="2002"/>
      <c r="F23" s="2002"/>
      <c r="G23" s="2002"/>
      <c r="H23" s="2003"/>
      <c r="T23" s="1984" t="s">
        <v>2071</v>
      </c>
      <c r="U23" s="2047"/>
      <c r="V23" s="2047"/>
      <c r="W23" s="2047"/>
      <c r="X23" s="2051">
        <v>44530</v>
      </c>
      <c r="Y23" s="2052"/>
      <c r="Z23" s="2052"/>
      <c r="AA23" s="2053"/>
    </row>
    <row r="24" spans="1:27" ht="14.1" customHeight="1" x14ac:dyDescent="0.2">
      <c r="A24" s="88" t="s">
        <v>677</v>
      </c>
      <c r="B24" s="49"/>
      <c r="C24" s="49"/>
      <c r="D24" s="49"/>
      <c r="E24" s="49"/>
      <c r="F24" s="49"/>
      <c r="G24" s="49"/>
      <c r="H24" s="61"/>
      <c r="J24" s="1971">
        <f>IF(B5="x",IF(AUDITCHECK!D29="AFR form Incomplete.","",IF(AUDITCHECK!D29="Deficit reduction plan is required.","School District must complete a deficit reduction plan in the 2019-2020 Budget",)),"")</f>
        <v>0</v>
      </c>
      <c r="K24" s="1971"/>
      <c r="L24" s="1971"/>
      <c r="M24" s="1971"/>
      <c r="N24" s="1971"/>
      <c r="O24" s="1971"/>
      <c r="P24" s="1971"/>
      <c r="Q24" s="1971"/>
      <c r="R24" s="1971"/>
      <c r="S24" s="1972"/>
      <c r="T24" s="105" t="s">
        <v>531</v>
      </c>
      <c r="U24" s="106"/>
      <c r="V24" s="106"/>
      <c r="W24" s="106"/>
      <c r="X24" s="107"/>
      <c r="Y24" s="107"/>
      <c r="Z24" s="107"/>
      <c r="AA24" s="108"/>
    </row>
    <row r="25" spans="1:27" ht="14.1" customHeight="1" x14ac:dyDescent="0.2">
      <c r="A25" s="1948">
        <v>61073</v>
      </c>
      <c r="B25" s="1949"/>
      <c r="C25" s="1949"/>
      <c r="D25" s="1949"/>
      <c r="E25" s="1949"/>
      <c r="F25" s="1949"/>
      <c r="G25" s="1949"/>
      <c r="H25" s="1950"/>
      <c r="I25" s="113"/>
      <c r="J25" s="1973"/>
      <c r="K25" s="1973"/>
      <c r="L25" s="1973"/>
      <c r="M25" s="1973"/>
      <c r="N25" s="1973"/>
      <c r="O25" s="1973"/>
      <c r="P25" s="1973"/>
      <c r="Q25" s="1973"/>
      <c r="R25" s="1973"/>
      <c r="S25" s="1974"/>
      <c r="T25" s="2044" t="s">
        <v>2072</v>
      </c>
      <c r="U25" s="2045"/>
      <c r="V25" s="2045"/>
      <c r="W25" s="2045"/>
      <c r="X25" s="2045"/>
      <c r="Y25" s="2045"/>
      <c r="Z25" s="2045"/>
      <c r="AA25" s="20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9" t="s">
        <v>1511</v>
      </c>
      <c r="J27" s="1960"/>
      <c r="K27" s="1960"/>
      <c r="L27" s="1960"/>
      <c r="M27" s="1960"/>
      <c r="N27" s="1960"/>
      <c r="O27" s="1960"/>
      <c r="P27" s="1960"/>
      <c r="Q27" s="1960"/>
      <c r="R27" s="1960"/>
      <c r="S27" s="196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2083</v>
      </c>
      <c r="M29" s="40" t="s">
        <v>99</v>
      </c>
      <c r="N29" s="32" t="s">
        <v>1523</v>
      </c>
      <c r="O29" s="32"/>
      <c r="P29" s="32"/>
      <c r="Q29" s="32"/>
      <c r="R29" s="32"/>
      <c r="S29" s="123"/>
      <c r="T29" s="6"/>
      <c r="U29" s="6"/>
      <c r="V29" s="6"/>
      <c r="W29" s="6"/>
      <c r="X29" s="6"/>
      <c r="Y29" s="6"/>
      <c r="Z29" s="6"/>
      <c r="AA29" s="132"/>
    </row>
    <row r="30" spans="1:27" ht="13.5" customHeight="1" x14ac:dyDescent="0.2">
      <c r="A30" s="153"/>
      <c r="B30" s="136" t="s">
        <v>2083</v>
      </c>
      <c r="C30" s="124" t="s">
        <v>1164</v>
      </c>
      <c r="D30" s="28"/>
      <c r="E30" s="28"/>
      <c r="F30" s="140"/>
      <c r="G30" s="114"/>
      <c r="H30" s="114"/>
      <c r="I30" s="54"/>
      <c r="J30" s="102"/>
      <c r="K30" s="28" t="s">
        <v>576</v>
      </c>
      <c r="L30" s="148" t="s">
        <v>2083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2083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0"/>
      <c r="Q35" s="1949"/>
      <c r="R35" s="194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4" t="s">
        <v>2077</v>
      </c>
      <c r="B38" s="1985"/>
      <c r="C38" s="1985"/>
      <c r="D38" s="1985"/>
      <c r="E38" s="1985"/>
      <c r="F38" s="1949"/>
      <c r="G38" s="1949"/>
      <c r="H38" s="1950"/>
      <c r="I38" s="1977"/>
      <c r="J38" s="1978"/>
      <c r="K38" s="1978"/>
      <c r="L38" s="1978"/>
      <c r="M38" s="1978"/>
      <c r="N38" s="1978"/>
      <c r="O38" s="1978"/>
      <c r="P38" s="1979"/>
      <c r="Q38" s="1979"/>
      <c r="R38" s="1979"/>
      <c r="S38" s="1980"/>
      <c r="T38" s="2034" t="s">
        <v>2111</v>
      </c>
      <c r="U38" s="1978"/>
      <c r="V38" s="1978"/>
      <c r="W38" s="1978"/>
      <c r="X38" s="1979"/>
      <c r="Y38" s="1979"/>
      <c r="Z38" s="1979"/>
      <c r="AA38" s="1980"/>
    </row>
    <row r="39" spans="1:27" ht="12" customHeight="1" x14ac:dyDescent="0.2">
      <c r="A39" s="1954" t="s">
        <v>531</v>
      </c>
      <c r="B39" s="1955"/>
      <c r="C39" s="72"/>
      <c r="D39" s="69"/>
      <c r="E39" s="69"/>
      <c r="F39" s="79"/>
      <c r="G39" s="69"/>
      <c r="H39" s="56"/>
      <c r="I39" s="1954" t="s">
        <v>531</v>
      </c>
      <c r="J39" s="1955"/>
      <c r="K39" s="1955"/>
      <c r="L39" s="1955"/>
      <c r="M39" s="1955"/>
      <c r="N39" s="67"/>
      <c r="O39" s="72"/>
      <c r="P39" s="72"/>
      <c r="Q39" s="78"/>
      <c r="R39" s="72"/>
      <c r="S39" s="56"/>
      <c r="T39" s="72" t="s">
        <v>531</v>
      </c>
      <c r="U39" s="51"/>
      <c r="V39" s="72"/>
      <c r="W39" s="50"/>
      <c r="X39" s="78"/>
      <c r="Y39" s="45"/>
      <c r="Z39" s="45"/>
      <c r="AA39" s="46"/>
    </row>
    <row r="40" spans="1:27" ht="13.5" customHeight="1" x14ac:dyDescent="0.2">
      <c r="A40" s="1962" t="s">
        <v>2078</v>
      </c>
      <c r="B40" s="1963"/>
      <c r="C40" s="1964"/>
      <c r="D40" s="1964"/>
      <c r="E40" s="1964"/>
      <c r="F40" s="1965"/>
      <c r="G40" s="1965"/>
      <c r="H40" s="1966"/>
      <c r="I40" s="1987"/>
      <c r="J40" s="1988"/>
      <c r="K40" s="1988"/>
      <c r="L40" s="1988"/>
      <c r="M40" s="1988"/>
      <c r="N40" s="1988"/>
      <c r="O40" s="1988"/>
      <c r="P40" s="1988"/>
      <c r="Q40" s="1988"/>
      <c r="R40" s="1988"/>
      <c r="S40" s="1989"/>
      <c r="T40" s="1987" t="s">
        <v>2112</v>
      </c>
      <c r="U40" s="2050"/>
      <c r="V40" s="1988"/>
      <c r="W40" s="1988"/>
      <c r="X40" s="1988"/>
      <c r="Y40" s="1988"/>
      <c r="Z40" s="1988"/>
      <c r="AA40" s="198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6" t="s">
        <v>2079</v>
      </c>
      <c r="B42" s="1968"/>
      <c r="C42" s="1969"/>
      <c r="D42" s="1967" t="s">
        <v>2080</v>
      </c>
      <c r="E42" s="1968"/>
      <c r="F42" s="1968"/>
      <c r="G42" s="1968"/>
      <c r="H42" s="1969"/>
      <c r="I42" s="1951"/>
      <c r="J42" s="1952"/>
      <c r="K42" s="1952"/>
      <c r="L42" s="1952"/>
      <c r="M42" s="1952"/>
      <c r="N42" s="1952"/>
      <c r="O42" s="1953"/>
      <c r="P42" s="1986"/>
      <c r="Q42" s="1952"/>
      <c r="R42" s="1952"/>
      <c r="S42" s="1953"/>
      <c r="T42" s="1951" t="s">
        <v>2081</v>
      </c>
      <c r="U42" s="1952"/>
      <c r="V42" s="1952"/>
      <c r="W42" s="1953"/>
      <c r="X42" s="1986" t="s">
        <v>2082</v>
      </c>
      <c r="Y42" s="1952"/>
      <c r="Z42" s="1952"/>
      <c r="AA42" s="195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1"/>
      <c r="B44" s="1982"/>
      <c r="C44" s="1982"/>
      <c r="D44" s="1982"/>
      <c r="E44" s="1982"/>
      <c r="F44" s="1982"/>
      <c r="G44" s="1982"/>
      <c r="H44" s="1983"/>
      <c r="I44" s="1956"/>
      <c r="J44" s="1957"/>
      <c r="K44" s="1957"/>
      <c r="L44" s="1957"/>
      <c r="M44" s="1957"/>
      <c r="N44" s="1957"/>
      <c r="O44" s="1957"/>
      <c r="P44" s="1957"/>
      <c r="Q44" s="1957"/>
      <c r="R44" s="1957"/>
      <c r="S44" s="1958"/>
      <c r="T44" s="1956"/>
      <c r="U44" s="1975"/>
      <c r="V44" s="1975"/>
      <c r="W44" s="1975"/>
      <c r="X44" s="1975"/>
      <c r="Y44" s="1975"/>
      <c r="Z44" s="1957"/>
      <c r="AA44" s="195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F36"/>
  <sheetViews>
    <sheetView showGridLines="0" defaultGridColor="0" colorId="8" zoomScale="110" zoomScaleNormal="110" workbookViewId="0">
      <selection activeCell="C19" sqref="C1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0" t="s">
        <v>1802</v>
      </c>
      <c r="B2" s="1528" t="s">
        <v>1951</v>
      </c>
      <c r="C2" s="714" t="s">
        <v>1952</v>
      </c>
      <c r="D2" s="714" t="s">
        <v>1953</v>
      </c>
      <c r="E2" s="714" t="s">
        <v>1954</v>
      </c>
      <c r="F2" s="714" t="s">
        <v>1955</v>
      </c>
    </row>
    <row r="3" spans="1:6" ht="12" customHeight="1" x14ac:dyDescent="0.2">
      <c r="A3" s="2191"/>
      <c r="B3" s="1525"/>
      <c r="C3" s="1526"/>
      <c r="D3" s="1527" t="s">
        <v>256</v>
      </c>
      <c r="E3" s="1526"/>
      <c r="F3" s="1527" t="s">
        <v>257</v>
      </c>
    </row>
    <row r="4" spans="1:6" ht="13.7" customHeight="1" x14ac:dyDescent="0.2">
      <c r="A4" s="715" t="s">
        <v>1155</v>
      </c>
      <c r="B4" s="1749">
        <f>'Revenues 9-14'!C5</f>
        <v>6082659</v>
      </c>
      <c r="C4" s="1524">
        <v>1615455</v>
      </c>
      <c r="D4" s="1752">
        <f>B4-C4</f>
        <v>4467204</v>
      </c>
      <c r="E4" s="1524">
        <v>10171657</v>
      </c>
      <c r="F4" s="1752">
        <f>E4-C4</f>
        <v>8556202</v>
      </c>
    </row>
    <row r="5" spans="1:6" ht="13.7" customHeight="1" x14ac:dyDescent="0.2">
      <c r="A5" s="715" t="s">
        <v>870</v>
      </c>
      <c r="B5" s="1750">
        <f>'Revenues 9-14'!D5</f>
        <v>794413</v>
      </c>
      <c r="C5" s="585">
        <v>213108</v>
      </c>
      <c r="D5" s="1753">
        <f t="shared" ref="D5:D18" si="0">B5-C5</f>
        <v>581305</v>
      </c>
      <c r="E5" s="585">
        <v>1341827</v>
      </c>
      <c r="F5" s="1753">
        <f>E5-C5</f>
        <v>1128719</v>
      </c>
    </row>
    <row r="6" spans="1:6" ht="13.7" customHeight="1" x14ac:dyDescent="0.2">
      <c r="A6" s="715" t="s">
        <v>411</v>
      </c>
      <c r="B6" s="1750">
        <f>'Revenues 9-14'!E5</f>
        <v>507278</v>
      </c>
      <c r="C6" s="585">
        <v>130813</v>
      </c>
      <c r="D6" s="1753">
        <f t="shared" si="0"/>
        <v>376465</v>
      </c>
      <c r="E6" s="585">
        <v>823630</v>
      </c>
      <c r="F6" s="1753">
        <f t="shared" ref="F6:F18" si="1">E6-C6</f>
        <v>692817</v>
      </c>
    </row>
    <row r="7" spans="1:6" ht="13.7" customHeight="1" x14ac:dyDescent="0.2">
      <c r="A7" s="715" t="s">
        <v>155</v>
      </c>
      <c r="B7" s="1750">
        <f>'Revenues 9-14'!F5</f>
        <v>285703</v>
      </c>
      <c r="C7" s="585">
        <v>78095</v>
      </c>
      <c r="D7" s="1753">
        <f t="shared" si="0"/>
        <v>207608</v>
      </c>
      <c r="E7" s="585">
        <v>491719</v>
      </c>
      <c r="F7" s="1753">
        <f t="shared" si="1"/>
        <v>413624</v>
      </c>
    </row>
    <row r="8" spans="1:6" ht="13.7" customHeight="1" x14ac:dyDescent="0.2">
      <c r="A8" s="715" t="s">
        <v>1179</v>
      </c>
      <c r="B8" s="1750">
        <f>'Revenues 9-14'!G5</f>
        <v>121917</v>
      </c>
      <c r="C8" s="585">
        <v>25030</v>
      </c>
      <c r="D8" s="1753">
        <f t="shared" si="0"/>
        <v>96887</v>
      </c>
      <c r="E8" s="585">
        <v>157602</v>
      </c>
      <c r="F8" s="1753">
        <f t="shared" si="1"/>
        <v>132572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93978</v>
      </c>
      <c r="C13" s="585">
        <v>24776</v>
      </c>
      <c r="D13" s="1753">
        <f t="shared" si="0"/>
        <v>69202</v>
      </c>
      <c r="E13" s="585">
        <v>156026</v>
      </c>
      <c r="F13" s="1753">
        <f t="shared" si="1"/>
        <v>131250</v>
      </c>
    </row>
    <row r="14" spans="1:6" ht="13.7" customHeight="1" x14ac:dyDescent="0.2">
      <c r="A14" s="715" t="s">
        <v>410</v>
      </c>
      <c r="B14" s="1750">
        <f>SUM('Revenues 9-14'!C7:D7,'Revenues 9-14'!F7:H7)</f>
        <v>37590</v>
      </c>
      <c r="C14" s="585">
        <v>9911</v>
      </c>
      <c r="D14" s="1753">
        <f t="shared" si="0"/>
        <v>27679</v>
      </c>
      <c r="E14" s="585">
        <v>62411</v>
      </c>
      <c r="F14" s="1753">
        <f t="shared" si="1"/>
        <v>52500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141764</v>
      </c>
      <c r="C16" s="585">
        <v>31038</v>
      </c>
      <c r="D16" s="1753">
        <f t="shared" si="0"/>
        <v>110726</v>
      </c>
      <c r="E16" s="585">
        <v>195427</v>
      </c>
      <c r="F16" s="1753">
        <f t="shared" si="1"/>
        <v>164389</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8065302</v>
      </c>
      <c r="C19" s="1751">
        <f>SUM(C4:C18)</f>
        <v>2128226</v>
      </c>
      <c r="D19" s="1751">
        <f>SUM(D4:D18)</f>
        <v>5937076</v>
      </c>
      <c r="E19" s="1751">
        <f>SUM(E4:E18)</f>
        <v>13400299</v>
      </c>
      <c r="F19" s="1751">
        <f>SUM(F4:F18)</f>
        <v>11272073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pageSetUpPr fitToPage="1"/>
  </sheetPr>
  <dimension ref="A1:K59"/>
  <sheetViews>
    <sheetView showGridLines="0" defaultGridColor="0" colorId="8" zoomScale="110" zoomScaleNormal="110" workbookViewId="0">
      <selection activeCell="F31" sqref="F3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2" t="s">
        <v>629</v>
      </c>
      <c r="B1" s="2210"/>
      <c r="C1" s="721"/>
    </row>
    <row r="2" spans="1:7" ht="33.75" x14ac:dyDescent="0.2">
      <c r="A2" s="2217" t="s">
        <v>1802</v>
      </c>
      <c r="B2" s="2218"/>
      <c r="C2" s="1884" t="s">
        <v>1956</v>
      </c>
      <c r="D2" s="723" t="s">
        <v>1957</v>
      </c>
      <c r="E2" s="723" t="s">
        <v>1958</v>
      </c>
      <c r="F2" s="1884" t="s">
        <v>1959</v>
      </c>
    </row>
    <row r="3" spans="1:7" ht="15.75" customHeight="1" x14ac:dyDescent="0.2">
      <c r="A3" s="2219" t="s">
        <v>1114</v>
      </c>
      <c r="B3" s="2220"/>
      <c r="C3" s="2213"/>
      <c r="D3" s="2214"/>
      <c r="E3" s="2214"/>
      <c r="F3" s="2215"/>
    </row>
    <row r="4" spans="1:7" ht="12.75" customHeight="1" thickBot="1" x14ac:dyDescent="0.25">
      <c r="A4" s="2207" t="s">
        <v>630</v>
      </c>
      <c r="B4" s="2208"/>
      <c r="C4" s="581"/>
      <c r="D4" s="581"/>
      <c r="E4" s="581"/>
      <c r="F4" s="1755">
        <f>SUM(C4+D4)-E4</f>
        <v>0</v>
      </c>
    </row>
    <row r="5" spans="1:7" ht="15.75" customHeight="1" thickTop="1" x14ac:dyDescent="0.2">
      <c r="A5" s="2211" t="s">
        <v>1110</v>
      </c>
      <c r="B5" s="2206"/>
      <c r="C5" s="2200"/>
      <c r="D5" s="2201"/>
      <c r="E5" s="2201"/>
      <c r="F5" s="220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3" t="s">
        <v>631</v>
      </c>
      <c r="B15" s="2204"/>
      <c r="C15" s="1755">
        <f>SUM(C6:C14)</f>
        <v>0</v>
      </c>
      <c r="D15" s="1755">
        <f>SUM(D6:D14)</f>
        <v>0</v>
      </c>
      <c r="E15" s="1755">
        <f>SUM(E6:E14)</f>
        <v>0</v>
      </c>
      <c r="F15" s="1755">
        <f>SUM(F6:F14)</f>
        <v>0</v>
      </c>
      <c r="G15" s="552"/>
    </row>
    <row r="16" spans="1:7" s="202" customFormat="1" ht="15.75" customHeight="1" thickTop="1" x14ac:dyDescent="0.2">
      <c r="A16" s="2216" t="s">
        <v>1111</v>
      </c>
      <c r="B16" s="2206"/>
      <c r="C16" s="2200"/>
      <c r="D16" s="2201"/>
      <c r="E16" s="2201"/>
      <c r="F16" s="2202"/>
    </row>
    <row r="17" spans="1:11" ht="12.75" customHeight="1" thickBot="1" x14ac:dyDescent="0.25">
      <c r="A17" s="2198" t="s">
        <v>64</v>
      </c>
      <c r="B17" s="2199"/>
      <c r="C17" s="726"/>
      <c r="D17" s="585"/>
      <c r="E17" s="726"/>
      <c r="F17" s="1755">
        <f>SUM(C17+D17)-E17</f>
        <v>0</v>
      </c>
    </row>
    <row r="18" spans="1:11" ht="12.75" customHeight="1" thickTop="1" thickBot="1" x14ac:dyDescent="0.25">
      <c r="A18" s="2198" t="s">
        <v>6</v>
      </c>
      <c r="B18" s="2199"/>
      <c r="C18" s="726"/>
      <c r="D18" s="585"/>
      <c r="E18" s="726"/>
      <c r="F18" s="1755">
        <f>SUM(C18+D18)-E18</f>
        <v>0</v>
      </c>
    </row>
    <row r="19" spans="1:11" ht="12.75" customHeight="1" thickTop="1" thickBot="1" x14ac:dyDescent="0.25">
      <c r="A19" s="2198" t="s">
        <v>388</v>
      </c>
      <c r="B19" s="2199"/>
      <c r="C19" s="726"/>
      <c r="D19" s="585"/>
      <c r="E19" s="726"/>
      <c r="F19" s="1755">
        <f>SUM(C19+D19)-E19</f>
        <v>0</v>
      </c>
    </row>
    <row r="20" spans="1:11" ht="12.75" customHeight="1" thickTop="1" thickBot="1" x14ac:dyDescent="0.25">
      <c r="A20" s="2198" t="s">
        <v>448</v>
      </c>
      <c r="B20" s="2199"/>
      <c r="C20" s="726"/>
      <c r="D20" s="585"/>
      <c r="E20" s="726"/>
      <c r="F20" s="1755">
        <f>SUM(C20+D20)-E20</f>
        <v>0</v>
      </c>
    </row>
    <row r="21" spans="1:11" ht="14.25" thickTop="1" thickBot="1" x14ac:dyDescent="0.25">
      <c r="A21" s="2203" t="s">
        <v>632</v>
      </c>
      <c r="B21" s="2204"/>
      <c r="C21" s="1755">
        <f>SUM(C17:C20)</f>
        <v>0</v>
      </c>
      <c r="D21" s="1755">
        <f>SUM(D17:D20)</f>
        <v>0</v>
      </c>
      <c r="E21" s="1755">
        <f>SUM(E17:E20)</f>
        <v>0</v>
      </c>
      <c r="F21" s="1755">
        <f>SUM(F17:F20)</f>
        <v>0</v>
      </c>
      <c r="G21" s="552"/>
    </row>
    <row r="22" spans="1:11" ht="15.75" customHeight="1" thickTop="1" x14ac:dyDescent="0.2">
      <c r="A22" s="2205" t="s">
        <v>1112</v>
      </c>
      <c r="B22" s="2206"/>
      <c r="C22" s="2200"/>
      <c r="D22" s="2201"/>
      <c r="E22" s="2201"/>
      <c r="F22" s="2202"/>
    </row>
    <row r="23" spans="1:11" ht="13.5" thickBot="1" x14ac:dyDescent="0.25">
      <c r="A23" s="2207" t="s">
        <v>633</v>
      </c>
      <c r="B23" s="2208"/>
      <c r="C23" s="581"/>
      <c r="D23" s="581"/>
      <c r="E23" s="581"/>
      <c r="F23" s="1755">
        <f>SUM(C23+D23)-E23</f>
        <v>0</v>
      </c>
      <c r="G23" s="552"/>
    </row>
    <row r="24" spans="1:11" ht="15.75" customHeight="1" thickTop="1" x14ac:dyDescent="0.2">
      <c r="A24" s="2205" t="s">
        <v>1113</v>
      </c>
      <c r="B24" s="2206"/>
      <c r="C24" s="2200"/>
      <c r="D24" s="2201"/>
      <c r="E24" s="2201"/>
      <c r="F24" s="2202"/>
    </row>
    <row r="25" spans="1:11" ht="13.5" thickBot="1" x14ac:dyDescent="0.25">
      <c r="A25" s="2207" t="s">
        <v>634</v>
      </c>
      <c r="B25" s="2208"/>
      <c r="C25" s="581"/>
      <c r="D25" s="581"/>
      <c r="E25" s="581"/>
      <c r="F25" s="1755">
        <f>SUM(C25+D25)-E25</f>
        <v>0</v>
      </c>
      <c r="G25" s="552"/>
    </row>
    <row r="26" spans="1:11" ht="15.75" customHeight="1" thickTop="1" x14ac:dyDescent="0.2">
      <c r="A26" s="2211" t="s">
        <v>657</v>
      </c>
      <c r="B26" s="2206"/>
      <c r="C26" s="727"/>
      <c r="D26" s="727"/>
      <c r="E26" s="727"/>
      <c r="F26" s="728"/>
    </row>
    <row r="27" spans="1:11" ht="13.5" thickBot="1" x14ac:dyDescent="0.25">
      <c r="A27" s="2203" t="s">
        <v>1070</v>
      </c>
      <c r="B27" s="2204"/>
      <c r="C27" s="585"/>
      <c r="D27" s="585"/>
      <c r="E27" s="585"/>
      <c r="F27" s="1755">
        <f>SUM(C27+D27)-E27</f>
        <v>0</v>
      </c>
      <c r="G27" s="552"/>
    </row>
    <row r="28" spans="1:11" ht="7.5" customHeight="1" thickTop="1" x14ac:dyDescent="0.2">
      <c r="A28" s="593"/>
    </row>
    <row r="29" spans="1:11" ht="23.25" customHeight="1" x14ac:dyDescent="0.2">
      <c r="A29" s="2209" t="s">
        <v>582</v>
      </c>
      <c r="B29" s="2210"/>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2084</v>
      </c>
      <c r="B31" s="733">
        <v>40499</v>
      </c>
      <c r="C31" s="734">
        <v>4210000</v>
      </c>
      <c r="D31" s="735">
        <v>3</v>
      </c>
      <c r="E31" s="734">
        <v>3505000</v>
      </c>
      <c r="F31" s="734"/>
      <c r="G31" s="734"/>
      <c r="H31" s="734">
        <v>720000</v>
      </c>
      <c r="I31" s="1756">
        <f>((E31+F31)-H31)+G31</f>
        <v>2785000</v>
      </c>
      <c r="J31" s="734">
        <v>2194124</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4210000</v>
      </c>
      <c r="D49" s="745"/>
      <c r="E49" s="1756">
        <f t="shared" ref="E49:J49" si="2">SUM(E31:E48)</f>
        <v>3505000</v>
      </c>
      <c r="F49" s="1756">
        <f t="shared" si="2"/>
        <v>0</v>
      </c>
      <c r="G49" s="1756">
        <f t="shared" si="2"/>
        <v>0</v>
      </c>
      <c r="H49" s="1756">
        <f t="shared" si="2"/>
        <v>720000</v>
      </c>
      <c r="I49" s="1756">
        <f t="shared" si="2"/>
        <v>2785000</v>
      </c>
      <c r="J49" s="1756">
        <f t="shared" si="2"/>
        <v>2194124</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2" t="s">
        <v>584</v>
      </c>
      <c r="C52" s="2193"/>
      <c r="D52" s="2193"/>
      <c r="E52" s="749" t="s">
        <v>845</v>
      </c>
      <c r="F52" s="2194"/>
      <c r="G52" s="2195"/>
      <c r="H52" s="736"/>
      <c r="I52" s="736"/>
      <c r="J52" s="746"/>
    </row>
    <row r="53" spans="1:11" ht="11.25" customHeight="1" x14ac:dyDescent="0.2">
      <c r="A53" s="750" t="s">
        <v>913</v>
      </c>
      <c r="B53" s="751" t="s">
        <v>951</v>
      </c>
      <c r="C53" s="746"/>
      <c r="D53" s="737"/>
      <c r="E53" s="749" t="s">
        <v>497</v>
      </c>
      <c r="F53" s="2196"/>
      <c r="G53" s="2197"/>
      <c r="H53" s="736"/>
      <c r="I53" s="736"/>
      <c r="J53" s="746"/>
    </row>
    <row r="54" spans="1:11" ht="11.25" customHeight="1" x14ac:dyDescent="0.2">
      <c r="A54" s="752" t="s">
        <v>914</v>
      </c>
      <c r="B54" s="747" t="s">
        <v>952</v>
      </c>
      <c r="C54" s="746"/>
      <c r="D54" s="737"/>
      <c r="E54" s="749" t="s">
        <v>498</v>
      </c>
      <c r="F54" s="2196"/>
      <c r="G54" s="219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K48"/>
  <sheetViews>
    <sheetView showGridLines="0" defaultGridColor="0" colorId="8" zoomScale="110" zoomScaleNormal="110" workbookViewId="0">
      <selection activeCell="I16" sqref="I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1" t="s">
        <v>856</v>
      </c>
      <c r="B1" s="2222"/>
      <c r="C1" s="2222"/>
      <c r="D1" s="2222"/>
      <c r="E1" s="2222"/>
      <c r="F1" s="2222"/>
      <c r="G1" s="2223"/>
      <c r="H1" s="1530"/>
      <c r="I1" s="760"/>
      <c r="J1" s="433"/>
    </row>
    <row r="2" spans="1:11" ht="26.25" x14ac:dyDescent="0.2">
      <c r="A2" s="2240" t="s">
        <v>1677</v>
      </c>
      <c r="B2" s="2241"/>
      <c r="C2" s="2241"/>
      <c r="D2" s="2241"/>
      <c r="E2" s="2242"/>
      <c r="F2" s="761" t="s">
        <v>904</v>
      </c>
      <c r="G2" s="762" t="s">
        <v>1674</v>
      </c>
      <c r="H2" s="762" t="s">
        <v>410</v>
      </c>
      <c r="I2" s="762" t="s">
        <v>1158</v>
      </c>
      <c r="J2" s="762" t="s">
        <v>1812</v>
      </c>
      <c r="K2" s="762" t="s">
        <v>138</v>
      </c>
    </row>
    <row r="3" spans="1:11" x14ac:dyDescent="0.2">
      <c r="A3" s="2243" t="s">
        <v>1964</v>
      </c>
      <c r="B3" s="2244"/>
      <c r="C3" s="2244"/>
      <c r="D3" s="2244"/>
      <c r="E3" s="2245"/>
      <c r="F3" s="763"/>
      <c r="G3" s="764"/>
      <c r="H3" s="764"/>
      <c r="I3" s="764"/>
      <c r="J3" s="765"/>
      <c r="K3" s="765"/>
    </row>
    <row r="4" spans="1:11" x14ac:dyDescent="0.2">
      <c r="A4" s="2246" t="s">
        <v>369</v>
      </c>
      <c r="B4" s="2247"/>
      <c r="C4" s="2247"/>
      <c r="D4" s="2247"/>
      <c r="E4" s="2193"/>
      <c r="F4" s="766"/>
      <c r="G4" s="767"/>
      <c r="H4" s="768"/>
      <c r="I4" s="767"/>
      <c r="J4" s="769"/>
      <c r="K4" s="769"/>
    </row>
    <row r="5" spans="1:11" x14ac:dyDescent="0.2">
      <c r="A5" s="2224" t="s">
        <v>1069</v>
      </c>
      <c r="B5" s="2225"/>
      <c r="C5" s="2225"/>
      <c r="D5" s="2225"/>
      <c r="E5" s="2226"/>
      <c r="F5" s="770" t="s">
        <v>848</v>
      </c>
      <c r="G5" s="771"/>
      <c r="H5" s="764">
        <v>37590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4" t="s">
        <v>1813</v>
      </c>
      <c r="B10" s="2225"/>
      <c r="C10" s="2225"/>
      <c r="D10" s="2225"/>
      <c r="E10" s="2227"/>
      <c r="F10" s="783" t="s">
        <v>862</v>
      </c>
      <c r="G10" s="782"/>
      <c r="H10" s="784"/>
      <c r="I10" s="764"/>
      <c r="J10" s="765"/>
      <c r="K10" s="765"/>
    </row>
    <row r="11" spans="1:11" x14ac:dyDescent="0.2">
      <c r="A11" s="2224" t="s">
        <v>160</v>
      </c>
      <c r="B11" s="2225"/>
      <c r="C11" s="2225"/>
      <c r="D11" s="2225"/>
      <c r="E11" s="2226"/>
      <c r="F11" s="770" t="s">
        <v>852</v>
      </c>
      <c r="G11" s="771"/>
      <c r="H11" s="764"/>
      <c r="I11" s="764"/>
      <c r="J11" s="765"/>
      <c r="K11" s="773"/>
    </row>
    <row r="12" spans="1:11" ht="13.5" thickBot="1" x14ac:dyDescent="0.25">
      <c r="A12" s="2251" t="s">
        <v>905</v>
      </c>
      <c r="B12" s="2252"/>
      <c r="C12" s="2252"/>
      <c r="D12" s="2252"/>
      <c r="E12" s="2253"/>
      <c r="F12" s="1757"/>
      <c r="G12" s="1758">
        <f>SUM(G5:G11)</f>
        <v>0</v>
      </c>
      <c r="H12" s="1758">
        <f>SUM(H5:H11)</f>
        <v>37590</v>
      </c>
      <c r="I12" s="1758">
        <f>SUM(I5:I11)</f>
        <v>0</v>
      </c>
      <c r="J12" s="1758">
        <f>SUM(J5:J11)</f>
        <v>0</v>
      </c>
      <c r="K12" s="1758">
        <f>SUM(K5:K11)</f>
        <v>0</v>
      </c>
    </row>
    <row r="13" spans="1:11" ht="13.5" thickTop="1" x14ac:dyDescent="0.2">
      <c r="A13" s="2248" t="s">
        <v>370</v>
      </c>
      <c r="B13" s="2249"/>
      <c r="C13" s="2249"/>
      <c r="D13" s="2249"/>
      <c r="E13" s="2250"/>
      <c r="F13" s="785"/>
      <c r="G13" s="786"/>
      <c r="H13" s="787"/>
      <c r="I13" s="788"/>
      <c r="J13" s="788"/>
      <c r="K13" s="788"/>
    </row>
    <row r="14" spans="1:11" x14ac:dyDescent="0.2">
      <c r="A14" s="2231" t="s">
        <v>456</v>
      </c>
      <c r="B14" s="2231"/>
      <c r="C14" s="2231"/>
      <c r="D14" s="2231"/>
      <c r="E14" s="2232"/>
      <c r="F14" s="789" t="s">
        <v>854</v>
      </c>
      <c r="G14" s="782"/>
      <c r="H14" s="764">
        <v>37590</v>
      </c>
      <c r="I14" s="771"/>
      <c r="J14" s="773"/>
      <c r="K14" s="765"/>
    </row>
    <row r="15" spans="1:11" x14ac:dyDescent="0.2">
      <c r="A15" s="2225" t="s">
        <v>4</v>
      </c>
      <c r="B15" s="2225"/>
      <c r="C15" s="2225"/>
      <c r="D15" s="2225"/>
      <c r="E15" s="2226"/>
      <c r="F15" s="789" t="s">
        <v>855</v>
      </c>
      <c r="G15" s="771"/>
      <c r="H15" s="764"/>
      <c r="I15" s="764"/>
      <c r="J15" s="765"/>
      <c r="K15" s="765"/>
    </row>
    <row r="16" spans="1:11" x14ac:dyDescent="0.2">
      <c r="A16" s="2225" t="s">
        <v>298</v>
      </c>
      <c r="B16" s="2225"/>
      <c r="C16" s="2225"/>
      <c r="D16" s="2225"/>
      <c r="E16" s="2226"/>
      <c r="F16" s="789" t="s">
        <v>923</v>
      </c>
      <c r="G16" s="772"/>
      <c r="H16" s="767"/>
      <c r="I16" s="767"/>
      <c r="J16" s="769"/>
      <c r="K16" s="769"/>
    </row>
    <row r="17" spans="1:11" x14ac:dyDescent="0.2">
      <c r="A17" s="2256" t="s">
        <v>935</v>
      </c>
      <c r="B17" s="2256"/>
      <c r="C17" s="2256"/>
      <c r="D17" s="2256"/>
      <c r="E17" s="2257"/>
      <c r="F17" s="790"/>
      <c r="G17" s="791"/>
      <c r="H17" s="792"/>
      <c r="I17" s="792"/>
      <c r="J17" s="793"/>
      <c r="K17" s="794"/>
    </row>
    <row r="18" spans="1:11" x14ac:dyDescent="0.2">
      <c r="A18" s="2235" t="s">
        <v>368</v>
      </c>
      <c r="B18" s="2236"/>
      <c r="C18" s="2236"/>
      <c r="D18" s="2236"/>
      <c r="E18" s="2237"/>
      <c r="F18" s="789" t="s">
        <v>932</v>
      </c>
      <c r="G18" s="782"/>
      <c r="H18" s="782"/>
      <c r="I18" s="782"/>
      <c r="J18" s="765"/>
      <c r="K18" s="795"/>
    </row>
    <row r="19" spans="1:11" ht="21.75" customHeight="1" x14ac:dyDescent="0.2">
      <c r="A19" s="2233" t="s">
        <v>1809</v>
      </c>
      <c r="B19" s="2233"/>
      <c r="C19" s="2233"/>
      <c r="D19" s="2233"/>
      <c r="E19" s="2234"/>
      <c r="F19" s="789" t="s">
        <v>933</v>
      </c>
      <c r="G19" s="782"/>
      <c r="H19" s="782"/>
      <c r="I19" s="782"/>
      <c r="J19" s="765"/>
      <c r="K19" s="795"/>
    </row>
    <row r="20" spans="1:11" x14ac:dyDescent="0.2">
      <c r="A20" s="2235" t="s">
        <v>1814</v>
      </c>
      <c r="B20" s="2236"/>
      <c r="C20" s="2236"/>
      <c r="D20" s="2236"/>
      <c r="E20" s="2237"/>
      <c r="F20" s="789" t="s">
        <v>934</v>
      </c>
      <c r="G20" s="782"/>
      <c r="H20" s="782"/>
      <c r="I20" s="782"/>
      <c r="J20" s="765"/>
      <c r="K20" s="795"/>
    </row>
    <row r="21" spans="1:11" ht="13.5" thickBot="1" x14ac:dyDescent="0.25">
      <c r="A21" s="2254" t="s">
        <v>638</v>
      </c>
      <c r="B21" s="2254"/>
      <c r="C21" s="2254"/>
      <c r="D21" s="2254"/>
      <c r="E21" s="2254"/>
      <c r="F21" s="1759"/>
      <c r="G21" s="792"/>
      <c r="H21" s="796"/>
      <c r="I21" s="796"/>
      <c r="J21" s="1760">
        <f>SUM(J18:J20)</f>
        <v>0</v>
      </c>
      <c r="K21" s="793"/>
    </row>
    <row r="22" spans="1:11" ht="13.5" thickTop="1" x14ac:dyDescent="0.2">
      <c r="A22" s="2225" t="s">
        <v>1815</v>
      </c>
      <c r="B22" s="2225"/>
      <c r="C22" s="2225"/>
      <c r="D22" s="2225"/>
      <c r="E22" s="2226"/>
      <c r="F22" s="789" t="s">
        <v>862</v>
      </c>
      <c r="G22" s="782"/>
      <c r="H22" s="764"/>
      <c r="I22" s="764"/>
      <c r="J22" s="797"/>
      <c r="K22" s="765"/>
    </row>
    <row r="23" spans="1:11" ht="13.5" thickBot="1" x14ac:dyDescent="0.25">
      <c r="A23" s="2255" t="s">
        <v>906</v>
      </c>
      <c r="B23" s="2254"/>
      <c r="C23" s="2254"/>
      <c r="D23" s="2254"/>
      <c r="E23" s="2254"/>
      <c r="F23" s="1761"/>
      <c r="G23" s="1758">
        <f>SUM(G14:G16,G21,G22)</f>
        <v>0</v>
      </c>
      <c r="H23" s="1758">
        <f>SUM(H14:H16,H21,H22)</f>
        <v>37590</v>
      </c>
      <c r="I23" s="1758">
        <f>SUM(I14:I16,I21,I22)</f>
        <v>0</v>
      </c>
      <c r="J23" s="1758">
        <f>SUM(J14:J16,J21,J22)</f>
        <v>0</v>
      </c>
      <c r="K23" s="1758">
        <f>SUM(K14:K16,K21,K22)</f>
        <v>0</v>
      </c>
    </row>
    <row r="24" spans="1:11" ht="14.25" thickTop="1" thickBot="1" x14ac:dyDescent="0.25">
      <c r="A24" s="2255" t="s">
        <v>1965</v>
      </c>
      <c r="B24" s="2254"/>
      <c r="C24" s="2254"/>
      <c r="D24" s="2254"/>
      <c r="E24" s="225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8"/>
      <c r="I31" s="2229"/>
      <c r="J31" s="2229"/>
      <c r="K31" s="2229"/>
    </row>
    <row r="32" spans="1:11" x14ac:dyDescent="0.2">
      <c r="A32" s="809"/>
      <c r="B32" s="237"/>
      <c r="C32" s="237"/>
      <c r="D32" s="237"/>
      <c r="E32" s="805"/>
      <c r="F32" s="811" t="s">
        <v>540</v>
      </c>
      <c r="G32" s="764"/>
      <c r="H32" s="2230"/>
      <c r="I32" s="2229"/>
      <c r="J32" s="2229"/>
      <c r="K32" s="2229"/>
    </row>
    <row r="33" spans="1:11" ht="1.5" customHeight="1" x14ac:dyDescent="0.2">
      <c r="A33" s="812" t="s">
        <v>1169</v>
      </c>
      <c r="B33" s="364"/>
      <c r="C33" s="364"/>
      <c r="D33" s="364"/>
      <c r="E33" s="364"/>
      <c r="F33" s="364"/>
      <c r="G33" s="813"/>
      <c r="H33" s="2230"/>
      <c r="I33" s="2229"/>
      <c r="J33" s="2229"/>
      <c r="K33" s="222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5" t="s">
        <v>541</v>
      </c>
      <c r="B41" s="2238"/>
      <c r="C41" s="2238"/>
      <c r="D41" s="2238"/>
      <c r="E41" s="2238"/>
      <c r="F41" s="223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N27"/>
  <sheetViews>
    <sheetView showGridLines="0" defaultGridColor="0" colorId="8" zoomScale="110" zoomScaleNormal="110" workbookViewId="0">
      <selection activeCell="J11" sqref="J1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1909</v>
      </c>
      <c r="B1" s="2261"/>
      <c r="C1" s="2262"/>
      <c r="D1" s="826"/>
      <c r="E1" s="827"/>
      <c r="F1" s="827"/>
      <c r="G1" s="828"/>
      <c r="H1" s="829"/>
      <c r="I1" s="830"/>
      <c r="J1" s="2258"/>
      <c r="K1" s="2259"/>
      <c r="L1" s="2259"/>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1146728</v>
      </c>
      <c r="D5" s="841"/>
      <c r="E5" s="841"/>
      <c r="F5" s="1760">
        <f>(C5+D5)-E5</f>
        <v>1146728</v>
      </c>
      <c r="G5" s="837"/>
      <c r="H5" s="842"/>
      <c r="I5" s="842"/>
      <c r="J5" s="842"/>
      <c r="K5" s="793"/>
      <c r="L5" s="1769">
        <f>F5-K5</f>
        <v>1146728</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25118400</v>
      </c>
      <c r="D8" s="844">
        <v>269370</v>
      </c>
      <c r="E8" s="844"/>
      <c r="F8" s="1760">
        <f>(C8+D8)-E8</f>
        <v>25387770</v>
      </c>
      <c r="G8" s="843">
        <v>50</v>
      </c>
      <c r="H8" s="765">
        <v>8484250</v>
      </c>
      <c r="I8" s="765">
        <v>506016</v>
      </c>
      <c r="J8" s="765"/>
      <c r="K8" s="1769">
        <f>(H8+I8)-J8</f>
        <v>8990266</v>
      </c>
      <c r="L8" s="1769">
        <f>F8-K8</f>
        <v>16397504</v>
      </c>
    </row>
    <row r="9" spans="1:14" ht="14.25" thickTop="1" thickBot="1" x14ac:dyDescent="0.25">
      <c r="A9" s="778" t="s">
        <v>1119</v>
      </c>
      <c r="B9" s="840">
        <v>232</v>
      </c>
      <c r="C9" s="765">
        <v>7006</v>
      </c>
      <c r="D9" s="765"/>
      <c r="E9" s="765"/>
      <c r="F9" s="1760">
        <f>(C9+D9)-E9</f>
        <v>7006</v>
      </c>
      <c r="G9" s="843">
        <v>20</v>
      </c>
      <c r="H9" s="765">
        <v>1120</v>
      </c>
      <c r="I9" s="765">
        <v>350</v>
      </c>
      <c r="J9" s="765"/>
      <c r="K9" s="1769">
        <f>(H9+I9)-J9</f>
        <v>1470</v>
      </c>
      <c r="L9" s="1769">
        <f>F9-K9</f>
        <v>5536</v>
      </c>
    </row>
    <row r="10" spans="1:14" ht="24" thickTop="1" thickBot="1" x14ac:dyDescent="0.25">
      <c r="A10" s="845" t="s">
        <v>1120</v>
      </c>
      <c r="B10" s="840">
        <v>240</v>
      </c>
      <c r="C10" s="846">
        <v>2247490</v>
      </c>
      <c r="D10" s="846">
        <v>22337</v>
      </c>
      <c r="E10" s="846"/>
      <c r="F10" s="1764">
        <f>(C10+D10)-E10</f>
        <v>2269827</v>
      </c>
      <c r="G10" s="843">
        <v>20</v>
      </c>
      <c r="H10" s="847">
        <v>1130091</v>
      </c>
      <c r="I10" s="847">
        <v>112375</v>
      </c>
      <c r="J10" s="847"/>
      <c r="K10" s="1769">
        <f>(H10+I10)-J10</f>
        <v>1242466</v>
      </c>
      <c r="L10" s="1769">
        <f>F10-K10</f>
        <v>1027361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3354053</v>
      </c>
      <c r="D12" s="844">
        <v>282299</v>
      </c>
      <c r="E12" s="844"/>
      <c r="F12" s="1760">
        <f>(C12+D12)-E12</f>
        <v>3636352</v>
      </c>
      <c r="G12" s="843">
        <v>10</v>
      </c>
      <c r="H12" s="765">
        <v>3042156</v>
      </c>
      <c r="I12" s="765">
        <v>40827</v>
      </c>
      <c r="J12" s="765"/>
      <c r="K12" s="1769">
        <f>(H12+I12)-J12</f>
        <v>3082983</v>
      </c>
      <c r="L12" s="1769">
        <f>F12-K12</f>
        <v>553369</v>
      </c>
    </row>
    <row r="13" spans="1:14" ht="14.25" thickTop="1" thickBot="1" x14ac:dyDescent="0.25">
      <c r="A13" s="848" t="s">
        <v>1122</v>
      </c>
      <c r="B13" s="840">
        <v>252</v>
      </c>
      <c r="C13" s="844">
        <v>489922</v>
      </c>
      <c r="D13" s="844"/>
      <c r="E13" s="844">
        <v>120531</v>
      </c>
      <c r="F13" s="1760">
        <f>(C13+D13)-E13</f>
        <v>369391</v>
      </c>
      <c r="G13" s="843">
        <v>5</v>
      </c>
      <c r="H13" s="765">
        <v>447812</v>
      </c>
      <c r="I13" s="765">
        <v>42110</v>
      </c>
      <c r="J13" s="765">
        <v>120531</v>
      </c>
      <c r="K13" s="1769">
        <f>(H13+I13)-J13</f>
        <v>369391</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32363599</v>
      </c>
      <c r="D16" s="1760">
        <f>SUM(D3,D5:D6,D8:D10,D12:D15)</f>
        <v>574006</v>
      </c>
      <c r="E16" s="1760">
        <f>SUM(E3,E5:E6,E8:E10,E12:E15)</f>
        <v>120531</v>
      </c>
      <c r="F16" s="1760">
        <f>SUM(F3,F5:F6,F8:F10,F12:F15)</f>
        <v>32817074</v>
      </c>
      <c r="G16" s="843"/>
      <c r="H16" s="1760">
        <f>SUM(H3,H6,H8:H10,H12:H14,)</f>
        <v>13105429</v>
      </c>
      <c r="I16" s="1760">
        <f>SUM(I3,I6,I8:I10,I12:I14,)</f>
        <v>701678</v>
      </c>
      <c r="J16" s="1760">
        <f>SUM(J3,J6,J8:J10,J12:J14,)</f>
        <v>120531</v>
      </c>
      <c r="K16" s="1760">
        <f>(H16+I16)-J16</f>
        <v>13686576</v>
      </c>
      <c r="L16" s="1760">
        <f>F16-K16</f>
        <v>19130498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4583</v>
      </c>
      <c r="G17" s="837">
        <v>10</v>
      </c>
      <c r="H17" s="769"/>
      <c r="I17" s="1769">
        <f>F17/G17</f>
        <v>458.3</v>
      </c>
      <c r="J17" s="769"/>
      <c r="K17" s="795"/>
      <c r="L17" s="795"/>
    </row>
    <row r="18" spans="1:12" ht="14.25" thickTop="1" thickBot="1" x14ac:dyDescent="0.25">
      <c r="A18" s="1767" t="s">
        <v>685</v>
      </c>
      <c r="B18" s="1768"/>
      <c r="C18" s="771"/>
      <c r="D18" s="771"/>
      <c r="E18" s="771"/>
      <c r="F18" s="850"/>
      <c r="G18" s="851"/>
      <c r="H18" s="773"/>
      <c r="I18" s="1760">
        <f>SUM(I16,I17)</f>
        <v>702136.3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F0"/>
  </sheetPr>
  <dimension ref="A1:H202"/>
  <sheetViews>
    <sheetView showGridLines="0" defaultGridColor="0" colorId="8" zoomScale="110" zoomScaleNormal="110" workbookViewId="0">
      <pane ySplit="5" topLeftCell="A66" activePane="bottomLeft" state="frozen"/>
      <selection activeCell="A47" sqref="A47"/>
      <selection pane="bottomLeft" activeCell="J75" sqref="J7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6" t="s">
        <v>1975</v>
      </c>
      <c r="B1" s="2267"/>
      <c r="C1" s="2267"/>
      <c r="D1" s="2267"/>
      <c r="E1" s="2267"/>
      <c r="F1" s="2268"/>
      <c r="G1" s="855"/>
    </row>
    <row r="2" spans="1:7" ht="15" customHeight="1" thickBot="1" x14ac:dyDescent="0.25">
      <c r="A2" s="2269" t="s">
        <v>477</v>
      </c>
      <c r="B2" s="2270"/>
      <c r="C2" s="2270"/>
      <c r="D2" s="2270"/>
      <c r="E2" s="2270"/>
      <c r="F2" s="227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2"/>
      <c r="B5" s="2273"/>
      <c r="C5" s="2273"/>
      <c r="D5" s="2273"/>
      <c r="E5" s="2273"/>
      <c r="F5" s="2273"/>
    </row>
    <row r="6" spans="1:7" ht="13.5" customHeight="1" thickBot="1" x14ac:dyDescent="0.25">
      <c r="A6" s="2263" t="s">
        <v>1104</v>
      </c>
      <c r="B6" s="2264"/>
      <c r="C6" s="2264"/>
      <c r="D6" s="2264"/>
      <c r="E6" s="2264"/>
      <c r="F6" s="226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14215390</v>
      </c>
      <c r="G8" s="865"/>
    </row>
    <row r="9" spans="1:7" x14ac:dyDescent="0.2">
      <c r="A9" s="869" t="s">
        <v>460</v>
      </c>
      <c r="B9" s="870" t="s">
        <v>1877</v>
      </c>
      <c r="C9" s="871"/>
      <c r="D9" s="869" t="s">
        <v>501</v>
      </c>
      <c r="E9" s="868"/>
      <c r="F9" s="1909">
        <f>'Expenditures 15-22'!K151</f>
        <v>1233378</v>
      </c>
      <c r="G9" s="872"/>
    </row>
    <row r="10" spans="1:7" x14ac:dyDescent="0.2">
      <c r="A10" s="869" t="s">
        <v>499</v>
      </c>
      <c r="B10" s="870" t="s">
        <v>1878</v>
      </c>
      <c r="C10" s="871"/>
      <c r="D10" s="869" t="s">
        <v>501</v>
      </c>
      <c r="E10" s="868"/>
      <c r="F10" s="1909">
        <f>'Expenditures 15-22'!K174</f>
        <v>830797</v>
      </c>
      <c r="G10" s="872"/>
    </row>
    <row r="11" spans="1:7" x14ac:dyDescent="0.2">
      <c r="A11" s="869" t="s">
        <v>461</v>
      </c>
      <c r="B11" s="870" t="s">
        <v>1879</v>
      </c>
      <c r="C11" s="871"/>
      <c r="D11" s="869" t="s">
        <v>501</v>
      </c>
      <c r="E11" s="868"/>
      <c r="F11" s="1909">
        <f>'Expenditures 15-22'!K210</f>
        <v>1002018</v>
      </c>
      <c r="G11" s="872"/>
    </row>
    <row r="12" spans="1:7" x14ac:dyDescent="0.2">
      <c r="A12" s="869" t="s">
        <v>462</v>
      </c>
      <c r="B12" s="870" t="s">
        <v>1880</v>
      </c>
      <c r="C12" s="871"/>
      <c r="D12" s="869" t="s">
        <v>501</v>
      </c>
      <c r="E12" s="868"/>
      <c r="F12" s="1909">
        <f>'Expenditures 15-22'!K295</f>
        <v>399594</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17681177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119362</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3750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139886</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134356</v>
      </c>
      <c r="G52" s="865"/>
    </row>
    <row r="53" spans="1:7" x14ac:dyDescent="0.2">
      <c r="A53" s="869" t="s">
        <v>459</v>
      </c>
      <c r="B53" s="869" t="s">
        <v>1475</v>
      </c>
      <c r="C53" s="889">
        <f>'Expenditures 15-22'!B102</f>
        <v>4000</v>
      </c>
      <c r="D53" s="888" t="str">
        <f>'Expenditures 15-22'!A102</f>
        <v>Total Payments to Other Govt Units</v>
      </c>
      <c r="E53" s="868"/>
      <c r="F53" s="1913">
        <f>'Expenditures 15-22'!K102</f>
        <v>315906</v>
      </c>
      <c r="G53" s="865"/>
    </row>
    <row r="54" spans="1:7" x14ac:dyDescent="0.2">
      <c r="A54" s="869" t="s">
        <v>459</v>
      </c>
      <c r="B54" s="869" t="s">
        <v>1476</v>
      </c>
      <c r="C54" s="889" t="s">
        <v>982</v>
      </c>
      <c r="D54" s="885" t="s">
        <v>1095</v>
      </c>
      <c r="E54" s="868"/>
      <c r="F54" s="1913">
        <f>'Expenditures 15-22'!G114</f>
        <v>220075</v>
      </c>
      <c r="G54" s="865"/>
    </row>
    <row r="55" spans="1:7" x14ac:dyDescent="0.2">
      <c r="A55" s="869" t="s">
        <v>459</v>
      </c>
      <c r="B55" s="869" t="s">
        <v>1477</v>
      </c>
      <c r="C55" s="889" t="s">
        <v>982</v>
      </c>
      <c r="D55" s="885" t="s">
        <v>291</v>
      </c>
      <c r="E55" s="868"/>
      <c r="F55" s="1913">
        <f>'Expenditures 15-22'!I114</f>
        <v>4583</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351931</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720000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5312</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52</v>
      </c>
      <c r="G71" s="865"/>
    </row>
    <row r="72" spans="1:8" x14ac:dyDescent="0.2">
      <c r="A72" s="869" t="s">
        <v>462</v>
      </c>
      <c r="B72" s="869" t="s">
        <v>1896</v>
      </c>
      <c r="C72" s="886">
        <f>'Expenditures 15-22'!B280</f>
        <v>3000</v>
      </c>
      <c r="D72" s="876" t="s">
        <v>449</v>
      </c>
      <c r="E72" s="868"/>
      <c r="F72" s="1913">
        <f>'Expenditures 15-22'!K280</f>
        <v>13406</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2028619</v>
      </c>
      <c r="G76" s="865"/>
    </row>
    <row r="77" spans="1:8" s="893" customFormat="1" ht="12" customHeight="1" thickTop="1" thickBot="1" x14ac:dyDescent="0.25">
      <c r="A77" s="1779"/>
      <c r="B77" s="1776"/>
      <c r="C77" s="1772"/>
      <c r="D77" s="1777" t="s">
        <v>1900</v>
      </c>
      <c r="E77" s="1774"/>
      <c r="F77" s="1780">
        <f>(F14-F76)</f>
        <v>15652558</v>
      </c>
      <c r="G77" s="869"/>
    </row>
    <row r="78" spans="1:8" s="893" customFormat="1" ht="12" customHeight="1" thickTop="1" x14ac:dyDescent="0.2">
      <c r="A78" s="1781"/>
      <c r="B78" s="1776"/>
      <c r="C78" s="1772"/>
      <c r="D78" s="1777" t="s">
        <v>2062</v>
      </c>
      <c r="E78" s="1774"/>
      <c r="F78" s="898">
        <v>1600.5</v>
      </c>
      <c r="G78" s="899"/>
      <c r="H78" s="869"/>
    </row>
    <row r="79" spans="1:8" s="893" customFormat="1" ht="12" customHeight="1" thickBot="1" x14ac:dyDescent="0.25">
      <c r="A79" s="1782"/>
      <c r="B79" s="1776"/>
      <c r="C79" s="1772"/>
      <c r="D79" s="1777" t="s">
        <v>1901</v>
      </c>
      <c r="E79" s="1774" t="s">
        <v>958</v>
      </c>
      <c r="F79" s="1783">
        <f>IF(F78&gt;0,F77/F78," Complete Line 78")</f>
        <v>9779.7925648234923</v>
      </c>
      <c r="G79" s="869"/>
    </row>
    <row r="80" spans="1:8" s="893" customFormat="1" ht="8.25" customHeight="1" thickTop="1" x14ac:dyDescent="0.2">
      <c r="A80" s="900"/>
      <c r="B80" s="869"/>
      <c r="C80" s="871"/>
      <c r="D80" s="901"/>
      <c r="E80" s="868"/>
      <c r="F80" s="902"/>
      <c r="G80" s="869"/>
    </row>
    <row r="81" spans="1:7" s="893" customFormat="1" ht="12" thickBot="1" x14ac:dyDescent="0.25">
      <c r="A81" s="2263" t="s">
        <v>1105</v>
      </c>
      <c r="B81" s="2264"/>
      <c r="C81" s="2264"/>
      <c r="D81" s="2264"/>
      <c r="E81" s="2264"/>
      <c r="F81" s="226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17142</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277877</v>
      </c>
      <c r="G94" s="912"/>
    </row>
    <row r="95" spans="1:7" x14ac:dyDescent="0.2">
      <c r="A95" s="908" t="s">
        <v>140</v>
      </c>
      <c r="B95" s="908" t="s">
        <v>175</v>
      </c>
      <c r="C95" s="910">
        <v>1700</v>
      </c>
      <c r="D95" s="918" t="str">
        <f>'Revenues 9-14'!A82</f>
        <v>Total District/School Activity Income</v>
      </c>
      <c r="E95" s="906"/>
      <c r="F95" s="1789">
        <f>SUM('Revenues 9-14'!C82,'Revenues 9-14'!D82)</f>
        <v>6410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15385</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359828</v>
      </c>
      <c r="G104" s="912"/>
    </row>
    <row r="105" spans="1:7" x14ac:dyDescent="0.2">
      <c r="A105" s="908" t="s">
        <v>503</v>
      </c>
      <c r="B105" s="908" t="s">
        <v>2003</v>
      </c>
      <c r="C105" s="913">
        <v>3100</v>
      </c>
      <c r="D105" s="919" t="str">
        <f>'Revenues 9-14'!A132</f>
        <v>Total Special Education</v>
      </c>
      <c r="E105" s="906"/>
      <c r="F105" s="1789">
        <f>SUM('Revenues 9-14'!C132:D132,'Revenues 9-14'!F132)</f>
        <v>76784</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2667</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465041</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189808</v>
      </c>
      <c r="G125" s="930"/>
    </row>
    <row r="126" spans="1:7" x14ac:dyDescent="0.2">
      <c r="A126" s="927" t="s">
        <v>668</v>
      </c>
      <c r="B126" s="927" t="s">
        <v>2024</v>
      </c>
      <c r="C126" s="932">
        <v>4300</v>
      </c>
      <c r="D126" s="933" t="str">
        <f>'Revenues 9-14'!A204</f>
        <v>Total Title I</v>
      </c>
      <c r="E126" s="906"/>
      <c r="F126" s="1789">
        <f>SUM('Revenues 9-14'!C204,'Revenues 9-14'!D204,'Revenues 9-14'!F204,'Revenues 9-14'!G204)</f>
        <v>74962</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4375</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148571</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394</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27139</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32628</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56646</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645727</v>
      </c>
      <c r="G171" s="927"/>
    </row>
    <row r="172" spans="1:7" x14ac:dyDescent="0.2">
      <c r="A172" s="1918" t="s">
        <v>664</v>
      </c>
      <c r="B172" s="1919" t="s">
        <v>1920</v>
      </c>
      <c r="C172" s="1920">
        <v>3300</v>
      </c>
      <c r="D172" s="1921" t="s">
        <v>1923</v>
      </c>
      <c r="E172" s="906"/>
      <c r="F172" s="1906">
        <v>228</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2401612</v>
      </c>
    </row>
    <row r="175" spans="1:7" ht="12" customHeight="1" x14ac:dyDescent="0.2">
      <c r="A175" s="1770"/>
      <c r="B175" s="1784"/>
      <c r="C175" s="1785"/>
      <c r="D175" s="1786" t="s">
        <v>2057</v>
      </c>
      <c r="E175" s="1787"/>
      <c r="F175" s="1789">
        <f>'PCTC-OEPP 27-28'!F77-F174</f>
        <v>13250946</v>
      </c>
    </row>
    <row r="176" spans="1:7" ht="12" customHeight="1" x14ac:dyDescent="0.2">
      <c r="A176" s="1770"/>
      <c r="B176" s="1784"/>
      <c r="C176" s="1785"/>
      <c r="D176" s="1786" t="s">
        <v>1817</v>
      </c>
      <c r="E176" s="1787"/>
      <c r="F176" s="1789">
        <f>'Cap Outlay Deprec 26'!I18</f>
        <v>702136.3</v>
      </c>
    </row>
    <row r="177" spans="1:7" ht="12" customHeight="1" x14ac:dyDescent="0.2">
      <c r="A177" s="1770"/>
      <c r="B177" s="1784"/>
      <c r="C177" s="1785"/>
      <c r="D177" s="1786" t="s">
        <v>2058</v>
      </c>
      <c r="E177" s="1787"/>
      <c r="F177" s="1789">
        <f>F175+F176</f>
        <v>13953082.300000001</v>
      </c>
    </row>
    <row r="178" spans="1:7" ht="12" customHeight="1" x14ac:dyDescent="0.2">
      <c r="A178" s="1770"/>
      <c r="B178" s="1790"/>
      <c r="C178" s="1785"/>
      <c r="D178" s="1786" t="str">
        <f>D78</f>
        <v>9 Month ADA from District Average Daily Attendance/Prior General State Aid Inquiry 2018-2019</v>
      </c>
      <c r="E178" s="1787"/>
      <c r="F178" s="1791">
        <f>'PCTC-OEPP 27-28'!F78</f>
        <v>1600.5</v>
      </c>
      <c r="G178" s="930"/>
    </row>
    <row r="179" spans="1:7" ht="12" customHeight="1" thickBot="1" x14ac:dyDescent="0.25">
      <c r="A179" s="1770"/>
      <c r="B179" s="1790"/>
      <c r="C179" s="1785"/>
      <c r="D179" s="1786" t="s">
        <v>2059</v>
      </c>
      <c r="E179" s="1787" t="s">
        <v>1545</v>
      </c>
      <c r="F179" s="1792">
        <f>F177/F178</f>
        <v>8717.9520774757893</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H141"/>
  <sheetViews>
    <sheetView showGridLines="0" zoomScaleNormal="100" workbookViewId="0">
      <selection activeCell="A18" sqref="A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7" t="s">
        <v>1818</v>
      </c>
      <c r="B4" s="2278"/>
      <c r="C4" s="2278"/>
      <c r="D4" s="2278"/>
      <c r="E4" s="2278"/>
      <c r="F4" s="2278"/>
      <c r="G4" s="2279"/>
    </row>
    <row r="5" spans="1:7" x14ac:dyDescent="0.25">
      <c r="A5" s="2280"/>
      <c r="B5" s="2281"/>
      <c r="C5" s="2281"/>
      <c r="D5" s="2281"/>
      <c r="E5" s="2281"/>
      <c r="F5" s="2281"/>
      <c r="G5" s="2282"/>
    </row>
    <row r="6" spans="1:7" ht="18.75" x14ac:dyDescent="0.25">
      <c r="A6" s="1534" t="s">
        <v>1819</v>
      </c>
      <c r="B6" s="1535"/>
      <c r="C6" s="1535"/>
      <c r="D6" s="1535"/>
      <c r="E6" s="1535"/>
      <c r="F6" s="1535"/>
      <c r="G6" s="1536"/>
    </row>
    <row r="7" spans="1:7" ht="30.75" customHeight="1" x14ac:dyDescent="0.25">
      <c r="A7" s="2283" t="s">
        <v>1932</v>
      </c>
      <c r="B7" s="2284"/>
      <c r="C7" s="2284"/>
      <c r="D7" s="2284"/>
      <c r="E7" s="2284"/>
      <c r="F7" s="2284"/>
      <c r="G7" s="2285"/>
    </row>
    <row r="8" spans="1:7" ht="15.75" customHeight="1" x14ac:dyDescent="0.25">
      <c r="A8" s="2286" t="s">
        <v>1907</v>
      </c>
      <c r="B8" s="2287"/>
      <c r="C8" s="2287"/>
      <c r="D8" s="2287"/>
      <c r="E8" s="2287"/>
      <c r="F8" s="2287"/>
      <c r="G8" s="2288"/>
    </row>
    <row r="9" spans="1:7" ht="35.25" customHeight="1" x14ac:dyDescent="0.25">
      <c r="A9" s="2283" t="s">
        <v>1935</v>
      </c>
      <c r="B9" s="2284"/>
      <c r="C9" s="2284"/>
      <c r="D9" s="2284"/>
      <c r="E9" s="2284"/>
      <c r="F9" s="2284"/>
      <c r="G9" s="2285"/>
    </row>
    <row r="10" spans="1:7" ht="15" customHeight="1" x14ac:dyDescent="0.25">
      <c r="A10" s="1537" t="s">
        <v>1820</v>
      </c>
      <c r="B10" s="1538"/>
      <c r="C10" s="1538"/>
      <c r="D10" s="1538"/>
      <c r="E10" s="1538"/>
      <c r="F10" s="1538"/>
      <c r="G10" s="1539"/>
    </row>
    <row r="11" spans="1:7" ht="17.25" customHeight="1" x14ac:dyDescent="0.25">
      <c r="A11" s="2283" t="s">
        <v>1934</v>
      </c>
      <c r="B11" s="2284"/>
      <c r="C11" s="2284"/>
      <c r="D11" s="2284"/>
      <c r="E11" s="2284"/>
      <c r="F11" s="2284"/>
      <c r="G11" s="2285"/>
    </row>
    <row r="12" spans="1:7" ht="15" customHeight="1" x14ac:dyDescent="0.25">
      <c r="A12" s="1537" t="s">
        <v>1825</v>
      </c>
      <c r="B12" s="1538"/>
      <c r="C12" s="1538"/>
      <c r="D12" s="1538"/>
      <c r="E12" s="1538"/>
      <c r="F12" s="1538"/>
      <c r="G12" s="1539"/>
    </row>
    <row r="13" spans="1:7" ht="32.25" customHeight="1" x14ac:dyDescent="0.25">
      <c r="A13" s="2274" t="s">
        <v>1976</v>
      </c>
      <c r="B13" s="2275"/>
      <c r="C13" s="2275"/>
      <c r="D13" s="2275"/>
      <c r="E13" s="2275"/>
      <c r="F13" s="2275"/>
      <c r="G13" s="2276"/>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6" t="s">
        <v>2104</v>
      </c>
      <c r="B17" s="1945" t="s">
        <v>1824</v>
      </c>
      <c r="C17" s="1943" t="s">
        <v>2098</v>
      </c>
      <c r="D17" s="1844">
        <v>62240</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37240</v>
      </c>
      <c r="H17" s="1647"/>
    </row>
    <row r="18" spans="1:8" x14ac:dyDescent="0.25">
      <c r="A18" s="1947" t="s">
        <v>2104</v>
      </c>
      <c r="B18" s="1945" t="s">
        <v>1824</v>
      </c>
      <c r="C18" s="1943" t="s">
        <v>2099</v>
      </c>
      <c r="D18" s="1844">
        <v>76081</v>
      </c>
      <c r="E18" s="1540">
        <f t="shared" ref="E18:E140" si="2">IF(D18&lt;=25000,D18,IF(D18&gt;25000,25000,0))</f>
        <v>25000</v>
      </c>
      <c r="F18" s="1932">
        <f t="shared" si="1"/>
        <v>25000</v>
      </c>
      <c r="G18" s="1793">
        <f t="shared" ref="G18:G140" si="3">IF(F18=0,0,D18-F18)</f>
        <v>51081</v>
      </c>
    </row>
    <row r="19" spans="1:8" x14ac:dyDescent="0.25">
      <c r="A19" s="1947" t="s">
        <v>2105</v>
      </c>
      <c r="B19" s="1945" t="s">
        <v>2106</v>
      </c>
      <c r="C19" s="1943" t="s">
        <v>2102</v>
      </c>
      <c r="D19" s="1844">
        <v>30000</v>
      </c>
      <c r="E19" s="1540">
        <f t="shared" si="2"/>
        <v>25000</v>
      </c>
      <c r="F19" s="1932">
        <f t="shared" si="1"/>
        <v>25000</v>
      </c>
      <c r="G19" s="1793">
        <f t="shared" si="3"/>
        <v>5000</v>
      </c>
    </row>
    <row r="20" spans="1:8" x14ac:dyDescent="0.25">
      <c r="A20" s="1947" t="s">
        <v>2107</v>
      </c>
      <c r="B20" s="1944" t="s">
        <v>2100</v>
      </c>
      <c r="C20" s="1943" t="s">
        <v>2101</v>
      </c>
      <c r="D20" s="1844">
        <v>1001806</v>
      </c>
      <c r="E20" s="1540">
        <f t="shared" si="2"/>
        <v>25000</v>
      </c>
      <c r="F20" s="1932">
        <f t="shared" si="1"/>
        <v>25000</v>
      </c>
      <c r="G20" s="1793">
        <f t="shared" si="3"/>
        <v>976806</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1170127</v>
      </c>
      <c r="E141" s="1541">
        <f t="shared" si="0"/>
        <v>25000</v>
      </c>
      <c r="F141" s="1933">
        <f>SUM(F17:F140)</f>
        <v>100000</v>
      </c>
      <c r="G141" s="1795">
        <f>SUM(G17:G140)</f>
        <v>1070127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F0"/>
  </sheetPr>
  <dimension ref="A1:I46"/>
  <sheetViews>
    <sheetView showGridLines="0" defaultGridColor="0" colorId="8" zoomScale="110" zoomScaleNormal="110" workbookViewId="0">
      <selection activeCell="D35" sqref="D3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9" t="s">
        <v>1679</v>
      </c>
      <c r="B5" s="2290"/>
      <c r="C5" s="2290"/>
      <c r="D5" s="2290"/>
      <c r="E5" s="2290"/>
      <c r="F5" s="2290"/>
      <c r="G5" s="229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189809</v>
      </c>
      <c r="F10" s="974"/>
      <c r="G10" s="975"/>
      <c r="H10" s="162"/>
      <c r="I10" s="162"/>
    </row>
    <row r="11" spans="1:9" s="668" customFormat="1" ht="22.5" customHeight="1" x14ac:dyDescent="0.2">
      <c r="A11" s="2294" t="s">
        <v>1977</v>
      </c>
      <c r="B11" s="2295"/>
      <c r="C11" s="2295"/>
      <c r="D11" s="2296"/>
      <c r="E11" s="977">
        <v>49839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9981670</v>
      </c>
      <c r="F19" s="1799"/>
      <c r="G19" s="1801">
        <f>'Expenditures 15-22'!K33-SUM('Expenditures 15-22'!G33,'Expenditures 15-22'!I33)+'Expenditures 15-22'!D229</f>
        <v>9981670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1074022</v>
      </c>
      <c r="F21" s="1802"/>
      <c r="G21" s="1805">
        <f>'Expenditures 15-22'!K42-SUM('Expenditures 15-22'!G42,'Expenditures 15-22'!I42)+'Expenditures 15-22'!K120-SUM('Expenditures 15-22'!G120,'Expenditures 15-22'!I120)+'Expenditures 15-22'!K180-SUM('Expenditures 15-22'!G180,'Expenditures 15-22'!I180)+'Expenditures 15-22'!D238</f>
        <v>1074022</v>
      </c>
      <c r="H21" s="987"/>
      <c r="I21" s="162"/>
    </row>
    <row r="22" spans="1:9" s="668" customFormat="1" ht="12" customHeight="1" x14ac:dyDescent="0.2">
      <c r="A22" s="994" t="s">
        <v>564</v>
      </c>
      <c r="B22" s="995"/>
      <c r="C22" s="993">
        <v>2200</v>
      </c>
      <c r="D22" s="1802"/>
      <c r="E22" s="1804">
        <f>'Expenditures 15-22'!K47-SUM('Expenditures 15-22'!G47,'Expenditures 15-22'!I47)+'Expenditures 15-22'!D243</f>
        <v>240304</v>
      </c>
      <c r="F22" s="1802"/>
      <c r="G22" s="1805">
        <f>'Expenditures 15-22'!K47-SUM('Expenditures 15-22'!G47,'Expenditures 15-22'!I47)+'Expenditures 15-22'!D243</f>
        <v>240304</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679195</v>
      </c>
      <c r="F23" s="1802"/>
      <c r="G23" s="1804">
        <f>'Expenditures 15-22'!K53-SUM('Expenditures 15-22'!G53,'Expenditures 15-22'!I53)+'Expenditures 15-22'!D257+'Expenditures 15-22'!K330-SUM('Expenditures 15-22'!G330,'Expenditures 15-22'!I330)</f>
        <v>679195</v>
      </c>
      <c r="H23" s="987"/>
      <c r="I23" s="162"/>
    </row>
    <row r="24" spans="1:9" s="668" customFormat="1" ht="12" customHeight="1" x14ac:dyDescent="0.2">
      <c r="A24" s="994" t="s">
        <v>566</v>
      </c>
      <c r="B24" s="995"/>
      <c r="C24" s="993">
        <v>2400</v>
      </c>
      <c r="D24" s="1802"/>
      <c r="E24" s="1804">
        <f>'Expenditures 15-22'!K57-SUM('Expenditures 15-22'!G57,'Expenditures 15-22'!I57)+'Expenditures 15-22'!D261</f>
        <v>830668</v>
      </c>
      <c r="F24" s="1802"/>
      <c r="G24" s="1805">
        <f>'Expenditures 15-22'!K57-SUM('Expenditures 15-22'!G57,'Expenditures 15-22'!I57)+'Expenditures 15-22'!D261</f>
        <v>830668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240617</v>
      </c>
      <c r="E26" s="1804">
        <f>'Expenditures 15-22'!K122-SUM('Expenditures 15-22'!G122,'Expenditures 15-22'!I122)+E7</f>
        <v>0</v>
      </c>
      <c r="F26" s="1804">
        <f>'Expenditures 15-22'!K59-SUM('Expenditures 15-22'!G59,'Expenditures 15-22'!I59)+'Expenditures 15-22'!D263-E7</f>
        <v>240617</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51183</v>
      </c>
      <c r="E27" s="1804">
        <f>E8</f>
        <v>0</v>
      </c>
      <c r="F27" s="1804">
        <f>'Expenditures 15-22'!K60-SUM('Expenditures 15-22'!G60,'Expenditures 15-22'!I60)+'Expenditures 15-22'!D264-E8</f>
        <v>51183</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915426</v>
      </c>
      <c r="F28" s="1806">
        <f>'Expenditures 15-22'!K61-SUM('Expenditures 15-22'!G61,'Expenditures 15-22'!I61)+'Expenditures 15-22'!K124-SUM('Expenditures 15-22'!G124,'Expenditures 15-22'!I124)+'Expenditures 15-22'!D266-E9</f>
        <v>915426</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1002018</v>
      </c>
      <c r="F29" s="1802"/>
      <c r="G29" s="1805">
        <f>'Expenditures 15-22'!K62-SUM('Expenditures 15-22'!G62,'Expenditures 15-22'!I62)+'Expenditures 15-22'!K125-SUM('Expenditures 15-22'!G125,'Expenditures 15-22'!I125)+'Expenditures 15-22'!K182-SUM('Expenditures 15-22'!G182,'Expenditures 15-22'!I182)+'Expenditures 15-22'!D267</f>
        <v>1002018</v>
      </c>
      <c r="H29" s="985"/>
    </row>
    <row r="30" spans="1:9" ht="12" customHeight="1" x14ac:dyDescent="0.2">
      <c r="A30" s="994" t="s">
        <v>100</v>
      </c>
      <c r="B30" s="997"/>
      <c r="C30" s="993">
        <v>2560</v>
      </c>
      <c r="D30" s="1802"/>
      <c r="E30" s="1804">
        <f>'Expenditures 15-22'!K63-SUM('Expenditures 15-22'!G63,'Expenditures 15-22'!I63)+'Expenditures 15-22'!D268-E10</f>
        <v>240772</v>
      </c>
      <c r="F30" s="1802"/>
      <c r="G30" s="1804">
        <f>'Expenditures 15-22'!K63-SUM('Expenditures 15-22'!G63,'Expenditures 15-22'!I63)+'Expenditures 15-22'!D268-E10</f>
        <v>240772</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277542</v>
      </c>
      <c r="E37" s="1804">
        <f>E14</f>
        <v>0</v>
      </c>
      <c r="F37" s="1804">
        <f>'Expenditures 15-22'!K71-SUM('Expenditures 15-22'!G71,'Expenditures 15-22'!I71)+'Expenditures 15-22'!D276-E14</f>
        <v>277542</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147762</v>
      </c>
      <c r="F39" s="1802"/>
      <c r="G39" s="1804">
        <f>'Expenditures 15-22'!K75-SUM('Expenditures 15-22'!G75,'Expenditures 15-22'!I75)+'Expenditures 15-22'!K130-SUM('Expenditures 15-22'!G130,'Expenditures 15-22'!I130)+'Expenditures 15-22'!K185-SUM('Expenditures 15-22'!G185,'Expenditures 15-22'!I185)+'Expenditures 15-22'!D280</f>
        <v>147762</v>
      </c>
    </row>
    <row r="40" spans="1:7" ht="12" customHeight="1" x14ac:dyDescent="0.2">
      <c r="A40" s="990" t="s">
        <v>1823</v>
      </c>
      <c r="B40" s="991"/>
      <c r="C40" s="993"/>
      <c r="D40" s="1802"/>
      <c r="E40" s="1806">
        <f>-'Contracts Paid in CY 29'!G141</f>
        <v>-1070127</v>
      </c>
      <c r="F40" s="1802"/>
      <c r="G40" s="1806">
        <f>-'Contracts Paid in CY 29'!G141</f>
        <v>-1070127</v>
      </c>
    </row>
    <row r="41" spans="1:7" ht="12" customHeight="1" x14ac:dyDescent="0.2">
      <c r="A41" s="998" t="s">
        <v>156</v>
      </c>
      <c r="B41" s="999"/>
      <c r="C41" s="1000"/>
      <c r="D41" s="1806">
        <f>SUM(D19:D39)</f>
        <v>569342</v>
      </c>
      <c r="E41" s="1806">
        <f>SUM(E19:E40)</f>
        <v>14041710</v>
      </c>
      <c r="F41" s="1806">
        <f>SUM(F19:F39)</f>
        <v>1484768</v>
      </c>
      <c r="G41" s="1806">
        <f>SUM(G19:G40)</f>
        <v>13126284</v>
      </c>
    </row>
    <row r="42" spans="1:7" x14ac:dyDescent="0.2">
      <c r="A42" s="987"/>
      <c r="B42" s="162"/>
      <c r="C42" s="1001"/>
      <c r="D42" s="2292" t="s">
        <v>522</v>
      </c>
      <c r="E42" s="2293"/>
      <c r="F42" s="1002" t="s">
        <v>523</v>
      </c>
      <c r="G42" s="1003"/>
    </row>
    <row r="43" spans="1:7" ht="12" customHeight="1" x14ac:dyDescent="0.2">
      <c r="A43" s="987"/>
      <c r="B43" s="162"/>
      <c r="C43" s="1001"/>
      <c r="D43" s="1807" t="s">
        <v>473</v>
      </c>
      <c r="E43" s="1808">
        <f>D41</f>
        <v>569342</v>
      </c>
      <c r="F43" s="1807" t="s">
        <v>473</v>
      </c>
      <c r="G43" s="1808">
        <f>F41</f>
        <v>1484768</v>
      </c>
    </row>
    <row r="44" spans="1:7" ht="12" customHeight="1" x14ac:dyDescent="0.2">
      <c r="A44" s="987"/>
      <c r="B44" s="162"/>
      <c r="C44" s="1001"/>
      <c r="D44" s="1807" t="s">
        <v>474</v>
      </c>
      <c r="E44" s="1808">
        <f>E41</f>
        <v>14041710</v>
      </c>
      <c r="F44" s="1807" t="s">
        <v>474</v>
      </c>
      <c r="G44" s="1808">
        <f>G41</f>
        <v>13126284</v>
      </c>
    </row>
    <row r="45" spans="1:7" ht="12" customHeight="1" x14ac:dyDescent="0.2">
      <c r="A45" s="987"/>
      <c r="B45" s="162"/>
      <c r="C45" s="162"/>
      <c r="D45" s="1809" t="s">
        <v>1006</v>
      </c>
      <c r="E45" s="1810">
        <f>(E43/E44)</f>
        <v>4.054648614734245E-2</v>
      </c>
      <c r="F45" s="1809" t="s">
        <v>1006</v>
      </c>
      <c r="G45" s="1810">
        <f>(G43/G44)</f>
        <v>0.11311411516008643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F0"/>
  </sheetPr>
  <dimension ref="A1:L97"/>
  <sheetViews>
    <sheetView showGridLines="0" zoomScale="110" zoomScaleNormal="110" workbookViewId="0">
      <pane ySplit="4" topLeftCell="A5" activePane="bottomLeft" state="frozen"/>
      <selection activeCell="A47" sqref="A47"/>
      <selection pane="bottomLeft" activeCell="C40" sqref="C40:F40"/>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2" t="s">
        <v>1379</v>
      </c>
      <c r="B1" s="2312"/>
      <c r="C1" s="2312"/>
      <c r="D1" s="2312"/>
      <c r="E1" s="2312"/>
      <c r="F1" s="2312"/>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13" t="s">
        <v>1546</v>
      </c>
      <c r="B5" s="2314"/>
      <c r="C5" s="2315"/>
      <c r="D5" s="2315"/>
      <c r="E5" s="2315"/>
      <c r="F5" s="2315"/>
    </row>
    <row r="6" spans="1:10" ht="12" customHeight="1" x14ac:dyDescent="0.25">
      <c r="A6" s="1850"/>
      <c r="B6" s="1851"/>
      <c r="C6" s="2316" t="str">
        <f>COVER!A17</f>
        <v>Kinnikinnick CCSD 131</v>
      </c>
      <c r="D6" s="2316"/>
      <c r="E6" s="2316"/>
      <c r="F6" s="1852"/>
    </row>
    <row r="7" spans="1:10" ht="11.25" customHeight="1" thickBot="1" x14ac:dyDescent="0.3">
      <c r="A7" s="1850"/>
      <c r="B7" s="1851"/>
      <c r="C7" s="2317">
        <f>COVER!A13</f>
        <v>4101131004</v>
      </c>
      <c r="D7" s="2317"/>
      <c r="E7" s="2317"/>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2073</v>
      </c>
      <c r="D16" s="1865" t="s">
        <v>2073</v>
      </c>
      <c r="E16" s="1868" t="s">
        <v>2073</v>
      </c>
      <c r="F16" s="1867" t="s">
        <v>2085</v>
      </c>
      <c r="H16" s="1878">
        <f t="shared" si="0"/>
        <v>5</v>
      </c>
      <c r="I16" s="1878">
        <f t="shared" si="1"/>
        <v>5</v>
      </c>
      <c r="J16" s="1878">
        <f t="shared" si="2"/>
        <v>5</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2073</v>
      </c>
      <c r="D19" s="1865" t="s">
        <v>2073</v>
      </c>
      <c r="E19" s="1868" t="s">
        <v>2073</v>
      </c>
      <c r="F19" s="1867" t="s">
        <v>2086</v>
      </c>
      <c r="H19" s="1878">
        <f t="shared" si="0"/>
        <v>5</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t="s">
        <v>2073</v>
      </c>
      <c r="D22" s="1865" t="s">
        <v>2073</v>
      </c>
      <c r="E22" s="1868" t="s">
        <v>2073</v>
      </c>
      <c r="F22" s="1867" t="s">
        <v>2087</v>
      </c>
      <c r="H22" s="1878">
        <f t="shared" si="0"/>
        <v>5</v>
      </c>
      <c r="I22" s="1878">
        <f t="shared" si="1"/>
        <v>5</v>
      </c>
      <c r="J22" s="1878">
        <f t="shared" si="2"/>
        <v>5</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2073</v>
      </c>
      <c r="D26" s="1865" t="s">
        <v>2073</v>
      </c>
      <c r="E26" s="1868" t="s">
        <v>2073</v>
      </c>
      <c r="F26" s="1867" t="s">
        <v>2088</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2073</v>
      </c>
      <c r="D30" s="1865" t="s">
        <v>2073</v>
      </c>
      <c r="E30" s="1868" t="s">
        <v>2073</v>
      </c>
      <c r="F30" s="1867" t="s">
        <v>2108</v>
      </c>
      <c r="H30" s="1878">
        <f t="shared" si="0"/>
        <v>5</v>
      </c>
      <c r="I30" s="1878">
        <f t="shared" si="1"/>
        <v>5</v>
      </c>
      <c r="J30" s="1878">
        <f t="shared" si="2"/>
        <v>5</v>
      </c>
    </row>
    <row r="31" spans="1:12" ht="12" customHeight="1" x14ac:dyDescent="0.2">
      <c r="A31" s="1863" t="s">
        <v>1539</v>
      </c>
      <c r="B31" s="1864"/>
      <c r="C31" s="1865"/>
      <c r="D31" s="1865"/>
      <c r="E31" s="1868"/>
      <c r="F31" s="1867" t="s">
        <v>2109</v>
      </c>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25</v>
      </c>
      <c r="J34" s="1878">
        <f>SUM(J11:J32)</f>
        <v>25</v>
      </c>
      <c r="K34" s="1878">
        <f>SUM(H34:J34)</f>
        <v>75</v>
      </c>
    </row>
    <row r="35" spans="1:11" ht="12" customHeight="1" x14ac:dyDescent="0.2">
      <c r="A35" s="1871" t="s">
        <v>1392</v>
      </c>
      <c r="B35" s="1872"/>
      <c r="C35" s="2318"/>
      <c r="D35" s="2318"/>
      <c r="E35" s="2318"/>
      <c r="F35" s="2319"/>
    </row>
    <row r="36" spans="1:11" ht="12" customHeight="1" x14ac:dyDescent="0.2">
      <c r="A36" s="2311"/>
      <c r="B36" s="2301"/>
      <c r="C36" s="2301"/>
      <c r="D36" s="2301"/>
      <c r="E36" s="2301"/>
      <c r="F36" s="2302"/>
    </row>
    <row r="37" spans="1:11" ht="12" customHeight="1" x14ac:dyDescent="0.2">
      <c r="A37" s="2300"/>
      <c r="B37" s="2301"/>
      <c r="C37" s="2301"/>
      <c r="D37" s="2301"/>
      <c r="E37" s="2301"/>
      <c r="F37" s="2302"/>
    </row>
    <row r="38" spans="1:11" ht="12" customHeight="1" x14ac:dyDescent="0.2">
      <c r="A38" s="2303"/>
      <c r="B38" s="2304"/>
      <c r="C38" s="2304"/>
      <c r="D38" s="2304"/>
      <c r="E38" s="2304"/>
      <c r="F38" s="2305"/>
    </row>
    <row r="39" spans="1:11" ht="4.5" hidden="1" customHeight="1" x14ac:dyDescent="0.2">
      <c r="A39" s="1873"/>
      <c r="B39" s="1873"/>
      <c r="C39" s="1873"/>
      <c r="D39" s="1873"/>
      <c r="E39" s="1873"/>
      <c r="F39" s="1873"/>
    </row>
    <row r="40" spans="1:11" s="1870" customFormat="1" ht="12" customHeight="1" x14ac:dyDescent="0.25">
      <c r="A40" s="1874" t="s">
        <v>1391</v>
      </c>
      <c r="B40" s="1875"/>
      <c r="C40" s="2306"/>
      <c r="D40" s="2306"/>
      <c r="E40" s="2306"/>
      <c r="F40" s="2307"/>
      <c r="H40" s="1879"/>
      <c r="I40" s="1879"/>
      <c r="J40" s="1879"/>
      <c r="K40" s="1879"/>
    </row>
    <row r="41" spans="1:11" s="1870" customFormat="1" ht="12" customHeight="1" x14ac:dyDescent="0.25">
      <c r="A41" s="2308" t="s">
        <v>2089</v>
      </c>
      <c r="B41" s="2309"/>
      <c r="C41" s="2309"/>
      <c r="D41" s="2309"/>
      <c r="E41" s="2309"/>
      <c r="F41" s="2310"/>
      <c r="H41" s="1879"/>
      <c r="I41" s="1879"/>
      <c r="J41" s="1879"/>
      <c r="K41" s="1879"/>
    </row>
    <row r="42" spans="1:11" s="1870" customFormat="1" ht="12" customHeight="1" x14ac:dyDescent="0.25">
      <c r="A42" s="2308" t="s">
        <v>2090</v>
      </c>
      <c r="B42" s="2309"/>
      <c r="C42" s="2309"/>
      <c r="D42" s="2309"/>
      <c r="E42" s="2309"/>
      <c r="F42" s="2310"/>
      <c r="H42" s="1879"/>
      <c r="I42" s="1879"/>
      <c r="J42" s="1879"/>
      <c r="K42" s="1879"/>
    </row>
    <row r="43" spans="1:11" s="1870" customFormat="1" ht="15" x14ac:dyDescent="0.25">
      <c r="A43" s="2297" t="s">
        <v>2091</v>
      </c>
      <c r="B43" s="2298"/>
      <c r="C43" s="2298"/>
      <c r="D43" s="2298"/>
      <c r="E43" s="2298"/>
      <c r="F43" s="2299"/>
      <c r="H43" s="1879"/>
      <c r="I43" s="1879"/>
      <c r="J43" s="1879"/>
      <c r="K43" s="1879"/>
    </row>
    <row r="44" spans="1:11" s="1870" customFormat="1" ht="12" hidden="1" customHeight="1" x14ac:dyDescent="0.25">
      <c r="A44" s="2297"/>
      <c r="B44" s="2298"/>
      <c r="C44" s="2298"/>
      <c r="D44" s="2298"/>
      <c r="E44" s="2298"/>
      <c r="F44" s="2299"/>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F0"/>
  </sheetPr>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5" t="str">
        <f>COVER!A17</f>
        <v>Kinnikinnick CCSD 131</v>
      </c>
      <c r="J6" s="2326"/>
      <c r="Q6" s="1664"/>
    </row>
    <row r="7" spans="1:17" x14ac:dyDescent="0.2">
      <c r="A7" s="2327" t="s">
        <v>869</v>
      </c>
      <c r="B7" s="2328"/>
      <c r="C7" s="2328"/>
      <c r="D7" s="2328"/>
      <c r="E7" s="2329"/>
      <c r="F7" s="1017"/>
      <c r="G7" s="1009"/>
      <c r="H7" s="1016" t="s">
        <v>372</v>
      </c>
      <c r="I7" s="2330">
        <f>COVER!A13</f>
        <v>4101131004</v>
      </c>
      <c r="J7" s="233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1" t="s">
        <v>481</v>
      </c>
      <c r="B11" s="2332"/>
      <c r="C11" s="233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311411</v>
      </c>
      <c r="F12" s="1039"/>
      <c r="G12" s="1811">
        <f t="shared" ref="G12:G18" si="0">SUM(E12:F12)</f>
        <v>311411</v>
      </c>
      <c r="H12" s="1040">
        <v>331543</v>
      </c>
      <c r="I12" s="1039"/>
      <c r="J12" s="1811">
        <f t="shared" ref="J12:J18" si="1">SUM(H12:I12)</f>
        <v>331543</v>
      </c>
    </row>
    <row r="13" spans="1:17" ht="15" customHeight="1" x14ac:dyDescent="0.2">
      <c r="A13" s="1035">
        <v>2</v>
      </c>
      <c r="B13" s="1036" t="s">
        <v>42</v>
      </c>
      <c r="C13" s="1037"/>
      <c r="D13" s="1038">
        <v>2330</v>
      </c>
      <c r="E13" s="1811">
        <f>'Expenditures 15-22'!K51</f>
        <v>123363</v>
      </c>
      <c r="F13" s="1039"/>
      <c r="G13" s="1811">
        <f t="shared" si="0"/>
        <v>123363</v>
      </c>
      <c r="H13" s="1040">
        <v>135809</v>
      </c>
      <c r="I13" s="1039"/>
      <c r="J13" s="1811">
        <f t="shared" si="1"/>
        <v>135809</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244915</v>
      </c>
      <c r="F15" s="1811">
        <f>'Expenditures 15-22'!K122</f>
        <v>0</v>
      </c>
      <c r="G15" s="1811">
        <f t="shared" si="0"/>
        <v>244915</v>
      </c>
      <c r="H15" s="1040">
        <v>246325</v>
      </c>
      <c r="I15" s="1040"/>
      <c r="J15" s="1811">
        <f t="shared" si="1"/>
        <v>246325</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4" t="s">
        <v>7</v>
      </c>
      <c r="C18" s="2335"/>
      <c r="D18" s="2336"/>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679689</v>
      </c>
      <c r="F19" s="1813">
        <f t="shared" si="2"/>
        <v>0</v>
      </c>
      <c r="G19" s="1813">
        <f t="shared" si="2"/>
        <v>679689</v>
      </c>
      <c r="H19" s="1813">
        <f t="shared" si="2"/>
        <v>713677</v>
      </c>
      <c r="I19" s="1813">
        <f t="shared" si="2"/>
        <v>0</v>
      </c>
      <c r="J19" s="1813">
        <f t="shared" si="2"/>
        <v>713677</v>
      </c>
    </row>
    <row r="20" spans="1:10" ht="13.5" thickTop="1" x14ac:dyDescent="0.2">
      <c r="A20" s="1035">
        <v>9</v>
      </c>
      <c r="B20" s="2337" t="s">
        <v>1981</v>
      </c>
      <c r="C20" s="2337"/>
      <c r="D20" s="2338"/>
      <c r="E20" s="1046"/>
      <c r="F20" s="1046"/>
      <c r="G20" s="1046"/>
      <c r="H20" s="1046"/>
      <c r="I20" s="1046"/>
      <c r="J20" s="1814">
        <f>IF(AND(G19&gt;0,J19&gt;0),(((J19-G19)/G19)),"Enter Budget Data")</f>
        <v>5.000522297697918E-2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3"/>
      <c r="D26" s="2343"/>
      <c r="E26" s="1050"/>
      <c r="F26" s="2342"/>
      <c r="G26" s="2342"/>
    </row>
    <row r="27" spans="1:10" x14ac:dyDescent="0.2">
      <c r="B27" s="1047"/>
      <c r="C27" s="1051" t="s">
        <v>1033</v>
      </c>
      <c r="D27" s="1052"/>
      <c r="E27" s="1053"/>
      <c r="F27" s="2339" t="s">
        <v>1509</v>
      </c>
      <c r="G27" s="2339"/>
    </row>
    <row r="28" spans="1:10" ht="28.5" customHeight="1" x14ac:dyDescent="0.2">
      <c r="B28" s="1047"/>
      <c r="C28" s="2341"/>
      <c r="D28" s="2341"/>
      <c r="E28" s="1054"/>
      <c r="F28" s="2341"/>
      <c r="G28" s="2341"/>
    </row>
    <row r="29" spans="1:10" x14ac:dyDescent="0.2">
      <c r="B29" s="1047"/>
      <c r="C29" s="1055" t="s">
        <v>1561</v>
      </c>
      <c r="E29" s="1056"/>
      <c r="F29" s="2340" t="s">
        <v>1510</v>
      </c>
      <c r="G29" s="234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2" t="s">
        <v>132</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62"/>
    </row>
    <row r="36" spans="1:10" ht="13.5" customHeight="1" x14ac:dyDescent="0.2">
      <c r="B36" s="1061"/>
      <c r="C36" s="2324" t="s">
        <v>1983</v>
      </c>
      <c r="D36" s="2323"/>
      <c r="E36" s="2323"/>
      <c r="F36" s="2323"/>
      <c r="G36" s="2323"/>
      <c r="H36" s="2323"/>
      <c r="I36" s="2323"/>
      <c r="J36" s="1063"/>
    </row>
    <row r="37" spans="1:10" ht="22.5" customHeight="1" x14ac:dyDescent="0.2">
      <c r="C37" s="2323"/>
      <c r="D37" s="2323"/>
      <c r="E37" s="2323"/>
      <c r="F37" s="2323"/>
      <c r="G37" s="2323"/>
      <c r="H37" s="2323"/>
      <c r="I37" s="2323"/>
      <c r="J37" s="1063"/>
    </row>
    <row r="38" spans="1:10" ht="7.5" customHeight="1" x14ac:dyDescent="0.2">
      <c r="C38" s="1062"/>
      <c r="D38" s="1064"/>
      <c r="E38" s="1065"/>
      <c r="F38" s="1066"/>
      <c r="G38" s="1065"/>
    </row>
    <row r="39" spans="1:10" ht="13.5" customHeight="1" x14ac:dyDescent="0.2">
      <c r="B39" s="1061"/>
      <c r="C39" s="2320" t="s">
        <v>882</v>
      </c>
      <c r="D39" s="2321"/>
      <c r="E39" s="2321"/>
      <c r="F39" s="2321"/>
      <c r="G39" s="2321"/>
      <c r="H39" s="2321"/>
      <c r="I39" s="232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F0"/>
  </sheetPr>
  <dimension ref="A2:G65"/>
  <sheetViews>
    <sheetView showGridLines="0" zoomScale="110" zoomScaleNormal="110" workbookViewId="0">
      <selection activeCell="C9" sqref="C9"/>
    </sheetView>
  </sheetViews>
  <sheetFormatPr defaultRowHeight="12.75" x14ac:dyDescent="0.2"/>
  <cols>
    <col min="1" max="1" width="3" style="329" customWidth="1"/>
    <col min="2" max="4" width="8.28515625" style="329" customWidth="1"/>
    <col min="5" max="5" width="8.42578125" style="329" customWidth="1"/>
    <col min="6" max="6" width="39.85546875" style="329" customWidth="1"/>
    <col min="7" max="7" width="9.5703125" style="1939" bestFit="1" customWidth="1"/>
    <col min="8" max="16384" width="9.140625" style="329"/>
  </cols>
  <sheetData>
    <row r="2" spans="1:7" x14ac:dyDescent="0.2">
      <c r="A2" s="389" t="s">
        <v>258</v>
      </c>
    </row>
    <row r="3" spans="1:7" x14ac:dyDescent="0.2">
      <c r="A3" s="329" t="s">
        <v>259</v>
      </c>
    </row>
    <row r="5" spans="1:7" x14ac:dyDescent="0.2">
      <c r="A5" s="1068"/>
      <c r="B5" s="1937" t="s">
        <v>2092</v>
      </c>
      <c r="C5" s="1937" t="s">
        <v>2093</v>
      </c>
      <c r="D5" s="1937" t="s">
        <v>1077</v>
      </c>
      <c r="E5" s="1937" t="s">
        <v>2094</v>
      </c>
      <c r="F5" s="1937" t="s">
        <v>481</v>
      </c>
      <c r="G5" s="1940" t="s">
        <v>865</v>
      </c>
    </row>
    <row r="6" spans="1:7" ht="13.5" thickBot="1" x14ac:dyDescent="0.25">
      <c r="A6" s="1068"/>
      <c r="B6" s="1938">
        <v>1790</v>
      </c>
      <c r="C6" s="1938">
        <v>10</v>
      </c>
      <c r="D6" s="1938">
        <v>10</v>
      </c>
      <c r="E6" s="1938">
        <v>81</v>
      </c>
      <c r="F6" s="329" t="s">
        <v>2095</v>
      </c>
      <c r="G6" s="1941">
        <v>423</v>
      </c>
    </row>
    <row r="7" spans="1:7" ht="13.5" thickTop="1" x14ac:dyDescent="0.2">
      <c r="A7" s="1068"/>
      <c r="B7" s="1938"/>
      <c r="C7" s="1938"/>
      <c r="D7" s="1938"/>
      <c r="E7" s="1938"/>
      <c r="G7" s="1942"/>
    </row>
    <row r="8" spans="1:7" ht="13.5" thickBot="1" x14ac:dyDescent="0.25">
      <c r="A8" s="1068"/>
      <c r="B8" s="1938">
        <v>1993</v>
      </c>
      <c r="C8" s="1938">
        <v>10</v>
      </c>
      <c r="D8" s="1938">
        <v>10</v>
      </c>
      <c r="E8" s="1938">
        <v>106</v>
      </c>
      <c r="F8" s="329" t="s">
        <v>2096</v>
      </c>
      <c r="G8" s="1941">
        <v>359828</v>
      </c>
    </row>
    <row r="9" spans="1:7" ht="13.5" thickTop="1" x14ac:dyDescent="0.2">
      <c r="A9" s="1069"/>
      <c r="B9" s="1938"/>
      <c r="C9" s="1938"/>
      <c r="D9" s="1938"/>
      <c r="E9" s="1938"/>
      <c r="G9" s="1942"/>
    </row>
    <row r="10" spans="1:7" ht="13.5" thickBot="1" x14ac:dyDescent="0.25">
      <c r="A10" s="1069"/>
      <c r="B10" s="1938">
        <v>2190</v>
      </c>
      <c r="C10" s="1938">
        <v>15</v>
      </c>
      <c r="D10" s="1938">
        <v>10</v>
      </c>
      <c r="E10" s="1938">
        <v>41</v>
      </c>
      <c r="F10" s="329" t="s">
        <v>457</v>
      </c>
      <c r="G10" s="1941">
        <v>62119</v>
      </c>
    </row>
    <row r="11" spans="1:7" ht="13.5" thickTop="1" x14ac:dyDescent="0.2">
      <c r="A11" s="1069"/>
      <c r="B11" s="1938"/>
      <c r="C11" s="1938"/>
      <c r="D11" s="1938"/>
      <c r="E11" s="1938"/>
      <c r="G11" s="1942"/>
    </row>
    <row r="12" spans="1:7" ht="13.5" thickBot="1" x14ac:dyDescent="0.25">
      <c r="A12" s="1069"/>
      <c r="B12" s="1938">
        <v>5400</v>
      </c>
      <c r="C12" s="1938">
        <v>18</v>
      </c>
      <c r="D12" s="1938">
        <v>30</v>
      </c>
      <c r="E12" s="1938">
        <v>171</v>
      </c>
      <c r="F12" s="329" t="s">
        <v>2110</v>
      </c>
      <c r="G12" s="1941">
        <v>803</v>
      </c>
    </row>
    <row r="13" spans="1:7" ht="13.5" thickTop="1" x14ac:dyDescent="0.2">
      <c r="A13" s="1069"/>
    </row>
    <row r="14" spans="1:7" ht="13.5" thickBot="1" x14ac:dyDescent="0.25">
      <c r="A14" s="1069"/>
      <c r="B14" s="1938">
        <v>2190</v>
      </c>
      <c r="C14" s="1938">
        <v>19</v>
      </c>
      <c r="D14" s="1938">
        <v>50</v>
      </c>
      <c r="E14" s="1938">
        <v>237</v>
      </c>
      <c r="F14" s="329" t="s">
        <v>2097</v>
      </c>
      <c r="G14" s="1941">
        <v>4892</v>
      </c>
    </row>
    <row r="15" spans="1:7" ht="13.5" thickTop="1" x14ac:dyDescent="0.2">
      <c r="A15" s="1069"/>
    </row>
    <row r="16" spans="1:7"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Kinnikinnick CCSD 131</v>
      </c>
    </row>
    <row r="65" spans="2:2" x14ac:dyDescent="0.2">
      <c r="B65" s="1070">
        <f>COVER!A13</f>
        <v>4101131004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84"/>
  <sheetViews>
    <sheetView showGridLines="0" topLeftCell="A1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0" t="s">
        <v>1065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691</v>
      </c>
      <c r="B40" s="2057"/>
      <c r="C40" s="2057"/>
      <c r="D40" s="2057"/>
      <c r="E40" s="2057"/>
    </row>
    <row r="41" spans="1:5" x14ac:dyDescent="0.2">
      <c r="A41" s="2058" t="s">
        <v>1608</v>
      </c>
      <c r="B41" s="2058"/>
      <c r="C41" s="2058"/>
      <c r="D41" s="2058"/>
      <c r="E41" s="2058"/>
    </row>
    <row r="42" spans="1:5" ht="12.75" customHeight="1" x14ac:dyDescent="0.2">
      <c r="A42" s="2059" t="s">
        <v>1022</v>
      </c>
      <c r="B42" s="2059"/>
      <c r="C42" s="2059"/>
      <c r="D42" s="2059"/>
      <c r="E42" s="205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F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F0"/>
  </sheetPr>
  <dimension ref="A11:F18"/>
  <sheetViews>
    <sheetView showGridLines="0" zoomScale="110" zoomScaleNormal="110" workbookViewId="0">
      <selection activeCell="B5" sqref="B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4" t="s">
        <v>1685</v>
      </c>
      <c r="B18" s="234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Exch.Document.7"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F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5" t="s">
        <v>1690</v>
      </c>
      <c r="B1" s="2346"/>
      <c r="C1" s="2346"/>
      <c r="D1" s="2346"/>
      <c r="E1" s="2346"/>
      <c r="F1" s="2347"/>
    </row>
    <row r="2" spans="1:8" ht="45" customHeight="1" x14ac:dyDescent="0.2">
      <c r="A2" s="2355" t="s">
        <v>1987</v>
      </c>
      <c r="B2" s="2356"/>
      <c r="C2" s="2356"/>
      <c r="D2" s="2356"/>
      <c r="E2" s="2356"/>
      <c r="F2" s="2357"/>
      <c r="G2" s="1074"/>
      <c r="H2" s="1074"/>
    </row>
    <row r="3" spans="1:8" ht="57" customHeight="1" x14ac:dyDescent="0.2">
      <c r="A3" s="2358" t="s">
        <v>1686</v>
      </c>
      <c r="B3" s="2359"/>
      <c r="C3" s="2359"/>
      <c r="D3" s="2359"/>
      <c r="E3" s="2359"/>
      <c r="F3" s="2360"/>
      <c r="G3" s="1074"/>
      <c r="H3" s="1074"/>
    </row>
    <row r="4" spans="1:8" ht="14.25" customHeight="1" x14ac:dyDescent="0.2">
      <c r="A4" s="2364" t="s">
        <v>1988</v>
      </c>
      <c r="B4" s="2365"/>
      <c r="C4" s="2365"/>
      <c r="D4" s="2365"/>
      <c r="E4" s="2365"/>
      <c r="F4" s="2366"/>
      <c r="G4" s="1074"/>
      <c r="H4" s="1074"/>
    </row>
    <row r="5" spans="1:8" ht="14.25" customHeight="1" x14ac:dyDescent="0.2">
      <c r="A5" s="2367" t="s">
        <v>1984</v>
      </c>
      <c r="B5" s="2368"/>
      <c r="C5" s="2368"/>
      <c r="D5" s="2368"/>
      <c r="E5" s="2368"/>
      <c r="F5" s="2369"/>
      <c r="G5" s="1074"/>
      <c r="H5" s="1074"/>
    </row>
    <row r="6" spans="1:8" s="1075" customFormat="1" ht="41.25" customHeight="1" x14ac:dyDescent="0.2">
      <c r="A6" s="2361" t="s">
        <v>1691</v>
      </c>
      <c r="B6" s="2362"/>
      <c r="C6" s="2362"/>
      <c r="D6" s="2362"/>
      <c r="E6" s="2362"/>
      <c r="F6" s="236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12229788</v>
      </c>
      <c r="C8" s="1815">
        <f>'Acct Summary 7-8'!D8</f>
        <v>1333392</v>
      </c>
      <c r="D8" s="1815">
        <f>'Acct Summary 7-8'!F8</f>
        <v>799960</v>
      </c>
      <c r="E8" s="1815">
        <f>'Acct Summary 7-8'!I8</f>
        <v>24827</v>
      </c>
      <c r="F8" s="1815">
        <f>SUM(B8:E8)</f>
        <v>14387967</v>
      </c>
    </row>
    <row r="9" spans="1:8" s="1079" customFormat="1" ht="14.25" customHeight="1" thickBot="1" x14ac:dyDescent="0.25">
      <c r="A9" s="1078" t="s">
        <v>1369</v>
      </c>
      <c r="B9" s="1816">
        <f>'Acct Summary 7-8'!C17</f>
        <v>14215390</v>
      </c>
      <c r="C9" s="1816">
        <f>'Acct Summary 7-8'!D17</f>
        <v>1233378</v>
      </c>
      <c r="D9" s="1816">
        <f>'Acct Summary 7-8'!F17</f>
        <v>1002018</v>
      </c>
      <c r="E9" s="1815"/>
      <c r="F9" s="1815">
        <f>SUM(B9:E9)</f>
        <v>16450786</v>
      </c>
    </row>
    <row r="10" spans="1:8" s="1079" customFormat="1" ht="14.25" thickTop="1" thickBot="1" x14ac:dyDescent="0.25">
      <c r="A10" s="1080" t="s">
        <v>1370</v>
      </c>
      <c r="B10" s="1817">
        <f>(B8-B9)</f>
        <v>-1985602</v>
      </c>
      <c r="C10" s="1817">
        <f>(C8-C9)</f>
        <v>100014</v>
      </c>
      <c r="D10" s="1817">
        <f>(D8-D9)</f>
        <v>-202058</v>
      </c>
      <c r="E10" s="1816">
        <f>(E8-E9)</f>
        <v>24827</v>
      </c>
      <c r="F10" s="1818">
        <f>SUM(F8-F9)</f>
        <v>-2062819</v>
      </c>
    </row>
    <row r="11" spans="1:8" s="1079" customFormat="1" ht="14.25" thickTop="1" thickBot="1" x14ac:dyDescent="0.25">
      <c r="A11" s="1081" t="s">
        <v>1985</v>
      </c>
      <c r="B11" s="1819">
        <f>'Acct Summary 7-8'!C81</f>
        <v>9200190</v>
      </c>
      <c r="C11" s="1819">
        <f>'Acct Summary 7-8'!D81</f>
        <v>2601399</v>
      </c>
      <c r="D11" s="1819">
        <f>'Acct Summary 7-8'!F81</f>
        <v>602829</v>
      </c>
      <c r="E11" s="1819">
        <f>'Acct Summary 7-8'!I81</f>
        <v>1147189</v>
      </c>
      <c r="F11" s="1820">
        <f>SUM(B11:E11)</f>
        <v>13551607</v>
      </c>
    </row>
    <row r="12" spans="1:8" ht="16.5" customHeight="1" thickTop="1" x14ac:dyDescent="0.2">
      <c r="A12" s="1082"/>
      <c r="B12" s="1083"/>
      <c r="C12" s="2349" t="str">
        <f>IF(AND(F10&lt;0,F11&gt;=0,ABS(F10*3)&gt;ABS(F11)),A16,IF(AND(F10&lt;0,F11&gt;0,ABS(F10*3)&lt;=ABS(F11)),A17,IF(AND(F10&lt;0,F11&lt;0),A16,IF(F11=0,A19,A18))))</f>
        <v>Unbalanced -  however, a deficit reduction plan is not required at this time.</v>
      </c>
      <c r="D12" s="2350"/>
      <c r="E12" s="2350"/>
      <c r="F12" s="2351"/>
    </row>
    <row r="13" spans="1:8" ht="19.5" customHeight="1" x14ac:dyDescent="0.2">
      <c r="A13" s="1084"/>
      <c r="B13" s="1085"/>
      <c r="C13" s="2349"/>
      <c r="D13" s="2350"/>
      <c r="E13" s="2350"/>
      <c r="F13" s="2351"/>
      <c r="H13" s="1074"/>
    </row>
    <row r="14" spans="1:8" ht="19.5" customHeight="1" x14ac:dyDescent="0.2">
      <c r="A14" s="1084"/>
      <c r="B14" s="1085"/>
      <c r="C14" s="2349"/>
      <c r="D14" s="2350"/>
      <c r="E14" s="2350"/>
      <c r="F14" s="2351"/>
      <c r="H14" s="1074"/>
    </row>
    <row r="15" spans="1:8" ht="17.25" customHeight="1" x14ac:dyDescent="0.2">
      <c r="A15" s="1084"/>
      <c r="B15" s="1085"/>
      <c r="C15" s="2352"/>
      <c r="D15" s="2353"/>
      <c r="E15" s="2353"/>
      <c r="F15" s="2354"/>
      <c r="H15" s="1074"/>
    </row>
    <row r="16" spans="1:8" s="310" customFormat="1" ht="51.75" hidden="1" customHeight="1" x14ac:dyDescent="0.2">
      <c r="A16" s="2348" t="s">
        <v>1687</v>
      </c>
      <c r="B16" s="2348"/>
      <c r="C16" s="2348"/>
      <c r="D16" s="2348"/>
      <c r="E16" s="234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00B0F0"/>
  </sheetPr>
  <dimension ref="A1:L82"/>
  <sheetViews>
    <sheetView showGridLines="0" defaultGridColor="0" topLeftCell="A47" colorId="8" zoomScale="110" zoomScaleNormal="110" workbookViewId="0">
      <selection activeCell="D82" sqref="D8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0" t="s">
        <v>665</v>
      </c>
      <c r="B3" s="2371"/>
      <c r="C3" s="2371"/>
      <c r="D3" s="237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1" t="s">
        <v>1504</v>
      </c>
      <c r="D7" s="2382"/>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3" t="s">
        <v>1008</v>
      </c>
      <c r="B15" s="2374"/>
      <c r="C15" s="2374"/>
      <c r="D15" s="2375"/>
    </row>
    <row r="16" spans="1:4" s="668" customFormat="1" ht="24" customHeight="1" x14ac:dyDescent="0.2">
      <c r="A16" s="2376" t="s">
        <v>663</v>
      </c>
      <c r="B16" s="2377"/>
      <c r="C16" s="2377"/>
      <c r="D16" s="237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5" t="s">
        <v>314</v>
      </c>
      <c r="D21" s="2386"/>
    </row>
    <row r="22" spans="1:10" ht="12.75" x14ac:dyDescent="0.2">
      <c r="A22" s="1139"/>
      <c r="B22" s="1140">
        <v>2</v>
      </c>
      <c r="C22" s="2383" t="s">
        <v>1524</v>
      </c>
      <c r="D22" s="238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7" t="s">
        <v>536</v>
      </c>
      <c r="D43" s="238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9" t="s">
        <v>784</v>
      </c>
      <c r="D56" s="238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9" t="s">
        <v>1696</v>
      </c>
      <c r="D70" s="238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4101131004</v>
      </c>
    </row>
    <row r="3" spans="1:2" x14ac:dyDescent="0.2">
      <c r="A3" t="s">
        <v>956</v>
      </c>
      <c r="B3" s="138" t="str">
        <f>COVER!A15</f>
        <v>Winnebago</v>
      </c>
    </row>
    <row r="4" spans="1:2" x14ac:dyDescent="0.2">
      <c r="A4" t="s">
        <v>1007</v>
      </c>
      <c r="B4" s="138" t="str">
        <f>COVER!A17</f>
        <v>Kinnikinnick CCSD 131</v>
      </c>
    </row>
    <row r="5" spans="1:2" x14ac:dyDescent="0.2">
      <c r="A5" t="s">
        <v>704</v>
      </c>
      <c r="B5" s="138" t="str">
        <f>COVER!A38</f>
        <v>Ms. Keli Freelund</v>
      </c>
    </row>
    <row r="6" spans="1:2" x14ac:dyDescent="0.2">
      <c r="A6" t="s">
        <v>709</v>
      </c>
      <c r="B6" s="138">
        <f>COVER!P35</f>
        <v>0</v>
      </c>
    </row>
    <row r="7" spans="1:2" x14ac:dyDescent="0.2">
      <c r="A7" t="s">
        <v>705</v>
      </c>
      <c r="B7" s="138">
        <f>COVER!I38</f>
        <v>0</v>
      </c>
    </row>
    <row r="8" spans="1:2" x14ac:dyDescent="0.2">
      <c r="A8" t="s">
        <v>706</v>
      </c>
      <c r="B8" s="138" t="str">
        <f>COVER!T38</f>
        <v>Scott Bloomquist</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35612</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8808902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9200190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9200190</v>
      </c>
      <c r="D92" s="2" t="str">
        <f t="shared" si="0"/>
        <v>Error?</v>
      </c>
    </row>
    <row r="93" spans="1:4" x14ac:dyDescent="0.2">
      <c r="A93" s="5">
        <v>32</v>
      </c>
      <c r="B93" s="138">
        <f>'Assets-Liab 5-6'!C41</f>
        <v>9200190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2563885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2601399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2601399</v>
      </c>
      <c r="D123" s="2" t="str">
        <f t="shared" si="0"/>
        <v>Error?</v>
      </c>
    </row>
    <row r="124" spans="1:4" x14ac:dyDescent="0.2">
      <c r="A124" s="5">
        <v>63</v>
      </c>
      <c r="B124" s="138">
        <f>'Assets-Liab 5-6'!D41</f>
        <v>2601399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438204</v>
      </c>
      <c r="D129" s="2" t="str">
        <f t="shared" si="1"/>
        <v>Error?</v>
      </c>
    </row>
    <row r="130" spans="1:4" x14ac:dyDescent="0.2">
      <c r="A130" s="5">
        <v>69</v>
      </c>
      <c r="B130" s="138">
        <f>'Assets-Liab 5-6'!E12</f>
        <v>0</v>
      </c>
      <c r="D130" s="2" t="str">
        <f t="shared" si="1"/>
        <v>Error?</v>
      </c>
    </row>
    <row r="131" spans="1:4" x14ac:dyDescent="0.2">
      <c r="A131" s="5">
        <v>70</v>
      </c>
      <c r="B131" s="138">
        <f>'Assets-Liab 5-6'!E13</f>
        <v>590876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590876</v>
      </c>
      <c r="D140" s="2" t="str">
        <f t="shared" si="1"/>
        <v>Error?</v>
      </c>
    </row>
    <row r="141" spans="1:4" x14ac:dyDescent="0.2">
      <c r="A141" s="5">
        <v>80</v>
      </c>
      <c r="B141" s="138">
        <f>'Assets-Liab 5-6'!E41</f>
        <v>590876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544270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602829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602829</v>
      </c>
      <c r="D170" s="2" t="str">
        <f t="shared" si="1"/>
        <v>Error?</v>
      </c>
    </row>
    <row r="171" spans="1:4" x14ac:dyDescent="0.2">
      <c r="A171" s="5">
        <v>110</v>
      </c>
      <c r="B171" s="138">
        <f>'Assets-Liab 5-6'!F41</f>
        <v>602829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693578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709124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445644</v>
      </c>
      <c r="D189" s="2" t="str">
        <f t="shared" si="1"/>
        <v>Error?</v>
      </c>
    </row>
    <row r="190" spans="1:4" x14ac:dyDescent="0.2">
      <c r="A190" s="5">
        <v>129</v>
      </c>
      <c r="B190" s="138">
        <f>'Assets-Liab 5-6'!G41</f>
        <v>709124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1146728</v>
      </c>
      <c r="D273" s="2" t="str">
        <f t="shared" si="3"/>
        <v>Error?</v>
      </c>
    </row>
    <row r="274" spans="1:4" x14ac:dyDescent="0.2">
      <c r="A274" s="5">
        <v>213</v>
      </c>
      <c r="B274" s="138">
        <f>'Assets-Liab 5-6'!M17</f>
        <v>25394776</v>
      </c>
      <c r="D274" s="2" t="str">
        <f t="shared" si="3"/>
        <v>Error?</v>
      </c>
    </row>
    <row r="275" spans="1:4" x14ac:dyDescent="0.2">
      <c r="A275" s="5">
        <v>214</v>
      </c>
      <c r="B275" s="138">
        <f>'Assets-Liab 5-6'!M18</f>
        <v>2269827</v>
      </c>
      <c r="D275" s="2" t="str">
        <f t="shared" si="3"/>
        <v>Error?</v>
      </c>
    </row>
    <row r="276" spans="1:4" x14ac:dyDescent="0.2">
      <c r="A276" s="5">
        <v>215</v>
      </c>
      <c r="B276" s="138">
        <f>'Assets-Liab 5-6'!M19</f>
        <v>4005743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32817074</v>
      </c>
      <c r="C279" s="2" t="s">
        <v>573</v>
      </c>
      <c r="D279" s="2" t="str">
        <f t="shared" si="3"/>
        <v>Error?</v>
      </c>
    </row>
    <row r="280" spans="1:4" x14ac:dyDescent="0.2">
      <c r="A280" s="5">
        <v>219</v>
      </c>
      <c r="B280" s="138">
        <f>'Assets-Liab 5-6'!M40</f>
        <v>32817074</v>
      </c>
      <c r="D280" s="2" t="str">
        <f t="shared" si="3"/>
        <v>Error?</v>
      </c>
    </row>
    <row r="281" spans="1:4" x14ac:dyDescent="0.2">
      <c r="A281" s="5">
        <v>220</v>
      </c>
      <c r="B281" s="138">
        <f>'Assets-Liab 5-6'!M41</f>
        <v>32817074</v>
      </c>
      <c r="C281" s="2" t="s">
        <v>573</v>
      </c>
      <c r="D281" s="2" t="str">
        <f t="shared" si="3"/>
        <v>Error?</v>
      </c>
    </row>
    <row r="282" spans="1:4" x14ac:dyDescent="0.2">
      <c r="A282" s="5">
        <v>221</v>
      </c>
      <c r="B282" s="138">
        <f>'Assets-Liab 5-6'!N21</f>
        <v>590876</v>
      </c>
      <c r="D282" s="2" t="str">
        <f t="shared" si="3"/>
        <v>Error?</v>
      </c>
    </row>
    <row r="283" spans="1:4" x14ac:dyDescent="0.2">
      <c r="A283" s="5">
        <v>222</v>
      </c>
      <c r="B283" s="138">
        <f>'Assets-Liab 5-6'!N22</f>
        <v>2194124</v>
      </c>
      <c r="D283" s="2" t="str">
        <f t="shared" si="3"/>
        <v>Error?</v>
      </c>
    </row>
    <row r="284" spans="1:4" x14ac:dyDescent="0.2">
      <c r="A284" s="5">
        <v>223</v>
      </c>
      <c r="B284" s="138">
        <f>'Assets-Liab 5-6'!N23</f>
        <v>2785000</v>
      </c>
      <c r="C284" s="2" t="s">
        <v>573</v>
      </c>
      <c r="D284" s="2" t="str">
        <f t="shared" si="3"/>
        <v>Error?</v>
      </c>
    </row>
    <row r="285" spans="1:4" x14ac:dyDescent="0.2">
      <c r="A285" s="5">
        <v>224</v>
      </c>
      <c r="B285" s="138">
        <f>'Assets-Liab 5-6'!N36</f>
        <v>2785000</v>
      </c>
      <c r="D285" s="2" t="str">
        <f t="shared" si="3"/>
        <v>Error?</v>
      </c>
    </row>
    <row r="286" spans="1:4" x14ac:dyDescent="0.2">
      <c r="A286" s="10">
        <v>225</v>
      </c>
      <c r="D286" s="2" t="str">
        <f t="shared" si="3"/>
        <v>OK</v>
      </c>
    </row>
    <row r="287" spans="1:4" x14ac:dyDescent="0.2">
      <c r="A287" s="5">
        <v>226</v>
      </c>
      <c r="B287" s="138">
        <f>'Assets-Liab 5-6'!N37</f>
        <v>2785000</v>
      </c>
      <c r="C287" s="2" t="s">
        <v>573</v>
      </c>
      <c r="D287" s="2" t="str">
        <f t="shared" si="3"/>
        <v>Error?</v>
      </c>
    </row>
    <row r="288" spans="1:4" x14ac:dyDescent="0.2">
      <c r="A288" s="5">
        <v>227</v>
      </c>
      <c r="B288" s="138">
        <f>'Assets-Liab 5-6'!N41</f>
        <v>2785000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5938155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65818</v>
      </c>
      <c r="D718" s="2" t="str">
        <f t="shared" si="10"/>
        <v>Error?</v>
      </c>
    </row>
    <row r="719" spans="1:4" x14ac:dyDescent="0.2">
      <c r="A719" s="5">
        <v>658</v>
      </c>
      <c r="B719" s="138">
        <f>'Expenditures 15-22'!C15</f>
        <v>3750</v>
      </c>
      <c r="D719" s="2" t="str">
        <f t="shared" si="10"/>
        <v>Error?</v>
      </c>
    </row>
    <row r="720" spans="1:4" x14ac:dyDescent="0.2">
      <c r="A720" s="5">
        <v>659</v>
      </c>
      <c r="B720" s="138">
        <f>'Expenditures 15-22'!C33</f>
        <v>7790713</v>
      </c>
      <c r="C720" s="2" t="s">
        <v>573</v>
      </c>
      <c r="D720" s="2" t="str">
        <f t="shared" si="10"/>
        <v>Error?</v>
      </c>
    </row>
    <row r="721" spans="1:4" x14ac:dyDescent="0.2">
      <c r="A721" s="5">
        <v>660</v>
      </c>
      <c r="B721" s="138">
        <f>'Expenditures 15-22'!C36</f>
        <v>275759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132313</v>
      </c>
      <c r="D723" s="2" t="str">
        <f t="shared" si="10"/>
        <v>Error?</v>
      </c>
    </row>
    <row r="724" spans="1:4" x14ac:dyDescent="0.2">
      <c r="A724" s="5">
        <v>663</v>
      </c>
      <c r="B724" s="138">
        <f>'Expenditures 15-22'!C39</f>
        <v>57112</v>
      </c>
      <c r="D724" s="2" t="str">
        <f t="shared" si="10"/>
        <v>Error?</v>
      </c>
    </row>
    <row r="725" spans="1:4" x14ac:dyDescent="0.2">
      <c r="A725" s="5">
        <v>664</v>
      </c>
      <c r="B725" s="138">
        <f>'Expenditures 15-22'!C40</f>
        <v>365858</v>
      </c>
      <c r="D725" s="2" t="str">
        <f t="shared" si="10"/>
        <v>Error?</v>
      </c>
    </row>
    <row r="726" spans="1:4" x14ac:dyDescent="0.2">
      <c r="A726" s="5">
        <v>665</v>
      </c>
      <c r="B726" s="138">
        <f>'Expenditures 15-22'!C41</f>
        <v>62119</v>
      </c>
      <c r="D726" s="2" t="str">
        <f t="shared" si="10"/>
        <v>Error?</v>
      </c>
    </row>
    <row r="727" spans="1:4" x14ac:dyDescent="0.2">
      <c r="A727" s="5">
        <v>666</v>
      </c>
      <c r="B727" s="138">
        <f>'Expenditures 15-22'!C42</f>
        <v>893161</v>
      </c>
      <c r="C727" s="2" t="s">
        <v>573</v>
      </c>
      <c r="D727" s="2" t="str">
        <f t="shared" si="10"/>
        <v>Error?</v>
      </c>
    </row>
    <row r="728" spans="1:4" x14ac:dyDescent="0.2">
      <c r="A728" s="5">
        <v>667</v>
      </c>
      <c r="B728" s="138">
        <f>'Expenditures 15-22'!C44</f>
        <v>95720</v>
      </c>
      <c r="D728" s="2" t="str">
        <f t="shared" si="10"/>
        <v>Error?</v>
      </c>
    </row>
    <row r="729" spans="1:4" x14ac:dyDescent="0.2">
      <c r="A729" s="5">
        <v>668</v>
      </c>
      <c r="B729" s="138">
        <f>'Expenditures 15-22'!C45</f>
        <v>39730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135450</v>
      </c>
      <c r="C731" s="2" t="s">
        <v>573</v>
      </c>
      <c r="D731" s="2" t="str">
        <f t="shared" si="10"/>
        <v>Error?</v>
      </c>
    </row>
    <row r="732" spans="1:4" x14ac:dyDescent="0.2">
      <c r="A732" s="5">
        <v>671</v>
      </c>
      <c r="B732" s="138">
        <f>'Expenditures 15-22'!C49</f>
        <v>2400</v>
      </c>
      <c r="D732" s="2" t="str">
        <f t="shared" si="10"/>
        <v>Error?</v>
      </c>
    </row>
    <row r="733" spans="1:4" x14ac:dyDescent="0.2">
      <c r="A733" s="5">
        <v>672</v>
      </c>
      <c r="B733" s="138">
        <f>'Expenditures 15-22'!C50</f>
        <v>206398</v>
      </c>
      <c r="D733" s="2" t="str">
        <f t="shared" si="10"/>
        <v>Error?</v>
      </c>
    </row>
    <row r="734" spans="1:4" x14ac:dyDescent="0.2">
      <c r="A734" s="5">
        <v>673</v>
      </c>
      <c r="B734" s="138">
        <f>'Expenditures 15-22'!C53</f>
        <v>293033</v>
      </c>
      <c r="C734" s="2" t="s">
        <v>573</v>
      </c>
      <c r="D734" s="2" t="str">
        <f t="shared" si="10"/>
        <v>Error?</v>
      </c>
    </row>
    <row r="735" spans="1:4" x14ac:dyDescent="0.2">
      <c r="A735" s="5">
        <v>674</v>
      </c>
      <c r="B735" s="138">
        <f>'Expenditures 15-22'!C55</f>
        <v>569613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569613</v>
      </c>
      <c r="C737" s="2" t="s">
        <v>573</v>
      </c>
      <c r="D737" s="2" t="str">
        <f t="shared" si="10"/>
        <v>Error?</v>
      </c>
    </row>
    <row r="738" spans="1:4" x14ac:dyDescent="0.2">
      <c r="A738" s="5">
        <v>677</v>
      </c>
      <c r="B738" s="138">
        <f>'Expenditures 15-22'!C59</f>
        <v>117860</v>
      </c>
      <c r="D738" s="2" t="str">
        <f t="shared" si="10"/>
        <v>Error?</v>
      </c>
    </row>
    <row r="739" spans="1:4" x14ac:dyDescent="0.2">
      <c r="A739" s="5">
        <v>678</v>
      </c>
      <c r="B739" s="138">
        <f>'Expenditures 15-22'!C60</f>
        <v>35458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189564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342882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196543</v>
      </c>
      <c r="D751" s="2" t="str">
        <f t="shared" si="10"/>
        <v>Error?</v>
      </c>
    </row>
    <row r="752" spans="1:4" x14ac:dyDescent="0.2">
      <c r="A752" s="10">
        <v>691</v>
      </c>
      <c r="D752" s="2" t="str">
        <f t="shared" si="10"/>
        <v>OK</v>
      </c>
    </row>
    <row r="753" spans="1:4" x14ac:dyDescent="0.2">
      <c r="A753" s="5">
        <v>692</v>
      </c>
      <c r="B753" s="138">
        <f>'Expenditures 15-22'!C72</f>
        <v>196543</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2430682</v>
      </c>
      <c r="C755" s="2" t="s">
        <v>573</v>
      </c>
      <c r="D755" s="2" t="str">
        <f t="shared" si="10"/>
        <v>Error?</v>
      </c>
    </row>
    <row r="756" spans="1:4" x14ac:dyDescent="0.2">
      <c r="A756" s="5">
        <v>695</v>
      </c>
      <c r="B756" s="138">
        <f>'Expenditures 15-22'!C75</f>
        <v>110911</v>
      </c>
      <c r="D756" s="2" t="str">
        <f t="shared" si="10"/>
        <v>Error?</v>
      </c>
    </row>
    <row r="757" spans="1:4" x14ac:dyDescent="0.2">
      <c r="A757" s="5">
        <v>696</v>
      </c>
      <c r="B757" s="138">
        <f>'Expenditures 15-22'!C114</f>
        <v>10332306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947454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1441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1187208</v>
      </c>
      <c r="C778" s="2" t="s">
        <v>573</v>
      </c>
      <c r="D778" s="2" t="str">
        <f t="shared" si="11"/>
        <v>Error?</v>
      </c>
    </row>
    <row r="779" spans="1:4" x14ac:dyDescent="0.2">
      <c r="A779" s="5">
        <v>718</v>
      </c>
      <c r="B779" s="138">
        <f>'Expenditures 15-22'!D36</f>
        <v>39548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10259</v>
      </c>
      <c r="D781" s="2" t="str">
        <f t="shared" si="11"/>
        <v>Error?</v>
      </c>
    </row>
    <row r="782" spans="1:4" x14ac:dyDescent="0.2">
      <c r="A782" s="5">
        <v>721</v>
      </c>
      <c r="B782" s="138">
        <f>'Expenditures 15-22'!D39</f>
        <v>10756</v>
      </c>
      <c r="D782" s="2" t="str">
        <f t="shared" si="11"/>
        <v>Error?</v>
      </c>
    </row>
    <row r="783" spans="1:4" x14ac:dyDescent="0.2">
      <c r="A783" s="5">
        <v>722</v>
      </c>
      <c r="B783" s="138">
        <f>'Expenditures 15-22'!D40</f>
        <v>54897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115460</v>
      </c>
      <c r="C785" s="2" t="s">
        <v>573</v>
      </c>
      <c r="D785" s="2" t="str">
        <f t="shared" si="11"/>
        <v>Error?</v>
      </c>
    </row>
    <row r="786" spans="1:4" x14ac:dyDescent="0.2">
      <c r="A786" s="5">
        <v>725</v>
      </c>
      <c r="B786" s="138">
        <f>'Expenditures 15-22'!D44</f>
        <v>37523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37523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55939</v>
      </c>
      <c r="D791" s="2" t="str">
        <f t="shared" si="11"/>
        <v>Error?</v>
      </c>
    </row>
    <row r="792" spans="1:4" x14ac:dyDescent="0.2">
      <c r="A792" s="5">
        <v>731</v>
      </c>
      <c r="B792" s="138">
        <f>'Expenditures 15-22'!D53</f>
        <v>93608</v>
      </c>
      <c r="C792" s="2" t="s">
        <v>573</v>
      </c>
      <c r="D792" s="2" t="str">
        <f t="shared" si="11"/>
        <v>Error?</v>
      </c>
    </row>
    <row r="793" spans="1:4" x14ac:dyDescent="0.2">
      <c r="A793" s="5">
        <v>732</v>
      </c>
      <c r="B793" s="138">
        <f>'Expenditures 15-22'!D55</f>
        <v>227930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227930</v>
      </c>
      <c r="C795" s="2" t="s">
        <v>573</v>
      </c>
      <c r="D795" s="2" t="str">
        <f t="shared" si="11"/>
        <v>Error?</v>
      </c>
    </row>
    <row r="796" spans="1:4" x14ac:dyDescent="0.2">
      <c r="A796" s="5">
        <v>735</v>
      </c>
      <c r="B796" s="138">
        <f>'Expenditures 15-22'!D59</f>
        <v>42258</v>
      </c>
      <c r="D796" s="2" t="str">
        <f t="shared" si="11"/>
        <v>Error?</v>
      </c>
    </row>
    <row r="797" spans="1:4" x14ac:dyDescent="0.2">
      <c r="A797" s="5">
        <v>736</v>
      </c>
      <c r="B797" s="138">
        <f>'Expenditures 15-22'!D60</f>
        <v>9706</v>
      </c>
      <c r="D797" s="2" t="str">
        <f t="shared" si="11"/>
        <v>Error?</v>
      </c>
    </row>
    <row r="798" spans="1:4" x14ac:dyDescent="0.2">
      <c r="A798" s="5">
        <v>737</v>
      </c>
      <c r="B798" s="138">
        <f>'Expenditures 15-22'!D61</f>
        <v>72488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29662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154114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36503</v>
      </c>
      <c r="D809" s="2" t="str">
        <f t="shared" si="11"/>
        <v>Error?</v>
      </c>
    </row>
    <row r="810" spans="1:4" x14ac:dyDescent="0.2">
      <c r="A810" s="10">
        <v>749</v>
      </c>
      <c r="D810" s="2" t="str">
        <f t="shared" si="11"/>
        <v>OK</v>
      </c>
    </row>
    <row r="811" spans="1:4" x14ac:dyDescent="0.2">
      <c r="A811" s="5">
        <v>750</v>
      </c>
      <c r="B811" s="138">
        <f>'Expenditures 15-22'!D72</f>
        <v>36503</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665138</v>
      </c>
      <c r="C813" s="2" t="s">
        <v>573</v>
      </c>
      <c r="D813" s="2" t="str">
        <f t="shared" si="11"/>
        <v>Error?</v>
      </c>
    </row>
    <row r="814" spans="1:4" x14ac:dyDescent="0.2">
      <c r="A814" s="5">
        <v>753</v>
      </c>
      <c r="B814" s="138">
        <f>'Expenditures 15-22'!D75</f>
        <v>9578</v>
      </c>
      <c r="D814" s="2" t="str">
        <f t="shared" si="11"/>
        <v>Error?</v>
      </c>
    </row>
    <row r="815" spans="1:4" x14ac:dyDescent="0.2">
      <c r="A815" s="5">
        <v>754</v>
      </c>
      <c r="B815" s="138">
        <f>'Expenditures 15-22'!D114</f>
        <v>1861924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214396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6875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276608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1434</v>
      </c>
      <c r="D839" s="2" t="str">
        <f t="shared" si="12"/>
        <v>Error?</v>
      </c>
    </row>
    <row r="840" spans="1:4" x14ac:dyDescent="0.2">
      <c r="A840" s="5">
        <v>779</v>
      </c>
      <c r="B840" s="138">
        <f>'Expenditures 15-22'!E39</f>
        <v>17966</v>
      </c>
      <c r="D840" s="2" t="str">
        <f t="shared" si="12"/>
        <v>Error?</v>
      </c>
    </row>
    <row r="841" spans="1:4" x14ac:dyDescent="0.2">
      <c r="A841" s="5">
        <v>780</v>
      </c>
      <c r="B841" s="138">
        <f>'Expenditures 15-22'!E40</f>
        <v>5775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25175</v>
      </c>
      <c r="C843" s="2" t="s">
        <v>573</v>
      </c>
      <c r="D843" s="2" t="str">
        <f t="shared" si="12"/>
        <v>Error?</v>
      </c>
    </row>
    <row r="844" spans="1:4" x14ac:dyDescent="0.2">
      <c r="A844" s="5">
        <v>783</v>
      </c>
      <c r="B844" s="138">
        <f>'Expenditures 15-22'!E44</f>
        <v>30309</v>
      </c>
      <c r="D844" s="2" t="str">
        <f t="shared" si="12"/>
        <v>Error?</v>
      </c>
    </row>
    <row r="845" spans="1:4" x14ac:dyDescent="0.2">
      <c r="A845" s="5">
        <v>784</v>
      </c>
      <c r="B845" s="138">
        <f>'Expenditures 15-22'!E45</f>
        <v>5119</v>
      </c>
      <c r="D845" s="2" t="str">
        <f t="shared" si="12"/>
        <v>Error?</v>
      </c>
    </row>
    <row r="846" spans="1:4" x14ac:dyDescent="0.2">
      <c r="A846" s="5">
        <v>785</v>
      </c>
      <c r="B846" s="138">
        <f>'Expenditures 15-22'!E46</f>
        <v>13623</v>
      </c>
      <c r="D846" s="2" t="str">
        <f t="shared" si="12"/>
        <v>Error?</v>
      </c>
    </row>
    <row r="847" spans="1:4" x14ac:dyDescent="0.2">
      <c r="A847" s="5">
        <v>786</v>
      </c>
      <c r="B847" s="138">
        <f>'Expenditures 15-22'!E47</f>
        <v>49051</v>
      </c>
      <c r="C847" s="2" t="s">
        <v>573</v>
      </c>
      <c r="D847" s="2" t="str">
        <f t="shared" si="12"/>
        <v>Error?</v>
      </c>
    </row>
    <row r="848" spans="1:4" x14ac:dyDescent="0.2">
      <c r="A848" s="5">
        <v>787</v>
      </c>
      <c r="B848" s="138">
        <f>'Expenditures 15-22'!E49</f>
        <v>225772</v>
      </c>
      <c r="D848" s="2" t="str">
        <f t="shared" si="12"/>
        <v>Error?</v>
      </c>
    </row>
    <row r="849" spans="1:4" x14ac:dyDescent="0.2">
      <c r="A849" s="5">
        <v>788</v>
      </c>
      <c r="B849" s="138">
        <f>'Expenditures 15-22'!E50</f>
        <v>41449</v>
      </c>
      <c r="D849" s="2" t="str">
        <f t="shared" si="12"/>
        <v>Error?</v>
      </c>
    </row>
    <row r="850" spans="1:4" x14ac:dyDescent="0.2">
      <c r="A850" s="5">
        <v>789</v>
      </c>
      <c r="B850" s="138">
        <f>'Expenditures 15-22'!E53</f>
        <v>267721</v>
      </c>
      <c r="C850" s="2" t="s">
        <v>573</v>
      </c>
      <c r="D850" s="2" t="str">
        <f t="shared" si="12"/>
        <v>Error?</v>
      </c>
    </row>
    <row r="851" spans="1:4" x14ac:dyDescent="0.2">
      <c r="A851" s="5">
        <v>790</v>
      </c>
      <c r="B851" s="138">
        <f>'Expenditures 15-22'!E55</f>
        <v>403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403</v>
      </c>
      <c r="C853" s="2" t="s">
        <v>573</v>
      </c>
      <c r="D853" s="2" t="str">
        <f t="shared" si="12"/>
        <v>Error?</v>
      </c>
    </row>
    <row r="854" spans="1:4" x14ac:dyDescent="0.2">
      <c r="A854" s="5">
        <v>793</v>
      </c>
      <c r="B854" s="138">
        <f>'Expenditures 15-22'!E59</f>
        <v>61972</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7185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69157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12780</v>
      </c>
      <c r="D867" s="2" t="str">
        <f t="shared" si="12"/>
        <v>Error?</v>
      </c>
    </row>
    <row r="868" spans="1:4" x14ac:dyDescent="0.2">
      <c r="A868" s="10">
        <v>807</v>
      </c>
      <c r="D868" s="2" t="str">
        <f t="shared" si="12"/>
        <v>OK</v>
      </c>
    </row>
    <row r="869" spans="1:4" x14ac:dyDescent="0.2">
      <c r="A869" s="5">
        <v>808</v>
      </c>
      <c r="B869" s="138">
        <f>'Expenditures 15-22'!E72</f>
        <v>12780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424287</v>
      </c>
      <c r="C871" s="2" t="s">
        <v>573</v>
      </c>
      <c r="D871" s="2" t="str">
        <f t="shared" si="12"/>
        <v>Error?</v>
      </c>
    </row>
    <row r="872" spans="1:4" x14ac:dyDescent="0.2">
      <c r="A872" s="5">
        <v>811</v>
      </c>
      <c r="B872" s="138">
        <f>'Expenditures 15-22'!E75</f>
        <v>790</v>
      </c>
      <c r="D872" s="2" t="str">
        <f t="shared" si="12"/>
        <v>Error?</v>
      </c>
    </row>
    <row r="873" spans="1:4" x14ac:dyDescent="0.2">
      <c r="A873" s="5">
        <v>812</v>
      </c>
      <c r="B873" s="138">
        <f>'Expenditures 15-22'!E114</f>
        <v>1017591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320688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4214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392536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4756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220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4976</v>
      </c>
      <c r="C901" s="2" t="s">
        <v>573</v>
      </c>
      <c r="D901" s="2" t="str">
        <f t="shared" si="13"/>
        <v>Error?</v>
      </c>
    </row>
    <row r="902" spans="1:4" x14ac:dyDescent="0.2">
      <c r="A902" s="5">
        <v>841</v>
      </c>
      <c r="B902" s="138">
        <f>'Expenditures 15-22'!F44</f>
        <v>9660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766</v>
      </c>
      <c r="D904" s="2" t="str">
        <f t="shared" si="13"/>
        <v>Error?</v>
      </c>
    </row>
    <row r="905" spans="1:4" x14ac:dyDescent="0.2">
      <c r="A905" s="5">
        <v>844</v>
      </c>
      <c r="B905" s="138">
        <f>'Expenditures 15-22'!F47</f>
        <v>10426</v>
      </c>
      <c r="C905" s="2" t="s">
        <v>573</v>
      </c>
      <c r="D905" s="2" t="str">
        <f t="shared" si="13"/>
        <v>Error?</v>
      </c>
    </row>
    <row r="906" spans="1:4" x14ac:dyDescent="0.2">
      <c r="A906" s="5">
        <v>845</v>
      </c>
      <c r="B906" s="138">
        <f>'Expenditures 15-22'!F49</f>
        <v>1003</v>
      </c>
      <c r="D906" s="2" t="str">
        <f t="shared" si="13"/>
        <v>Error?</v>
      </c>
    </row>
    <row r="907" spans="1:4" x14ac:dyDescent="0.2">
      <c r="A907" s="5">
        <v>846</v>
      </c>
      <c r="B907" s="138">
        <f>'Expenditures 15-22'!F50</f>
        <v>3148</v>
      </c>
      <c r="D907" s="2" t="str">
        <f t="shared" si="13"/>
        <v>Error?</v>
      </c>
    </row>
    <row r="908" spans="1:4" x14ac:dyDescent="0.2">
      <c r="A908" s="5">
        <v>847</v>
      </c>
      <c r="B908" s="138">
        <f>'Expenditures 15-22'!F53</f>
        <v>4151</v>
      </c>
      <c r="C908" s="2" t="s">
        <v>573</v>
      </c>
      <c r="D908" s="2" t="str">
        <f t="shared" si="13"/>
        <v>Error?</v>
      </c>
    </row>
    <row r="909" spans="1:4" x14ac:dyDescent="0.2">
      <c r="A909" s="5">
        <v>848</v>
      </c>
      <c r="B909" s="138">
        <f>'Expenditures 15-22'!F55</f>
        <v>4870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4870</v>
      </c>
      <c r="C911" s="2" t="s">
        <v>573</v>
      </c>
      <c r="D911" s="2" t="str">
        <f t="shared" si="13"/>
        <v>Error?</v>
      </c>
    </row>
    <row r="912" spans="1:4" x14ac:dyDescent="0.2">
      <c r="A912" s="5">
        <v>851</v>
      </c>
      <c r="B912" s="138">
        <f>'Expenditures 15-22'!F59</f>
        <v>9635</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175410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185045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735</v>
      </c>
      <c r="D925" s="2" t="str">
        <f t="shared" si="13"/>
        <v>Error?</v>
      </c>
    </row>
    <row r="926" spans="1:4" x14ac:dyDescent="0.2">
      <c r="A926" s="10">
        <v>865</v>
      </c>
      <c r="D926" s="2" t="str">
        <f t="shared" si="13"/>
        <v>OK</v>
      </c>
    </row>
    <row r="927" spans="1:4" x14ac:dyDescent="0.2">
      <c r="A927" s="5">
        <v>866</v>
      </c>
      <c r="B927" s="138">
        <f>'Expenditures 15-22'!F72</f>
        <v>735</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210203</v>
      </c>
      <c r="C929" s="2" t="s">
        <v>573</v>
      </c>
      <c r="D929" s="2" t="str">
        <f t="shared" si="13"/>
        <v>Error?</v>
      </c>
    </row>
    <row r="930" spans="1:4" x14ac:dyDescent="0.2">
      <c r="A930" s="5">
        <v>869</v>
      </c>
      <c r="B930" s="138">
        <f>'Expenditures 15-22'!F75</f>
        <v>10784</v>
      </c>
      <c r="D930" s="2" t="str">
        <f t="shared" si="13"/>
        <v>Error?</v>
      </c>
    </row>
    <row r="931" spans="1:4" x14ac:dyDescent="0.2">
      <c r="A931" s="5">
        <v>870</v>
      </c>
      <c r="B931" s="138">
        <f>'Expenditures 15-22'!F114</f>
        <v>613523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155257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192782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1755</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1755</v>
      </c>
      <c r="C959" s="2" t="s">
        <v>573</v>
      </c>
      <c r="D959" s="2" t="str">
        <f t="shared" ref="D959:D1022" si="14">IF(ISBLANK(B959),"OK",IF(A959-B959=0,"OK","Error?"))</f>
        <v>Error?</v>
      </c>
    </row>
    <row r="960" spans="1:4" x14ac:dyDescent="0.2">
      <c r="A960" s="5">
        <v>899</v>
      </c>
      <c r="B960" s="138">
        <f>'Expenditures 15-22'!G44</f>
        <v>1348</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1348</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959</v>
      </c>
      <c r="D965" s="2" t="str">
        <f t="shared" si="14"/>
        <v>Error?</v>
      </c>
    </row>
    <row r="966" spans="1:4" x14ac:dyDescent="0.2">
      <c r="A966" s="5">
        <v>905</v>
      </c>
      <c r="B966" s="138">
        <f>'Expenditures 15-22'!G53</f>
        <v>1918</v>
      </c>
      <c r="C966" s="2" t="s">
        <v>573</v>
      </c>
      <c r="D966" s="2" t="str">
        <f t="shared" si="14"/>
        <v>Error?</v>
      </c>
    </row>
    <row r="967" spans="1:4" x14ac:dyDescent="0.2">
      <c r="A967" s="5">
        <v>906</v>
      </c>
      <c r="B967" s="138">
        <f>'Expenditures 15-22'!G55</f>
        <v>734</v>
      </c>
      <c r="D967" s="2" t="str">
        <f t="shared" si="14"/>
        <v>Error?</v>
      </c>
    </row>
    <row r="968" spans="1:4" x14ac:dyDescent="0.2">
      <c r="A968" s="5">
        <v>907</v>
      </c>
      <c r="B968" s="138">
        <f>'Expenditures 15-22'!G56</f>
        <v>0</v>
      </c>
      <c r="D968" s="2" t="str">
        <f t="shared" si="14"/>
        <v>Error?</v>
      </c>
    </row>
    <row r="969" spans="1:4" x14ac:dyDescent="0.2">
      <c r="A969" s="5">
        <v>908</v>
      </c>
      <c r="B969" s="138">
        <f>'Expenditures 15-22'!G57</f>
        <v>734</v>
      </c>
      <c r="C969" s="2" t="s">
        <v>573</v>
      </c>
      <c r="D969" s="2" t="str">
        <f t="shared" si="14"/>
        <v>Error?</v>
      </c>
    </row>
    <row r="970" spans="1:4" x14ac:dyDescent="0.2">
      <c r="A970" s="5">
        <v>909</v>
      </c>
      <c r="B970" s="138">
        <f>'Expenditures 15-22'!G59</f>
        <v>6102</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13576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19678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1860</v>
      </c>
      <c r="D983" s="2" t="str">
        <f t="shared" si="14"/>
        <v>Error?</v>
      </c>
    </row>
    <row r="984" spans="1:4" x14ac:dyDescent="0.2">
      <c r="A984" s="10">
        <v>923</v>
      </c>
      <c r="D984" s="2" t="str">
        <f t="shared" si="14"/>
        <v>OK</v>
      </c>
    </row>
    <row r="985" spans="1:4" x14ac:dyDescent="0.2">
      <c r="A985" s="5">
        <v>924</v>
      </c>
      <c r="B985" s="138">
        <f>'Expenditures 15-22'!G72</f>
        <v>1860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27293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220075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2747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915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143714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4997</v>
      </c>
      <c r="D1022" s="2" t="str">
        <f t="shared" si="14"/>
        <v>Error?</v>
      </c>
    </row>
    <row r="1023" spans="1:4" x14ac:dyDescent="0.2">
      <c r="A1023" s="5">
        <v>962</v>
      </c>
      <c r="B1023" s="138">
        <f>'Expenditures 15-22'!H50</f>
        <v>3518</v>
      </c>
      <c r="D1023" s="2" t="str">
        <f t="shared" ref="D1023:D1086" si="15">IF(ISBLANK(B1023),"OK",IF(A1023-B1023=0,"OK","Error?"))</f>
        <v>Error?</v>
      </c>
    </row>
    <row r="1024" spans="1:4" x14ac:dyDescent="0.2">
      <c r="A1024" s="5">
        <v>963</v>
      </c>
      <c r="B1024" s="138">
        <f>'Expenditures 15-22'!H53</f>
        <v>8515</v>
      </c>
      <c r="C1024" s="2" t="s">
        <v>573</v>
      </c>
      <c r="D1024" s="2" t="str">
        <f t="shared" si="15"/>
        <v>Error?</v>
      </c>
    </row>
    <row r="1025" spans="1:4" x14ac:dyDescent="0.2">
      <c r="A1025" s="5">
        <v>964</v>
      </c>
      <c r="B1025" s="138">
        <f>'Expenditures 15-22'!H55</f>
        <v>2292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2292</v>
      </c>
      <c r="C1027" s="2" t="s">
        <v>573</v>
      </c>
      <c r="D1027" s="2" t="str">
        <f t="shared" si="15"/>
        <v>Error?</v>
      </c>
    </row>
    <row r="1028" spans="1:4" x14ac:dyDescent="0.2">
      <c r="A1028" s="5">
        <v>967</v>
      </c>
      <c r="B1028" s="138">
        <f>'Expenditures 15-22'!H59</f>
        <v>7088</v>
      </c>
      <c r="D1028" s="2" t="str">
        <f t="shared" si="15"/>
        <v>Error?</v>
      </c>
    </row>
    <row r="1029" spans="1:4" x14ac:dyDescent="0.2">
      <c r="A1029" s="5">
        <v>968</v>
      </c>
      <c r="B1029" s="138">
        <f>'Expenditures 15-22'!H60</f>
        <v>366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970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8424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150</v>
      </c>
      <c r="D1041" s="2" t="str">
        <f t="shared" si="15"/>
        <v>Error?</v>
      </c>
    </row>
    <row r="1042" spans="1:4" x14ac:dyDescent="0.2">
      <c r="A1042" s="10">
        <v>981</v>
      </c>
      <c r="D1042" s="2" t="str">
        <f t="shared" si="15"/>
        <v>OK</v>
      </c>
    </row>
    <row r="1043" spans="1:4" x14ac:dyDescent="0.2">
      <c r="A1043" s="5">
        <v>982</v>
      </c>
      <c r="B1043" s="138">
        <f>'Expenditures 15-22'!H72</f>
        <v>150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19381</v>
      </c>
      <c r="C1045" s="2" t="s">
        <v>573</v>
      </c>
      <c r="D1045" s="2" t="str">
        <f t="shared" si="15"/>
        <v>Error?</v>
      </c>
    </row>
    <row r="1046" spans="1:4" x14ac:dyDescent="0.2">
      <c r="A1046" s="5">
        <v>985</v>
      </c>
      <c r="B1046" s="138">
        <f>'Expenditures 15-22'!H75</f>
        <v>2293</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165388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7578697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79263</v>
      </c>
      <c r="C1106" s="2" t="s">
        <v>573</v>
      </c>
      <c r="D1106" s="2" t="str">
        <f t="shared" si="16"/>
        <v>Error?</v>
      </c>
    </row>
    <row r="1107" spans="1:4" x14ac:dyDescent="0.2">
      <c r="A1107" s="5">
        <v>1046</v>
      </c>
      <c r="B1107" s="138">
        <f>'Expenditures 15-22'!K15</f>
        <v>3750</v>
      </c>
      <c r="C1107" s="2" t="s">
        <v>573</v>
      </c>
      <c r="D1107" s="2" t="str">
        <f t="shared" si="16"/>
        <v>Error?</v>
      </c>
    </row>
    <row r="1108" spans="1:4" x14ac:dyDescent="0.2">
      <c r="A1108" s="5">
        <v>1047</v>
      </c>
      <c r="B1108" s="138">
        <f>'Expenditures 15-22'!K33</f>
        <v>9988144</v>
      </c>
      <c r="C1108" s="2" t="s">
        <v>573</v>
      </c>
      <c r="D1108" s="2" t="str">
        <f t="shared" si="16"/>
        <v>Error?</v>
      </c>
    </row>
    <row r="1109" spans="1:4" x14ac:dyDescent="0.2">
      <c r="A1109" s="5">
        <v>1048</v>
      </c>
      <c r="B1109" s="138">
        <f>'Expenditures 15-22'!K36</f>
        <v>315307</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150517</v>
      </c>
      <c r="C1111" s="2" t="s">
        <v>573</v>
      </c>
      <c r="D1111" s="2" t="str">
        <f t="shared" si="16"/>
        <v>Error?</v>
      </c>
    </row>
    <row r="1112" spans="1:4" x14ac:dyDescent="0.2">
      <c r="A1112" s="5">
        <v>1051</v>
      </c>
      <c r="B1112" s="138">
        <f>'Expenditures 15-22'!K39</f>
        <v>85834</v>
      </c>
      <c r="C1112" s="2" t="s">
        <v>573</v>
      </c>
      <c r="D1112" s="2" t="str">
        <f t="shared" si="16"/>
        <v>Error?</v>
      </c>
    </row>
    <row r="1113" spans="1:4" x14ac:dyDescent="0.2">
      <c r="A1113" s="5">
        <v>1052</v>
      </c>
      <c r="B1113" s="138">
        <f>'Expenditures 15-22'!K40</f>
        <v>426750</v>
      </c>
      <c r="C1113" s="2" t="s">
        <v>573</v>
      </c>
      <c r="D1113" s="2" t="str">
        <f t="shared" si="16"/>
        <v>Error?</v>
      </c>
    </row>
    <row r="1114" spans="1:4" x14ac:dyDescent="0.2">
      <c r="A1114" s="5">
        <v>1053</v>
      </c>
      <c r="B1114" s="138">
        <f>'Expenditures 15-22'!K41</f>
        <v>62119</v>
      </c>
      <c r="C1114" s="2" t="s">
        <v>573</v>
      </c>
      <c r="D1114" s="2" t="str">
        <f t="shared" si="16"/>
        <v>Error?</v>
      </c>
    </row>
    <row r="1115" spans="1:4" x14ac:dyDescent="0.2">
      <c r="A1115" s="5">
        <v>1054</v>
      </c>
      <c r="B1115" s="138">
        <f>'Expenditures 15-22'!K42</f>
        <v>1040527</v>
      </c>
      <c r="C1115" s="2" t="s">
        <v>573</v>
      </c>
      <c r="D1115" s="2" t="str">
        <f t="shared" si="16"/>
        <v>Error?</v>
      </c>
    </row>
    <row r="1116" spans="1:4" x14ac:dyDescent="0.2">
      <c r="A1116" s="5">
        <v>1055</v>
      </c>
      <c r="B1116" s="138">
        <f>'Expenditures 15-22'!K44</f>
        <v>174560</v>
      </c>
      <c r="C1116" s="2" t="s">
        <v>573</v>
      </c>
      <c r="D1116" s="2" t="str">
        <f t="shared" si="16"/>
        <v>Error?</v>
      </c>
    </row>
    <row r="1117" spans="1:4" x14ac:dyDescent="0.2">
      <c r="A1117" s="5">
        <v>1056</v>
      </c>
      <c r="B1117" s="138">
        <f>'Expenditures 15-22'!K45</f>
        <v>44849</v>
      </c>
      <c r="C1117" s="2" t="s">
        <v>573</v>
      </c>
      <c r="D1117" s="2" t="str">
        <f t="shared" si="16"/>
        <v>Error?</v>
      </c>
    </row>
    <row r="1118" spans="1:4" x14ac:dyDescent="0.2">
      <c r="A1118" s="5">
        <v>1057</v>
      </c>
      <c r="B1118" s="138">
        <f>'Expenditures 15-22'!K46</f>
        <v>14389</v>
      </c>
      <c r="C1118" s="2" t="s">
        <v>573</v>
      </c>
      <c r="D1118" s="2" t="str">
        <f t="shared" si="16"/>
        <v>Error?</v>
      </c>
    </row>
    <row r="1119" spans="1:4" x14ac:dyDescent="0.2">
      <c r="A1119" s="5">
        <v>1058</v>
      </c>
      <c r="B1119" s="138">
        <f>'Expenditures 15-22'!K47</f>
        <v>233798</v>
      </c>
      <c r="C1119" s="2" t="s">
        <v>573</v>
      </c>
      <c r="D1119" s="2" t="str">
        <f t="shared" si="16"/>
        <v>Error?</v>
      </c>
    </row>
    <row r="1120" spans="1:4" x14ac:dyDescent="0.2">
      <c r="A1120" s="5">
        <v>1059</v>
      </c>
      <c r="B1120" s="138">
        <f>'Expenditures 15-22'!K49</f>
        <v>234172</v>
      </c>
      <c r="C1120" s="2" t="s">
        <v>573</v>
      </c>
      <c r="D1120" s="2" t="str">
        <f t="shared" si="16"/>
        <v>Error?</v>
      </c>
    </row>
    <row r="1121" spans="1:4" x14ac:dyDescent="0.2">
      <c r="A1121" s="5">
        <v>1060</v>
      </c>
      <c r="B1121" s="138">
        <f>'Expenditures 15-22'!K50</f>
        <v>311411</v>
      </c>
      <c r="C1121" s="2" t="s">
        <v>573</v>
      </c>
      <c r="D1121" s="2" t="str">
        <f t="shared" si="16"/>
        <v>Error?</v>
      </c>
    </row>
    <row r="1122" spans="1:4" x14ac:dyDescent="0.2">
      <c r="A1122" s="5">
        <v>1061</v>
      </c>
      <c r="B1122" s="138">
        <f>'Expenditures 15-22'!K53</f>
        <v>668946</v>
      </c>
      <c r="C1122" s="2" t="s">
        <v>573</v>
      </c>
      <c r="D1122" s="2" t="str">
        <f t="shared" si="16"/>
        <v>Error?</v>
      </c>
    </row>
    <row r="1123" spans="1:4" x14ac:dyDescent="0.2">
      <c r="A1123" s="5">
        <v>1062</v>
      </c>
      <c r="B1123" s="138">
        <f>'Expenditures 15-22'!K55</f>
        <v>805842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805842</v>
      </c>
      <c r="C1125" s="2" t="s">
        <v>573</v>
      </c>
      <c r="D1125" s="2" t="str">
        <f t="shared" si="16"/>
        <v>Error?</v>
      </c>
    </row>
    <row r="1126" spans="1:4" x14ac:dyDescent="0.2">
      <c r="A1126" s="5">
        <v>1065</v>
      </c>
      <c r="B1126" s="138">
        <f>'Expenditures 15-22'!K59</f>
        <v>244915</v>
      </c>
      <c r="C1126" s="2" t="s">
        <v>573</v>
      </c>
      <c r="D1126" s="2" t="str">
        <f t="shared" si="16"/>
        <v>Error?</v>
      </c>
    </row>
    <row r="1127" spans="1:4" x14ac:dyDescent="0.2">
      <c r="A1127" s="5">
        <v>1066</v>
      </c>
      <c r="B1127" s="138">
        <f>'Expenditures 15-22'!K60</f>
        <v>45530</v>
      </c>
      <c r="C1127" s="2" t="s">
        <v>573</v>
      </c>
      <c r="D1127" s="2" t="str">
        <f t="shared" si="16"/>
        <v>Error?</v>
      </c>
    </row>
    <row r="1128" spans="1:4" x14ac:dyDescent="0.2">
      <c r="A1128" s="5">
        <v>1067</v>
      </c>
      <c r="B1128" s="138">
        <f>'Expenditures 15-22'!K61</f>
        <v>72488</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416367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779300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248571</v>
      </c>
      <c r="C1139" s="2" t="s">
        <v>573</v>
      </c>
      <c r="D1139" s="2" t="str">
        <f t="shared" si="16"/>
        <v>Error?</v>
      </c>
    </row>
    <row r="1140" spans="1:4" x14ac:dyDescent="0.2">
      <c r="A1140" s="10">
        <v>1079</v>
      </c>
      <c r="D1140" s="2" t="str">
        <f t="shared" si="16"/>
        <v>OK</v>
      </c>
    </row>
    <row r="1141" spans="1:4" x14ac:dyDescent="0.2">
      <c r="A1141" s="5">
        <v>1080</v>
      </c>
      <c r="B1141" s="138">
        <f>'Expenditures 15-22'!K72</f>
        <v>248571</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3776984</v>
      </c>
      <c r="C1143" s="2" t="s">
        <v>573</v>
      </c>
      <c r="D1143" s="2" t="str">
        <f t="shared" si="16"/>
        <v>Error?</v>
      </c>
    </row>
    <row r="1144" spans="1:4" x14ac:dyDescent="0.2">
      <c r="A1144" s="5">
        <v>1083</v>
      </c>
      <c r="B1144" s="138">
        <f>'Expenditures 15-22'!K75</f>
        <v>134356</v>
      </c>
      <c r="C1144" s="2" t="s">
        <v>573</v>
      </c>
      <c r="D1144" s="2" t="str">
        <f t="shared" si="16"/>
        <v>Error?</v>
      </c>
    </row>
    <row r="1145" spans="1:4" x14ac:dyDescent="0.2">
      <c r="A1145" s="5">
        <v>1084</v>
      </c>
      <c r="B1145" s="138">
        <f>'Expenditures 15-22'!K102</f>
        <v>315906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14215390</v>
      </c>
      <c r="C1152" s="2" t="s">
        <v>573</v>
      </c>
      <c r="D1152" s="2" t="str">
        <f t="shared" si="17"/>
        <v>Error?</v>
      </c>
    </row>
    <row r="1153" spans="1:4" x14ac:dyDescent="0.2">
      <c r="A1153" s="5">
        <v>1092</v>
      </c>
      <c r="B1153" s="138">
        <f>'Expenditures 15-22'!K115</f>
        <v>-1985602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314745</v>
      </c>
      <c r="D1221" s="2" t="str">
        <f t="shared" si="18"/>
        <v>Error?</v>
      </c>
    </row>
    <row r="1222" spans="1:4" x14ac:dyDescent="0.2">
      <c r="A1222" s="10">
        <v>1161</v>
      </c>
      <c r="D1222" s="2" t="str">
        <f t="shared" si="18"/>
        <v>OK</v>
      </c>
    </row>
    <row r="1223" spans="1:4" x14ac:dyDescent="0.2">
      <c r="A1223" s="5">
        <v>1162</v>
      </c>
      <c r="B1223" s="138">
        <f>'Expenditures 15-22'!C127</f>
        <v>314745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314745</v>
      </c>
      <c r="C1225" s="2" t="s">
        <v>573</v>
      </c>
      <c r="D1225" s="2" t="str">
        <f t="shared" si="18"/>
        <v>Error?</v>
      </c>
    </row>
    <row r="1226" spans="1:4" x14ac:dyDescent="0.2">
      <c r="A1226" s="5">
        <v>1165</v>
      </c>
      <c r="B1226" s="138">
        <f>'Expenditures 15-22'!C151</f>
        <v>314745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86897</v>
      </c>
      <c r="D1236" s="2" t="str">
        <f t="shared" si="18"/>
        <v>Error?</v>
      </c>
    </row>
    <row r="1237" spans="1:4" x14ac:dyDescent="0.2">
      <c r="A1237" s="5">
        <v>1176</v>
      </c>
      <c r="B1237" s="138">
        <f>'Expenditures 15-22'!E124</f>
        <v>142758</v>
      </c>
      <c r="D1237" s="2" t="str">
        <f t="shared" si="18"/>
        <v>Error?</v>
      </c>
    </row>
    <row r="1238" spans="1:4" x14ac:dyDescent="0.2">
      <c r="A1238" s="10">
        <v>1177</v>
      </c>
      <c r="D1238" s="2" t="str">
        <f t="shared" si="18"/>
        <v>OK</v>
      </c>
    </row>
    <row r="1239" spans="1:4" x14ac:dyDescent="0.2">
      <c r="A1239" s="5">
        <v>1178</v>
      </c>
      <c r="B1239" s="138">
        <f>'Expenditures 15-22'!E127</f>
        <v>229655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229655</v>
      </c>
      <c r="C1241" s="2" t="s">
        <v>573</v>
      </c>
      <c r="D1241" s="2" t="str">
        <f t="shared" si="18"/>
        <v>Error?</v>
      </c>
    </row>
    <row r="1242" spans="1:4" x14ac:dyDescent="0.2">
      <c r="A1242" s="5">
        <v>1181</v>
      </c>
      <c r="B1242" s="138">
        <f>'Expenditures 15-22'!E151</f>
        <v>229655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337047</v>
      </c>
      <c r="D1245" s="2" t="str">
        <f t="shared" si="18"/>
        <v>Error?</v>
      </c>
    </row>
    <row r="1246" spans="1:4" x14ac:dyDescent="0.2">
      <c r="A1246" s="10">
        <v>1185</v>
      </c>
      <c r="D1246" s="2" t="str">
        <f t="shared" si="18"/>
        <v>OK</v>
      </c>
    </row>
    <row r="1247" spans="1:4" x14ac:dyDescent="0.2">
      <c r="A1247" s="5">
        <v>1186</v>
      </c>
      <c r="B1247" s="138">
        <f>'Expenditures 15-22'!F127</f>
        <v>337047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337047</v>
      </c>
      <c r="C1249" s="2" t="s">
        <v>573</v>
      </c>
      <c r="D1249" s="2" t="str">
        <f t="shared" si="18"/>
        <v>Error?</v>
      </c>
    </row>
    <row r="1250" spans="1:4" x14ac:dyDescent="0.2">
      <c r="A1250" s="5">
        <v>1189</v>
      </c>
      <c r="B1250" s="138">
        <f>'Expenditures 15-22'!F151</f>
        <v>337047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341993</v>
      </c>
      <c r="D1252" s="2" t="str">
        <f t="shared" si="18"/>
        <v>Error?</v>
      </c>
    </row>
    <row r="1253" spans="1:4" x14ac:dyDescent="0.2">
      <c r="A1253" s="5">
        <v>1192</v>
      </c>
      <c r="B1253" s="138">
        <f>'Expenditures 15-22'!G124</f>
        <v>9938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351931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351931</v>
      </c>
      <c r="C1258" s="2" t="s">
        <v>573</v>
      </c>
      <c r="D1258" s="2" t="str">
        <f t="shared" si="18"/>
        <v>Error?</v>
      </c>
    </row>
    <row r="1259" spans="1:4" x14ac:dyDescent="0.2">
      <c r="A1259" s="5">
        <v>1198</v>
      </c>
      <c r="B1259" s="138">
        <f>'Expenditures 15-22'!G151</f>
        <v>351931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428890</v>
      </c>
      <c r="C1275" s="2" t="s">
        <v>573</v>
      </c>
      <c r="D1275" s="2" t="str">
        <f t="shared" si="18"/>
        <v>Error?</v>
      </c>
    </row>
    <row r="1276" spans="1:4" x14ac:dyDescent="0.2">
      <c r="A1276" s="5">
        <v>1215</v>
      </c>
      <c r="B1276" s="138">
        <f>'Expenditures 15-22'!K124</f>
        <v>804488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1233378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1233378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1233378</v>
      </c>
      <c r="C1288" s="2" t="s">
        <v>573</v>
      </c>
      <c r="D1288" s="2" t="str">
        <f t="shared" si="19"/>
        <v>Error?</v>
      </c>
    </row>
    <row r="1289" spans="1:4" x14ac:dyDescent="0.2">
      <c r="A1289" s="5">
        <v>1228</v>
      </c>
      <c r="B1289" s="138">
        <f>'Expenditures 15-22'!K152</f>
        <v>100014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109994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720000</v>
      </c>
      <c r="D1315" s="2" t="str">
        <f t="shared" si="19"/>
        <v>Error?</v>
      </c>
    </row>
    <row r="1316" spans="1:4" x14ac:dyDescent="0.2">
      <c r="A1316" s="5">
        <v>1255</v>
      </c>
      <c r="B1316" s="138">
        <f>'Expenditures 15-22'!H171</f>
        <v>803</v>
      </c>
      <c r="D1316" s="2" t="str">
        <f t="shared" si="19"/>
        <v>Error?</v>
      </c>
    </row>
    <row r="1317" spans="1:4" x14ac:dyDescent="0.2">
      <c r="A1317" s="5">
        <v>1256</v>
      </c>
      <c r="B1317" s="138">
        <f>'Expenditures 15-22'!H172</f>
        <v>830797</v>
      </c>
      <c r="C1317" s="2" t="s">
        <v>573</v>
      </c>
      <c r="D1317" s="2" t="str">
        <f t="shared" si="19"/>
        <v>Error?</v>
      </c>
    </row>
    <row r="1318" spans="1:4" x14ac:dyDescent="0.2">
      <c r="A1318" s="5">
        <v>1257</v>
      </c>
      <c r="B1318" s="138">
        <f>'Expenditures 15-22'!H174</f>
        <v>830797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109994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720000</v>
      </c>
      <c r="C1329" s="2" t="s">
        <v>573</v>
      </c>
      <c r="D1329" s="2" t="str">
        <f t="shared" si="19"/>
        <v>Error?</v>
      </c>
    </row>
    <row r="1330" spans="1:4" x14ac:dyDescent="0.2">
      <c r="A1330" s="5">
        <v>1269</v>
      </c>
      <c r="B1330" s="138">
        <f>'Expenditures 15-22'!K171</f>
        <v>803</v>
      </c>
      <c r="C1330" s="2" t="s">
        <v>573</v>
      </c>
      <c r="D1330" s="2" t="str">
        <f t="shared" si="19"/>
        <v>Error?</v>
      </c>
    </row>
    <row r="1331" spans="1:4" x14ac:dyDescent="0.2">
      <c r="A1331" s="5">
        <v>1270</v>
      </c>
      <c r="B1331" s="138">
        <f>'Expenditures 15-22'!K172</f>
        <v>830797</v>
      </c>
      <c r="C1331" s="2" t="s">
        <v>573</v>
      </c>
      <c r="D1331" s="2" t="str">
        <f t="shared" si="19"/>
        <v>Error?</v>
      </c>
    </row>
    <row r="1332" spans="1:4" x14ac:dyDescent="0.2">
      <c r="A1332" s="5">
        <v>1271</v>
      </c>
      <c r="B1332" s="138">
        <f>'Expenditures 15-22'!K174</f>
        <v>830797</v>
      </c>
      <c r="C1332" s="2" t="s">
        <v>573</v>
      </c>
      <c r="D1332" s="2" t="str">
        <f t="shared" si="19"/>
        <v>Error?</v>
      </c>
    </row>
    <row r="1333" spans="1:4" x14ac:dyDescent="0.2">
      <c r="A1333" s="5">
        <v>1272</v>
      </c>
      <c r="B1333" s="138">
        <f>'Expenditures 15-22'!K175</f>
        <v>-306887</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1002018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1002018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1002018</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1002018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1002018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1002018</v>
      </c>
      <c r="C1388" s="2" t="s">
        <v>573</v>
      </c>
      <c r="D1388" s="2" t="str">
        <f t="shared" si="20"/>
        <v>Error?</v>
      </c>
    </row>
    <row r="1389" spans="1:4" x14ac:dyDescent="0.2">
      <c r="A1389" s="5">
        <v>1328</v>
      </c>
      <c r="B1389" s="138">
        <f>'Expenditures 15-22'!K211</f>
        <v>-202058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1301</v>
      </c>
      <c r="D1408" s="2" t="str">
        <f t="shared" si="21"/>
        <v>Error?</v>
      </c>
    </row>
    <row r="1409" spans="1:4" x14ac:dyDescent="0.2">
      <c r="A1409" s="5">
        <v>1348</v>
      </c>
      <c r="B1409" s="138">
        <f>'Expenditures 15-22'!D224</f>
        <v>52</v>
      </c>
      <c r="D1409" s="2" t="str">
        <f t="shared" si="21"/>
        <v>Error?</v>
      </c>
    </row>
    <row r="1410" spans="1:4" x14ac:dyDescent="0.2">
      <c r="A1410" s="5">
        <v>1349</v>
      </c>
      <c r="B1410" s="138">
        <f>'Expenditures 15-22'!D229</f>
        <v>190891</v>
      </c>
      <c r="C1410" s="2" t="s">
        <v>573</v>
      </c>
      <c r="D1410" s="2" t="str">
        <f t="shared" si="21"/>
        <v>Error?</v>
      </c>
    </row>
    <row r="1411" spans="1:4" x14ac:dyDescent="0.2">
      <c r="A1411" s="5">
        <v>1350</v>
      </c>
      <c r="B1411" s="138">
        <f>'Expenditures 15-22'!D232</f>
        <v>3987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20335</v>
      </c>
      <c r="D1413" s="2" t="str">
        <f t="shared" si="21"/>
        <v>Error?</v>
      </c>
    </row>
    <row r="1414" spans="1:4" x14ac:dyDescent="0.2">
      <c r="A1414" s="5">
        <v>1353</v>
      </c>
      <c r="B1414" s="138">
        <f>'Expenditures 15-22'!D235</f>
        <v>827</v>
      </c>
      <c r="D1414" s="2" t="str">
        <f t="shared" si="21"/>
        <v>Error?</v>
      </c>
    </row>
    <row r="1415" spans="1:4" x14ac:dyDescent="0.2">
      <c r="A1415" s="5">
        <v>1354</v>
      </c>
      <c r="B1415" s="138">
        <f>'Expenditures 15-22'!D236</f>
        <v>5209</v>
      </c>
      <c r="D1415" s="2" t="str">
        <f t="shared" si="21"/>
        <v>Error?</v>
      </c>
    </row>
    <row r="1416" spans="1:4" x14ac:dyDescent="0.2">
      <c r="A1416" s="5">
        <v>1355</v>
      </c>
      <c r="B1416" s="138">
        <f>'Expenditures 15-22'!D237</f>
        <v>4892</v>
      </c>
      <c r="D1416" s="2" t="str">
        <f t="shared" si="21"/>
        <v>Error?</v>
      </c>
    </row>
    <row r="1417" spans="1:4" x14ac:dyDescent="0.2">
      <c r="A1417" s="5">
        <v>1356</v>
      </c>
      <c r="B1417" s="138">
        <f>'Expenditures 15-22'!D238</f>
        <v>35250</v>
      </c>
      <c r="C1417" s="2" t="s">
        <v>573</v>
      </c>
      <c r="D1417" s="2" t="str">
        <f t="shared" si="21"/>
        <v>Error?</v>
      </c>
    </row>
    <row r="1418" spans="1:4" x14ac:dyDescent="0.2">
      <c r="A1418" s="5">
        <v>1357</v>
      </c>
      <c r="B1418" s="138">
        <f>'Expenditures 15-22'!D240</f>
        <v>1524</v>
      </c>
      <c r="D1418" s="2" t="str">
        <f t="shared" si="21"/>
        <v>Error?</v>
      </c>
    </row>
    <row r="1419" spans="1:4" x14ac:dyDescent="0.2">
      <c r="A1419" s="5">
        <v>1358</v>
      </c>
      <c r="B1419" s="138">
        <f>'Expenditures 15-22'!D241</f>
        <v>6330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7854</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10826</v>
      </c>
      <c r="D1423" s="2" t="str">
        <f t="shared" si="21"/>
        <v>Error?</v>
      </c>
    </row>
    <row r="1424" spans="1:4" x14ac:dyDescent="0.2">
      <c r="A1424" s="5">
        <v>1363</v>
      </c>
      <c r="B1424" s="138">
        <f>'Expenditures 15-22'!D257</f>
        <v>12167</v>
      </c>
      <c r="C1424" s="2" t="s">
        <v>573</v>
      </c>
      <c r="D1424" s="2" t="str">
        <f t="shared" si="21"/>
        <v>Error?</v>
      </c>
    </row>
    <row r="1425" spans="1:4" x14ac:dyDescent="0.2">
      <c r="A1425" s="5">
        <v>1364</v>
      </c>
      <c r="B1425" s="138">
        <f>'Expenditures 15-22'!D259</f>
        <v>25560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25560</v>
      </c>
      <c r="C1427" s="2" t="s">
        <v>573</v>
      </c>
      <c r="D1427" s="2" t="str">
        <f t="shared" si="21"/>
        <v>Error?</v>
      </c>
    </row>
    <row r="1428" spans="1:4" x14ac:dyDescent="0.2">
      <c r="A1428" s="5">
        <v>1367</v>
      </c>
      <c r="B1428" s="138">
        <f>'Expenditures 15-22'!D263</f>
        <v>1804</v>
      </c>
      <c r="D1428" s="2" t="str">
        <f t="shared" si="21"/>
        <v>Error?</v>
      </c>
    </row>
    <row r="1429" spans="1:4" x14ac:dyDescent="0.2">
      <c r="A1429" s="5">
        <v>1368</v>
      </c>
      <c r="B1429" s="138">
        <f>'Expenditures 15-22'!D264</f>
        <v>5653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48388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27790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83635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30831</v>
      </c>
      <c r="D1442" s="2" t="str">
        <f t="shared" si="21"/>
        <v>Error?</v>
      </c>
    </row>
    <row r="1443" spans="1:4" x14ac:dyDescent="0.2">
      <c r="A1443" s="10">
        <v>1382</v>
      </c>
      <c r="D1443" s="2" t="str">
        <f t="shared" si="21"/>
        <v>OK</v>
      </c>
    </row>
    <row r="1444" spans="1:4" x14ac:dyDescent="0.2">
      <c r="A1444" s="5">
        <v>1383</v>
      </c>
      <c r="B1444" s="138">
        <f>'Expenditures 15-22'!D277</f>
        <v>30831</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195297</v>
      </c>
      <c r="C1446" s="2" t="s">
        <v>573</v>
      </c>
      <c r="D1446" s="2" t="str">
        <f t="shared" si="21"/>
        <v>Error?</v>
      </c>
    </row>
    <row r="1447" spans="1:4" x14ac:dyDescent="0.2">
      <c r="A1447" s="5">
        <v>1386</v>
      </c>
      <c r="B1447" s="138">
        <f>'Expenditures 15-22'!D280</f>
        <v>13406</v>
      </c>
      <c r="D1447" s="2" t="str">
        <f t="shared" si="21"/>
        <v>Error?</v>
      </c>
    </row>
    <row r="1448" spans="1:4" x14ac:dyDescent="0.2">
      <c r="A1448" s="5">
        <v>1387</v>
      </c>
      <c r="B1448" s="138">
        <f>'Expenditures 15-22'!D295</f>
        <v>399594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1301</v>
      </c>
      <c r="C1472" s="2" t="s">
        <v>573</v>
      </c>
      <c r="D1472" s="2" t="str">
        <f t="shared" si="22"/>
        <v>Error?</v>
      </c>
    </row>
    <row r="1473" spans="1:4" x14ac:dyDescent="0.2">
      <c r="A1473" s="5">
        <v>1412</v>
      </c>
      <c r="B1473" s="138">
        <f>'Expenditures 15-22'!K224</f>
        <v>52</v>
      </c>
      <c r="C1473" s="2" t="s">
        <v>573</v>
      </c>
      <c r="D1473" s="2" t="str">
        <f t="shared" si="22"/>
        <v>Error?</v>
      </c>
    </row>
    <row r="1474" spans="1:4" x14ac:dyDescent="0.2">
      <c r="A1474" s="5">
        <v>1413</v>
      </c>
      <c r="B1474" s="138">
        <f>'Expenditures 15-22'!K229</f>
        <v>190891</v>
      </c>
      <c r="C1474" s="2" t="s">
        <v>573</v>
      </c>
      <c r="D1474" s="2" t="str">
        <f t="shared" si="22"/>
        <v>Error?</v>
      </c>
    </row>
    <row r="1475" spans="1:4" x14ac:dyDescent="0.2">
      <c r="A1475" s="5">
        <v>1414</v>
      </c>
      <c r="B1475" s="138">
        <f>'Expenditures 15-22'!K232</f>
        <v>3987</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20335</v>
      </c>
      <c r="C1477" s="2" t="s">
        <v>573</v>
      </c>
      <c r="D1477" s="2" t="str">
        <f t="shared" si="22"/>
        <v>Error?</v>
      </c>
    </row>
    <row r="1478" spans="1:4" x14ac:dyDescent="0.2">
      <c r="A1478" s="5">
        <v>1417</v>
      </c>
      <c r="B1478" s="138">
        <f>'Expenditures 15-22'!K235</f>
        <v>827</v>
      </c>
      <c r="C1478" s="2" t="s">
        <v>573</v>
      </c>
      <c r="D1478" s="2" t="str">
        <f t="shared" si="22"/>
        <v>Error?</v>
      </c>
    </row>
    <row r="1479" spans="1:4" x14ac:dyDescent="0.2">
      <c r="A1479" s="5">
        <v>1418</v>
      </c>
      <c r="B1479" s="138">
        <f>'Expenditures 15-22'!K236</f>
        <v>5209</v>
      </c>
      <c r="C1479" s="2" t="s">
        <v>573</v>
      </c>
      <c r="D1479" s="2" t="str">
        <f t="shared" si="22"/>
        <v>Error?</v>
      </c>
    </row>
    <row r="1480" spans="1:4" x14ac:dyDescent="0.2">
      <c r="A1480" s="5">
        <v>1419</v>
      </c>
      <c r="B1480" s="138">
        <f>'Expenditures 15-22'!K237</f>
        <v>4892</v>
      </c>
      <c r="C1480" s="2" t="s">
        <v>573</v>
      </c>
      <c r="D1480" s="2" t="str">
        <f t="shared" si="22"/>
        <v>Error?</v>
      </c>
    </row>
    <row r="1481" spans="1:4" x14ac:dyDescent="0.2">
      <c r="A1481" s="5">
        <v>1420</v>
      </c>
      <c r="B1481" s="138">
        <f>'Expenditures 15-22'!K238</f>
        <v>35250</v>
      </c>
      <c r="C1481" s="2" t="s">
        <v>573</v>
      </c>
      <c r="D1481" s="2" t="str">
        <f t="shared" si="22"/>
        <v>Error?</v>
      </c>
    </row>
    <row r="1482" spans="1:4" x14ac:dyDescent="0.2">
      <c r="A1482" s="5">
        <v>1421</v>
      </c>
      <c r="B1482" s="138">
        <f>'Expenditures 15-22'!K240</f>
        <v>1524</v>
      </c>
      <c r="C1482" s="2" t="s">
        <v>573</v>
      </c>
      <c r="D1482" s="2" t="str">
        <f t="shared" si="22"/>
        <v>Error?</v>
      </c>
    </row>
    <row r="1483" spans="1:4" x14ac:dyDescent="0.2">
      <c r="A1483" s="5">
        <v>1422</v>
      </c>
      <c r="B1483" s="138">
        <f>'Expenditures 15-22'!K241</f>
        <v>6330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7854</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10826</v>
      </c>
      <c r="C1487" s="2" t="s">
        <v>573</v>
      </c>
      <c r="D1487" s="2" t="str">
        <f t="shared" si="22"/>
        <v>Error?</v>
      </c>
    </row>
    <row r="1488" spans="1:4" x14ac:dyDescent="0.2">
      <c r="A1488" s="5">
        <v>1427</v>
      </c>
      <c r="B1488" s="138">
        <f>'Expenditures 15-22'!K257</f>
        <v>12167</v>
      </c>
      <c r="C1488" s="2" t="s">
        <v>573</v>
      </c>
      <c r="D1488" s="2" t="str">
        <f t="shared" si="22"/>
        <v>Error?</v>
      </c>
    </row>
    <row r="1489" spans="1:4" x14ac:dyDescent="0.2">
      <c r="A1489" s="5">
        <v>1428</v>
      </c>
      <c r="B1489" s="138">
        <f>'Expenditures 15-22'!K259</f>
        <v>25560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25560</v>
      </c>
      <c r="C1491" s="2" t="s">
        <v>573</v>
      </c>
      <c r="D1491" s="2" t="str">
        <f t="shared" si="22"/>
        <v>Error?</v>
      </c>
    </row>
    <row r="1492" spans="1:4" x14ac:dyDescent="0.2">
      <c r="A1492" s="5">
        <v>1431</v>
      </c>
      <c r="B1492" s="138">
        <f>'Expenditures 15-22'!K263</f>
        <v>1804</v>
      </c>
      <c r="C1492" s="2" t="s">
        <v>573</v>
      </c>
      <c r="D1492" s="2" t="str">
        <f t="shared" si="22"/>
        <v>Error?</v>
      </c>
    </row>
    <row r="1493" spans="1:4" x14ac:dyDescent="0.2">
      <c r="A1493" s="5">
        <v>1432</v>
      </c>
      <c r="B1493" s="138">
        <f>'Expenditures 15-22'!K264</f>
        <v>5653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48388</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27790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83635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30831</v>
      </c>
      <c r="C1506" s="2" t="s">
        <v>573</v>
      </c>
      <c r="D1506" s="2" t="str">
        <f t="shared" si="22"/>
        <v>Error?</v>
      </c>
    </row>
    <row r="1507" spans="1:4" x14ac:dyDescent="0.2">
      <c r="A1507" s="10">
        <v>1446</v>
      </c>
      <c r="D1507" s="2" t="str">
        <f t="shared" si="22"/>
        <v>OK</v>
      </c>
    </row>
    <row r="1508" spans="1:4" x14ac:dyDescent="0.2">
      <c r="A1508" s="5">
        <v>1447</v>
      </c>
      <c r="B1508" s="138">
        <f>'Expenditures 15-22'!K277</f>
        <v>30831</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195297</v>
      </c>
      <c r="C1510" s="2" t="s">
        <v>573</v>
      </c>
      <c r="D1510" s="2" t="str">
        <f t="shared" si="22"/>
        <v>Error?</v>
      </c>
    </row>
    <row r="1511" spans="1:4" x14ac:dyDescent="0.2">
      <c r="A1511" s="5">
        <v>1450</v>
      </c>
      <c r="B1511" s="138">
        <f>'Expenditures 15-22'!K280</f>
        <v>13406</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399594</v>
      </c>
      <c r="C1517" s="2" t="s">
        <v>573</v>
      </c>
      <c r="D1517" s="2" t="str">
        <f t="shared" si="22"/>
        <v>Error?</v>
      </c>
    </row>
    <row r="1518" spans="1:4" x14ac:dyDescent="0.2">
      <c r="A1518" s="5">
        <v>1457</v>
      </c>
      <c r="B1518" s="138">
        <f>'Expenditures 15-22'!K296</f>
        <v>-93515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11185792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9200190</v>
      </c>
      <c r="C1630" s="2" t="s">
        <v>573</v>
      </c>
      <c r="D1630" s="2" t="str">
        <f t="shared" si="24"/>
        <v>Error?</v>
      </c>
    </row>
    <row r="1631" spans="1:4" x14ac:dyDescent="0.2">
      <c r="A1631" s="5">
        <v>1570</v>
      </c>
      <c r="B1631" s="138">
        <f>'Acct Summary 7-8'!D79</f>
        <v>2501385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2601399</v>
      </c>
      <c r="C1644" s="2" t="s">
        <v>573</v>
      </c>
      <c r="D1644" s="2" t="str">
        <f t="shared" si="24"/>
        <v>Error?</v>
      </c>
    </row>
    <row r="1645" spans="1:4" x14ac:dyDescent="0.2">
      <c r="A1645" s="5">
        <v>1584</v>
      </c>
      <c r="B1645" s="138">
        <f>'Acct Summary 7-8'!E79</f>
        <v>897763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590876</v>
      </c>
      <c r="C1658" s="2" t="s">
        <v>573</v>
      </c>
      <c r="D1658" s="2" t="str">
        <f t="shared" si="24"/>
        <v>Error?</v>
      </c>
    </row>
    <row r="1659" spans="1:4" x14ac:dyDescent="0.2">
      <c r="A1659" s="5">
        <v>1598</v>
      </c>
      <c r="B1659" s="138">
        <f>'Acct Summary 7-8'!F79</f>
        <v>804887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602829</v>
      </c>
      <c r="C1672" s="2" t="s">
        <v>573</v>
      </c>
      <c r="D1672" s="2" t="str">
        <f t="shared" si="25"/>
        <v>Error?</v>
      </c>
    </row>
    <row r="1673" spans="1:4" x14ac:dyDescent="0.2">
      <c r="A1673" s="5">
        <v>1612</v>
      </c>
      <c r="B1673" s="138">
        <f>'Acct Summary 7-8'!G79</f>
        <v>802639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709124</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6082659</v>
      </c>
      <c r="C1744" s="2" t="s">
        <v>573</v>
      </c>
      <c r="D1744" s="2" t="str">
        <f t="shared" si="26"/>
        <v>Error?</v>
      </c>
    </row>
    <row r="1745" spans="1:5" x14ac:dyDescent="0.2">
      <c r="A1745" s="5">
        <v>1684</v>
      </c>
      <c r="B1745" s="138">
        <f>'Tax Sched 23'!B5</f>
        <v>794413</v>
      </c>
      <c r="C1745" s="2" t="s">
        <v>573</v>
      </c>
      <c r="D1745" s="2" t="str">
        <f t="shared" si="26"/>
        <v>Error?</v>
      </c>
    </row>
    <row r="1746" spans="1:5" x14ac:dyDescent="0.2">
      <c r="A1746" s="5">
        <v>1685</v>
      </c>
      <c r="B1746" s="138">
        <f>'Tax Sched 23'!B6</f>
        <v>507278</v>
      </c>
      <c r="C1746" s="2" t="s">
        <v>573</v>
      </c>
      <c r="D1746" s="2" t="str">
        <f t="shared" si="26"/>
        <v>Error?</v>
      </c>
    </row>
    <row r="1747" spans="1:5" x14ac:dyDescent="0.2">
      <c r="A1747" s="5">
        <v>1686</v>
      </c>
      <c r="B1747" s="138">
        <f>'Tax Sched 23'!B7</f>
        <v>285703</v>
      </c>
      <c r="C1747" s="2" t="s">
        <v>573</v>
      </c>
      <c r="D1747" s="2" t="str">
        <f t="shared" si="26"/>
        <v>Error?</v>
      </c>
    </row>
    <row r="1748" spans="1:5" x14ac:dyDescent="0.2">
      <c r="A1748" s="5">
        <v>1687</v>
      </c>
      <c r="B1748" s="138">
        <f>'Tax Sched 23'!B8</f>
        <v>121917</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37590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8065302</v>
      </c>
      <c r="C1759" s="2" t="s">
        <v>573</v>
      </c>
      <c r="D1759" s="2" t="str">
        <f t="shared" si="26"/>
        <v>Error?</v>
      </c>
    </row>
    <row r="1760" spans="1:5" x14ac:dyDescent="0.2">
      <c r="A1760" s="5">
        <v>1699</v>
      </c>
      <c r="B1760" s="138">
        <f>'Tax Sched 23'!D4</f>
        <v>4467204</v>
      </c>
      <c r="C1760" s="2" t="s">
        <v>573</v>
      </c>
      <c r="D1760" s="2" t="str">
        <f t="shared" si="26"/>
        <v>Error?</v>
      </c>
    </row>
    <row r="1761" spans="1:5" x14ac:dyDescent="0.2">
      <c r="A1761" s="5">
        <v>1700</v>
      </c>
      <c r="B1761" s="138">
        <f>'Tax Sched 23'!D5</f>
        <v>581305</v>
      </c>
      <c r="C1761" s="2" t="s">
        <v>573</v>
      </c>
      <c r="D1761" s="2" t="str">
        <f t="shared" si="26"/>
        <v>Error?</v>
      </c>
    </row>
    <row r="1762" spans="1:5" s="8" customFormat="1" x14ac:dyDescent="0.2">
      <c r="A1762" s="5">
        <v>1701</v>
      </c>
      <c r="B1762" s="138">
        <f>'Tax Sched 23'!D6</f>
        <v>376465</v>
      </c>
      <c r="C1762" s="2" t="s">
        <v>573</v>
      </c>
      <c r="D1762" s="2" t="str">
        <f t="shared" si="26"/>
        <v>Error?</v>
      </c>
      <c r="E1762" s="9"/>
    </row>
    <row r="1763" spans="1:5" x14ac:dyDescent="0.2">
      <c r="A1763" s="5">
        <v>1702</v>
      </c>
      <c r="B1763" s="138">
        <f>'Tax Sched 23'!D7</f>
        <v>207608</v>
      </c>
      <c r="C1763" s="2" t="s">
        <v>573</v>
      </c>
      <c r="D1763" s="2" t="str">
        <f t="shared" si="26"/>
        <v>Error?</v>
      </c>
    </row>
    <row r="1764" spans="1:5" x14ac:dyDescent="0.2">
      <c r="A1764" s="5">
        <v>1703</v>
      </c>
      <c r="B1764" s="138">
        <f>'Tax Sched 23'!D8</f>
        <v>96887</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27679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5937076</v>
      </c>
      <c r="C1775" s="2" t="s">
        <v>573</v>
      </c>
      <c r="D1775" s="2" t="str">
        <f t="shared" si="26"/>
        <v>Error?</v>
      </c>
    </row>
    <row r="1776" spans="1:5" x14ac:dyDescent="0.2">
      <c r="A1776" s="5">
        <v>1715</v>
      </c>
      <c r="B1776" s="138">
        <f>'Tax Sched 23'!C4</f>
        <v>1615455</v>
      </c>
      <c r="D1776" s="2" t="str">
        <f t="shared" si="26"/>
        <v>Error?</v>
      </c>
    </row>
    <row r="1777" spans="1:4" x14ac:dyDescent="0.2">
      <c r="A1777" s="5">
        <v>1716</v>
      </c>
      <c r="B1777" s="138">
        <f>'Tax Sched 23'!C5</f>
        <v>213108</v>
      </c>
      <c r="D1777" s="2" t="str">
        <f t="shared" si="26"/>
        <v>Error?</v>
      </c>
    </row>
    <row r="1778" spans="1:4" x14ac:dyDescent="0.2">
      <c r="A1778" s="5">
        <v>1717</v>
      </c>
      <c r="B1778" s="138">
        <f>'Tax Sched 23'!C6</f>
        <v>130813</v>
      </c>
      <c r="D1778" s="2" t="str">
        <f t="shared" si="26"/>
        <v>Error?</v>
      </c>
    </row>
    <row r="1779" spans="1:4" x14ac:dyDescent="0.2">
      <c r="A1779" s="5">
        <v>1718</v>
      </c>
      <c r="B1779" s="138">
        <f>'Tax Sched 23'!C7</f>
        <v>78095</v>
      </c>
      <c r="D1779" s="2" t="str">
        <f t="shared" si="26"/>
        <v>Error?</v>
      </c>
    </row>
    <row r="1780" spans="1:4" x14ac:dyDescent="0.2">
      <c r="A1780" s="5">
        <v>1719</v>
      </c>
      <c r="B1780" s="138">
        <f>'Tax Sched 23'!C8</f>
        <v>25030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9911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2128226</v>
      </c>
      <c r="C1791" s="2" t="s">
        <v>573</v>
      </c>
      <c r="D1791" s="2" t="str">
        <f t="shared" ref="D1791:D1854" si="27">IF(ISBLANK(B1791),"OK",IF(A1791-B1791=0,"OK","Error?"))</f>
        <v>Error?</v>
      </c>
    </row>
    <row r="1792" spans="1:4" x14ac:dyDescent="0.2">
      <c r="A1792" s="5">
        <v>1731</v>
      </c>
      <c r="B1792" s="138">
        <f>'Tax Sched 23'!F4</f>
        <v>8556202</v>
      </c>
      <c r="C1792" s="2" t="s">
        <v>573</v>
      </c>
      <c r="D1792" s="2" t="str">
        <f t="shared" si="27"/>
        <v>Error?</v>
      </c>
    </row>
    <row r="1793" spans="1:4" x14ac:dyDescent="0.2">
      <c r="A1793" s="5">
        <v>1732</v>
      </c>
      <c r="B1793" s="138">
        <f>'Tax Sched 23'!F5</f>
        <v>1128719</v>
      </c>
      <c r="C1793" s="2" t="s">
        <v>573</v>
      </c>
      <c r="D1793" s="2" t="str">
        <f t="shared" si="27"/>
        <v>Error?</v>
      </c>
    </row>
    <row r="1794" spans="1:4" x14ac:dyDescent="0.2">
      <c r="A1794" s="5">
        <v>1733</v>
      </c>
      <c r="B1794" s="138">
        <f>'Tax Sched 23'!F6</f>
        <v>692817</v>
      </c>
      <c r="C1794" s="2" t="s">
        <v>573</v>
      </c>
      <c r="D1794" s="2" t="str">
        <f t="shared" si="27"/>
        <v>Error?</v>
      </c>
    </row>
    <row r="1795" spans="1:4" x14ac:dyDescent="0.2">
      <c r="A1795" s="5">
        <v>1734</v>
      </c>
      <c r="B1795" s="138">
        <f>'Tax Sched 23'!F7</f>
        <v>413624</v>
      </c>
      <c r="C1795" s="2" t="s">
        <v>573</v>
      </c>
      <c r="D1795" s="2" t="str">
        <f t="shared" si="27"/>
        <v>Error?</v>
      </c>
    </row>
    <row r="1796" spans="1:4" x14ac:dyDescent="0.2">
      <c r="A1796" s="5">
        <v>1735</v>
      </c>
      <c r="B1796" s="138">
        <f>'Tax Sched 23'!F8</f>
        <v>132572</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52500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11272073</v>
      </c>
      <c r="C1807" s="2" t="s">
        <v>573</v>
      </c>
      <c r="D1807" s="2" t="str">
        <f t="shared" si="27"/>
        <v>Error?</v>
      </c>
    </row>
    <row r="1808" spans="1:4" x14ac:dyDescent="0.2">
      <c r="A1808" s="5">
        <v>1747</v>
      </c>
      <c r="B1808" s="138">
        <f>'Tax Sched 23'!E4</f>
        <v>10171657</v>
      </c>
      <c r="D1808" s="2" t="str">
        <f t="shared" si="27"/>
        <v>Error?</v>
      </c>
    </row>
    <row r="1809" spans="1:4" x14ac:dyDescent="0.2">
      <c r="A1809" s="5">
        <v>1748</v>
      </c>
      <c r="B1809" s="138">
        <f>'Tax Sched 23'!E5</f>
        <v>1341827</v>
      </c>
      <c r="D1809" s="2" t="str">
        <f t="shared" si="27"/>
        <v>Error?</v>
      </c>
    </row>
    <row r="1810" spans="1:4" x14ac:dyDescent="0.2">
      <c r="A1810" s="5">
        <v>1749</v>
      </c>
      <c r="B1810" s="138">
        <f>'Tax Sched 23'!E6</f>
        <v>823630</v>
      </c>
      <c r="D1810" s="2" t="str">
        <f t="shared" si="27"/>
        <v>Error?</v>
      </c>
    </row>
    <row r="1811" spans="1:4" x14ac:dyDescent="0.2">
      <c r="A1811" s="5">
        <v>1750</v>
      </c>
      <c r="B1811" s="138">
        <f>'Tax Sched 23'!E7</f>
        <v>491719</v>
      </c>
      <c r="D1811" s="2" t="str">
        <f t="shared" si="27"/>
        <v>Error?</v>
      </c>
    </row>
    <row r="1812" spans="1:4" x14ac:dyDescent="0.2">
      <c r="A1812" s="5">
        <v>1751</v>
      </c>
      <c r="B1812" s="138">
        <f>'Tax Sched 23'!E8</f>
        <v>157602</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62411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13400299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3505000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37590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37590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37590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1146728</v>
      </c>
      <c r="D2008" s="2" t="str">
        <f t="shared" si="30"/>
        <v>Error?</v>
      </c>
    </row>
    <row r="2009" spans="1:4" x14ac:dyDescent="0.2">
      <c r="A2009" s="5">
        <v>1948</v>
      </c>
      <c r="B2009" s="138">
        <f>'Cap Outlay Deprec 26'!C8</f>
        <v>25118400</v>
      </c>
      <c r="D2009" s="2" t="str">
        <f t="shared" si="30"/>
        <v>Error?</v>
      </c>
    </row>
    <row r="2010" spans="1:4" x14ac:dyDescent="0.2">
      <c r="A2010" s="5">
        <v>1949</v>
      </c>
      <c r="B2010" s="138">
        <f>'Cap Outlay Deprec 26'!C10</f>
        <v>2247490</v>
      </c>
      <c r="D2010" s="2" t="str">
        <f t="shared" si="30"/>
        <v>Error?</v>
      </c>
    </row>
    <row r="2011" spans="1:4" x14ac:dyDescent="0.2">
      <c r="A2011" s="5">
        <v>1950</v>
      </c>
      <c r="B2011" s="138">
        <f>'Cap Outlay Deprec 26'!C12</f>
        <v>3354053</v>
      </c>
      <c r="D2011" s="2" t="str">
        <f t="shared" si="30"/>
        <v>Error?</v>
      </c>
    </row>
    <row r="2012" spans="1:4" x14ac:dyDescent="0.2">
      <c r="A2012" s="5">
        <v>1951</v>
      </c>
      <c r="B2012" s="138">
        <f>'Cap Outlay Deprec 26'!C13</f>
        <v>489922</v>
      </c>
      <c r="D2012" s="2" t="str">
        <f t="shared" si="30"/>
        <v>Error?</v>
      </c>
    </row>
    <row r="2013" spans="1:4" x14ac:dyDescent="0.2">
      <c r="A2013" s="5">
        <v>1952</v>
      </c>
      <c r="B2013" s="138">
        <f>'Cap Outlay Deprec 26'!C16</f>
        <v>32363599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269370</v>
      </c>
      <c r="D2015" s="2" t="str">
        <f t="shared" si="30"/>
        <v>Error?</v>
      </c>
    </row>
    <row r="2016" spans="1:4" x14ac:dyDescent="0.2">
      <c r="A2016" s="5">
        <v>1955</v>
      </c>
      <c r="B2016" s="138">
        <f>'Cap Outlay Deprec 26'!D10</f>
        <v>22337</v>
      </c>
      <c r="D2016" s="2" t="str">
        <f t="shared" si="30"/>
        <v>Error?</v>
      </c>
    </row>
    <row r="2017" spans="1:4" x14ac:dyDescent="0.2">
      <c r="A2017" s="5">
        <v>1956</v>
      </c>
      <c r="B2017" s="138">
        <f>'Cap Outlay Deprec 26'!D12</f>
        <v>282299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574006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120531</v>
      </c>
      <c r="D2024" s="2" t="str">
        <f t="shared" si="30"/>
        <v>Error?</v>
      </c>
    </row>
    <row r="2025" spans="1:4" x14ac:dyDescent="0.2">
      <c r="A2025" s="5">
        <v>1964</v>
      </c>
      <c r="B2025" s="138">
        <f>'Cap Outlay Deprec 26'!E16</f>
        <v>120531</v>
      </c>
      <c r="C2025" s="2" t="s">
        <v>573</v>
      </c>
      <c r="D2025" s="2" t="str">
        <f t="shared" si="30"/>
        <v>Error?</v>
      </c>
    </row>
    <row r="2026" spans="1:4" x14ac:dyDescent="0.2">
      <c r="A2026" s="5">
        <v>1965</v>
      </c>
      <c r="B2026" s="138">
        <f>'Cap Outlay Deprec 26'!F5</f>
        <v>1146728</v>
      </c>
      <c r="C2026" s="2" t="s">
        <v>573</v>
      </c>
      <c r="D2026" s="2" t="str">
        <f t="shared" si="30"/>
        <v>Error?</v>
      </c>
    </row>
    <row r="2027" spans="1:4" x14ac:dyDescent="0.2">
      <c r="A2027" s="5">
        <v>1966</v>
      </c>
      <c r="B2027" s="138">
        <f>'Cap Outlay Deprec 26'!F8</f>
        <v>25387770</v>
      </c>
      <c r="C2027" s="2" t="s">
        <v>573</v>
      </c>
      <c r="D2027" s="2" t="str">
        <f t="shared" si="30"/>
        <v>Error?</v>
      </c>
    </row>
    <row r="2028" spans="1:4" x14ac:dyDescent="0.2">
      <c r="A2028" s="5">
        <v>1967</v>
      </c>
      <c r="B2028" s="138">
        <f>'Cap Outlay Deprec 26'!F10</f>
        <v>2269827</v>
      </c>
      <c r="C2028" s="2" t="s">
        <v>573</v>
      </c>
      <c r="D2028" s="2" t="str">
        <f t="shared" si="30"/>
        <v>Error?</v>
      </c>
    </row>
    <row r="2029" spans="1:4" x14ac:dyDescent="0.2">
      <c r="A2029" s="5">
        <v>1968</v>
      </c>
      <c r="B2029" s="138">
        <f>'Cap Outlay Deprec 26'!F12</f>
        <v>3636352</v>
      </c>
      <c r="C2029" s="2" t="s">
        <v>573</v>
      </c>
      <c r="D2029" s="2" t="str">
        <f t="shared" si="30"/>
        <v>Error?</v>
      </c>
    </row>
    <row r="2030" spans="1:4" x14ac:dyDescent="0.2">
      <c r="A2030" s="5">
        <v>1969</v>
      </c>
      <c r="B2030" s="138">
        <f>'Cap Outlay Deprec 26'!F13</f>
        <v>369391</v>
      </c>
      <c r="C2030" s="2" t="s">
        <v>573</v>
      </c>
      <c r="D2030" s="2" t="str">
        <f t="shared" si="30"/>
        <v>Error?</v>
      </c>
    </row>
    <row r="2031" spans="1:4" x14ac:dyDescent="0.2">
      <c r="A2031" s="5">
        <v>1970</v>
      </c>
      <c r="B2031" s="138">
        <f>'Cap Outlay Deprec 26'!F16</f>
        <v>32817074</v>
      </c>
      <c r="C2031" s="2" t="s">
        <v>573</v>
      </c>
      <c r="D2031" s="2" t="str">
        <f t="shared" si="30"/>
        <v>Error?</v>
      </c>
    </row>
    <row r="2032" spans="1:4" x14ac:dyDescent="0.2">
      <c r="A2032" s="10">
        <v>1971</v>
      </c>
      <c r="D2032" s="2" t="str">
        <f t="shared" si="30"/>
        <v>OK</v>
      </c>
    </row>
    <row r="2033" spans="1:4" x14ac:dyDescent="0.2">
      <c r="A2033" s="5">
        <v>1972</v>
      </c>
      <c r="B2033" s="138">
        <f>'Cap Outlay Deprec 26'!H8</f>
        <v>8484250</v>
      </c>
      <c r="D2033" s="2" t="str">
        <f t="shared" si="30"/>
        <v>Error?</v>
      </c>
    </row>
    <row r="2034" spans="1:4" x14ac:dyDescent="0.2">
      <c r="A2034" s="5">
        <v>1973</v>
      </c>
      <c r="B2034" s="138">
        <f>'Cap Outlay Deprec 26'!H10</f>
        <v>1130091</v>
      </c>
      <c r="D2034" s="2" t="str">
        <f t="shared" si="30"/>
        <v>Error?</v>
      </c>
    </row>
    <row r="2035" spans="1:4" x14ac:dyDescent="0.2">
      <c r="A2035" s="5">
        <v>1974</v>
      </c>
      <c r="B2035" s="138">
        <f>'Cap Outlay Deprec 26'!H12</f>
        <v>3042156</v>
      </c>
      <c r="D2035" s="2" t="str">
        <f t="shared" si="30"/>
        <v>Error?</v>
      </c>
    </row>
    <row r="2036" spans="1:4" x14ac:dyDescent="0.2">
      <c r="A2036" s="5">
        <v>1975</v>
      </c>
      <c r="B2036" s="138">
        <f>'Cap Outlay Deprec 26'!H13</f>
        <v>447812</v>
      </c>
      <c r="D2036" s="2" t="str">
        <f t="shared" si="30"/>
        <v>Error?</v>
      </c>
    </row>
    <row r="2037" spans="1:4" x14ac:dyDescent="0.2">
      <c r="A2037" s="5">
        <v>1976</v>
      </c>
      <c r="B2037" s="138">
        <f>'Cap Outlay Deprec 26'!H16</f>
        <v>13105429</v>
      </c>
      <c r="C2037" s="2" t="s">
        <v>573</v>
      </c>
      <c r="D2037" s="2" t="str">
        <f t="shared" si="30"/>
        <v>Error?</v>
      </c>
    </row>
    <row r="2038" spans="1:4" x14ac:dyDescent="0.2">
      <c r="A2038" s="10">
        <v>1977</v>
      </c>
      <c r="D2038" s="2" t="str">
        <f t="shared" si="30"/>
        <v>OK</v>
      </c>
    </row>
    <row r="2039" spans="1:4" x14ac:dyDescent="0.2">
      <c r="A2039" s="5">
        <v>1978</v>
      </c>
      <c r="B2039" s="138">
        <f>'Cap Outlay Deprec 26'!I8</f>
        <v>506016</v>
      </c>
      <c r="D2039" s="2" t="str">
        <f t="shared" si="30"/>
        <v>Error?</v>
      </c>
    </row>
    <row r="2040" spans="1:4" x14ac:dyDescent="0.2">
      <c r="A2040" s="5">
        <v>1979</v>
      </c>
      <c r="B2040" s="138">
        <f>'Cap Outlay Deprec 26'!I10</f>
        <v>112375</v>
      </c>
      <c r="D2040" s="2" t="str">
        <f t="shared" si="30"/>
        <v>Error?</v>
      </c>
    </row>
    <row r="2041" spans="1:4" x14ac:dyDescent="0.2">
      <c r="A2041" s="5">
        <v>1980</v>
      </c>
      <c r="B2041" s="138">
        <f>'Cap Outlay Deprec 26'!I12</f>
        <v>40827</v>
      </c>
      <c r="D2041" s="2" t="str">
        <f t="shared" si="30"/>
        <v>Error?</v>
      </c>
    </row>
    <row r="2042" spans="1:4" x14ac:dyDescent="0.2">
      <c r="A2042" s="5">
        <v>1981</v>
      </c>
      <c r="B2042" s="138">
        <f>'Cap Outlay Deprec 26'!I13</f>
        <v>42110</v>
      </c>
      <c r="D2042" s="2" t="str">
        <f t="shared" si="30"/>
        <v>Error?</v>
      </c>
    </row>
    <row r="2043" spans="1:4" x14ac:dyDescent="0.2">
      <c r="A2043" s="5">
        <v>1982</v>
      </c>
      <c r="B2043" s="138">
        <f>'Cap Outlay Deprec 26'!I16</f>
        <v>701678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120531</v>
      </c>
      <c r="D2048" s="2" t="str">
        <f t="shared" si="31"/>
        <v>Error?</v>
      </c>
    </row>
    <row r="2049" spans="1:4" x14ac:dyDescent="0.2">
      <c r="A2049" s="5">
        <v>1988</v>
      </c>
      <c r="B2049" s="138">
        <f>'Cap Outlay Deprec 26'!J16</f>
        <v>120531</v>
      </c>
      <c r="C2049" s="2" t="s">
        <v>573</v>
      </c>
      <c r="D2049" s="2" t="str">
        <f t="shared" si="31"/>
        <v>Error?</v>
      </c>
    </row>
    <row r="2050" spans="1:4" x14ac:dyDescent="0.2">
      <c r="A2050" s="10">
        <v>1989</v>
      </c>
      <c r="D2050" s="2" t="str">
        <f t="shared" si="31"/>
        <v>OK</v>
      </c>
    </row>
    <row r="2051" spans="1:4" x14ac:dyDescent="0.2">
      <c r="A2051" s="5">
        <v>1990</v>
      </c>
      <c r="B2051" s="138">
        <f>'Cap Outlay Deprec 26'!K8</f>
        <v>8990266</v>
      </c>
      <c r="C2051" s="2" t="s">
        <v>573</v>
      </c>
      <c r="D2051" s="2" t="str">
        <f t="shared" si="31"/>
        <v>Error?</v>
      </c>
    </row>
    <row r="2052" spans="1:4" x14ac:dyDescent="0.2">
      <c r="A2052" s="5">
        <v>1991</v>
      </c>
      <c r="B2052" s="138">
        <f>'Cap Outlay Deprec 26'!K10</f>
        <v>1242466</v>
      </c>
      <c r="C2052" s="2" t="s">
        <v>573</v>
      </c>
      <c r="D2052" s="2" t="str">
        <f t="shared" si="31"/>
        <v>Error?</v>
      </c>
    </row>
    <row r="2053" spans="1:4" x14ac:dyDescent="0.2">
      <c r="A2053" s="5">
        <v>1992</v>
      </c>
      <c r="B2053" s="138">
        <f>'Cap Outlay Deprec 26'!K12</f>
        <v>3082983</v>
      </c>
      <c r="C2053" s="2" t="s">
        <v>573</v>
      </c>
      <c r="D2053" s="2" t="str">
        <f t="shared" si="31"/>
        <v>Error?</v>
      </c>
    </row>
    <row r="2054" spans="1:4" x14ac:dyDescent="0.2">
      <c r="A2054" s="5">
        <v>1993</v>
      </c>
      <c r="B2054" s="138">
        <f>'Cap Outlay Deprec 26'!K13</f>
        <v>369391</v>
      </c>
      <c r="C2054" s="2" t="s">
        <v>573</v>
      </c>
      <c r="D2054" s="2" t="str">
        <f t="shared" si="31"/>
        <v>Error?</v>
      </c>
    </row>
    <row r="2055" spans="1:4" x14ac:dyDescent="0.2">
      <c r="A2055" s="5">
        <v>1994</v>
      </c>
      <c r="B2055" s="138">
        <f>'Cap Outlay Deprec 26'!K16</f>
        <v>13686576</v>
      </c>
      <c r="C2055" s="2" t="s">
        <v>573</v>
      </c>
      <c r="D2055" s="2" t="str">
        <f t="shared" si="31"/>
        <v>Error?</v>
      </c>
    </row>
    <row r="2056" spans="1:4" x14ac:dyDescent="0.2">
      <c r="A2056" s="5">
        <v>1995</v>
      </c>
      <c r="B2056" s="138">
        <f>'Cap Outlay Deprec 26'!L5</f>
        <v>1146728</v>
      </c>
      <c r="C2056" s="2" t="s">
        <v>573</v>
      </c>
      <c r="D2056" s="2" t="str">
        <f t="shared" si="31"/>
        <v>Error?</v>
      </c>
    </row>
    <row r="2057" spans="1:4" x14ac:dyDescent="0.2">
      <c r="A2057" s="5">
        <v>1996</v>
      </c>
      <c r="B2057" s="138">
        <f>'Cap Outlay Deprec 26'!L8</f>
        <v>16397504</v>
      </c>
      <c r="C2057" s="2" t="s">
        <v>573</v>
      </c>
      <c r="D2057" s="2" t="str">
        <f t="shared" si="31"/>
        <v>Error?</v>
      </c>
    </row>
    <row r="2058" spans="1:4" x14ac:dyDescent="0.2">
      <c r="A2058" s="5">
        <v>1997</v>
      </c>
      <c r="B2058" s="138">
        <f>'Cap Outlay Deprec 26'!L10</f>
        <v>1027361</v>
      </c>
      <c r="C2058" s="2" t="s">
        <v>573</v>
      </c>
      <c r="D2058" s="2" t="str">
        <f t="shared" si="31"/>
        <v>Error?</v>
      </c>
    </row>
    <row r="2059" spans="1:4" x14ac:dyDescent="0.2">
      <c r="A2059" s="5">
        <v>1998</v>
      </c>
      <c r="B2059" s="138">
        <f>'Cap Outlay Deprec 26'!L12</f>
        <v>553369</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19130498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315906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263480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7292815</v>
      </c>
      <c r="C2551" s="2" t="s">
        <v>573</v>
      </c>
      <c r="D2551" s="2" t="str">
        <f t="shared" si="38"/>
        <v>Error?</v>
      </c>
    </row>
    <row r="2552" spans="1:4" x14ac:dyDescent="0.2">
      <c r="A2552" s="10">
        <v>2491</v>
      </c>
      <c r="D2552" s="2" t="str">
        <f t="shared" si="38"/>
        <v>OK</v>
      </c>
    </row>
    <row r="2553" spans="1:4" x14ac:dyDescent="0.2">
      <c r="A2553" s="5">
        <v>2492</v>
      </c>
      <c r="B2553" s="138">
        <f>'Acct Summary 7-8'!C6</f>
        <v>4401045</v>
      </c>
      <c r="C2553" s="2" t="s">
        <v>573</v>
      </c>
      <c r="D2553" s="2" t="str">
        <f t="shared" si="38"/>
        <v>Error?</v>
      </c>
    </row>
    <row r="2554" spans="1:4" x14ac:dyDescent="0.2">
      <c r="A2554" s="5">
        <v>2493</v>
      </c>
      <c r="B2554" s="138">
        <f>'Acct Summary 7-8'!C7</f>
        <v>535928</v>
      </c>
      <c r="C2554" s="2" t="s">
        <v>573</v>
      </c>
      <c r="D2554" s="2" t="str">
        <f t="shared" si="38"/>
        <v>Error?</v>
      </c>
    </row>
    <row r="2555" spans="1:4" x14ac:dyDescent="0.2">
      <c r="A2555" s="5">
        <v>2494</v>
      </c>
      <c r="B2555" s="138">
        <f>'Acct Summary 7-8'!C8</f>
        <v>12229788</v>
      </c>
      <c r="C2555" s="2" t="s">
        <v>573</v>
      </c>
      <c r="D2555" s="2" t="str">
        <f t="shared" si="38"/>
        <v>Error?</v>
      </c>
    </row>
    <row r="2556" spans="1:4" x14ac:dyDescent="0.2">
      <c r="A2556" s="5">
        <v>2495</v>
      </c>
      <c r="B2556" s="138">
        <f>'Acct Summary 7-8'!C12</f>
        <v>9988144</v>
      </c>
      <c r="C2556" s="2" t="s">
        <v>573</v>
      </c>
      <c r="D2556" s="2" t="str">
        <f t="shared" si="38"/>
        <v>Error?</v>
      </c>
    </row>
    <row r="2557" spans="1:4" x14ac:dyDescent="0.2">
      <c r="A2557" s="5">
        <v>2496</v>
      </c>
      <c r="B2557" s="138">
        <f>'Acct Summary 7-8'!C13</f>
        <v>3776984</v>
      </c>
      <c r="C2557" s="2" t="s">
        <v>573</v>
      </c>
      <c r="D2557" s="2" t="str">
        <f t="shared" si="38"/>
        <v>Error?</v>
      </c>
    </row>
    <row r="2558" spans="1:4" x14ac:dyDescent="0.2">
      <c r="A2558" s="5">
        <v>2497</v>
      </c>
      <c r="B2558" s="138">
        <f>'Acct Summary 7-8'!C14</f>
        <v>134356</v>
      </c>
      <c r="C2558" s="2" t="s">
        <v>573</v>
      </c>
      <c r="D2558" s="2" t="str">
        <f t="shared" si="38"/>
        <v>Error?</v>
      </c>
    </row>
    <row r="2559" spans="1:4" x14ac:dyDescent="0.2">
      <c r="A2559" s="5">
        <v>2498</v>
      </c>
      <c r="B2559" s="138">
        <f>'Acct Summary 7-8'!C15</f>
        <v>315906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14215390</v>
      </c>
      <c r="C2561" s="2" t="s">
        <v>573</v>
      </c>
      <c r="D2561" s="2" t="str">
        <f t="shared" si="39"/>
        <v>Error?</v>
      </c>
    </row>
    <row r="2562" spans="1:4" x14ac:dyDescent="0.2">
      <c r="A2562" s="5">
        <v>2501</v>
      </c>
      <c r="B2562" s="138">
        <f>'Acct Summary 7-8'!C20</f>
        <v>-1985602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1333392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1333392</v>
      </c>
      <c r="C2568" s="2" t="s">
        <v>573</v>
      </c>
      <c r="D2568" s="2" t="str">
        <f t="shared" si="39"/>
        <v>Error?</v>
      </c>
    </row>
    <row r="2569" spans="1:4" x14ac:dyDescent="0.2">
      <c r="A2569" s="5">
        <v>2508</v>
      </c>
      <c r="B2569" s="138">
        <f>'Acct Summary 7-8'!D13</f>
        <v>1233378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1233378</v>
      </c>
      <c r="C2573" s="2" t="s">
        <v>573</v>
      </c>
      <c r="D2573" s="2" t="str">
        <f t="shared" si="39"/>
        <v>Error?</v>
      </c>
    </row>
    <row r="2574" spans="1:4" x14ac:dyDescent="0.2">
      <c r="A2574" s="5">
        <v>2513</v>
      </c>
      <c r="B2574" s="138">
        <f>'Acct Summary 7-8'!D20</f>
        <v>100014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319669</v>
      </c>
      <c r="C2591" s="2" t="s">
        <v>573</v>
      </c>
      <c r="D2591" s="2" t="str">
        <f t="shared" si="39"/>
        <v>Error?</v>
      </c>
    </row>
    <row r="2592" spans="1:4" x14ac:dyDescent="0.2">
      <c r="A2592" s="10">
        <v>2531</v>
      </c>
      <c r="D2592" s="2" t="str">
        <f t="shared" si="39"/>
        <v>OK</v>
      </c>
    </row>
    <row r="2593" spans="1:4" x14ac:dyDescent="0.2">
      <c r="A2593" s="5">
        <v>2532</v>
      </c>
      <c r="B2593" s="138">
        <f>'Acct Summary 7-8'!F6</f>
        <v>465041</v>
      </c>
      <c r="C2593" s="2" t="s">
        <v>573</v>
      </c>
      <c r="D2593" s="2" t="str">
        <f t="shared" si="39"/>
        <v>Error?</v>
      </c>
    </row>
    <row r="2594" spans="1:4" x14ac:dyDescent="0.2">
      <c r="A2594" s="5">
        <v>2533</v>
      </c>
      <c r="B2594" s="138">
        <f>'Acct Summary 7-8'!F7</f>
        <v>15250</v>
      </c>
      <c r="C2594" s="2" t="s">
        <v>573</v>
      </c>
      <c r="D2594" s="2" t="str">
        <f t="shared" si="39"/>
        <v>Error?</v>
      </c>
    </row>
    <row r="2595" spans="1:4" x14ac:dyDescent="0.2">
      <c r="A2595" s="5">
        <v>2534</v>
      </c>
      <c r="B2595" s="138">
        <f>'Acct Summary 7-8'!F8</f>
        <v>799960</v>
      </c>
      <c r="C2595" s="2" t="s">
        <v>573</v>
      </c>
      <c r="D2595" s="2" t="str">
        <f t="shared" si="39"/>
        <v>Error?</v>
      </c>
    </row>
    <row r="2596" spans="1:4" x14ac:dyDescent="0.2">
      <c r="A2596" s="5">
        <v>2535</v>
      </c>
      <c r="B2596" s="138">
        <f>'Acct Summary 7-8'!F13</f>
        <v>1002018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1002018</v>
      </c>
      <c r="C2600" s="2" t="s">
        <v>573</v>
      </c>
      <c r="D2600" s="2" t="str">
        <f t="shared" si="39"/>
        <v>Error?</v>
      </c>
    </row>
    <row r="2601" spans="1:4" x14ac:dyDescent="0.2">
      <c r="A2601" s="5">
        <v>2540</v>
      </c>
      <c r="B2601" s="138">
        <f>'Acct Summary 7-8'!F20</f>
        <v>-202058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306079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306079</v>
      </c>
      <c r="C2606" s="2" t="s">
        <v>573</v>
      </c>
      <c r="D2606" s="2" t="str">
        <f t="shared" si="39"/>
        <v>Error?</v>
      </c>
    </row>
    <row r="2607" spans="1:4" x14ac:dyDescent="0.2">
      <c r="A2607" s="5">
        <v>2546</v>
      </c>
      <c r="B2607" s="138">
        <f>'Acct Summary 7-8'!G12</f>
        <v>190891</v>
      </c>
      <c r="C2607" s="2" t="s">
        <v>573</v>
      </c>
      <c r="D2607" s="2" t="str">
        <f t="shared" si="39"/>
        <v>Error?</v>
      </c>
    </row>
    <row r="2608" spans="1:4" x14ac:dyDescent="0.2">
      <c r="A2608" s="5">
        <v>2547</v>
      </c>
      <c r="B2608" s="138">
        <f>'Acct Summary 7-8'!G13</f>
        <v>195297</v>
      </c>
      <c r="C2608" s="2" t="s">
        <v>573</v>
      </c>
      <c r="D2608" s="2" t="str">
        <f t="shared" si="39"/>
        <v>Error?</v>
      </c>
    </row>
    <row r="2609" spans="1:4" x14ac:dyDescent="0.2">
      <c r="A2609" s="5">
        <v>2548</v>
      </c>
      <c r="B2609" s="138">
        <f>'Acct Summary 7-8'!G14</f>
        <v>13406</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399594</v>
      </c>
      <c r="C2612" s="2" t="s">
        <v>573</v>
      </c>
      <c r="D2612" s="2" t="str">
        <f t="shared" si="39"/>
        <v>Error?</v>
      </c>
    </row>
    <row r="2613" spans="1:4" x14ac:dyDescent="0.2">
      <c r="A2613" s="5">
        <v>2552</v>
      </c>
      <c r="B2613" s="138">
        <f>'Acct Summary 7-8'!G20</f>
        <v>-93515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523910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523910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830797</v>
      </c>
      <c r="C2634" s="2" t="s">
        <v>573</v>
      </c>
      <c r="D2634" s="2" t="str">
        <f t="shared" si="40"/>
        <v>Error?</v>
      </c>
    </row>
    <row r="2635" spans="1:4" x14ac:dyDescent="0.2">
      <c r="A2635" s="5">
        <v>2574</v>
      </c>
      <c r="B2635" s="138">
        <f>'Acct Summary 7-8'!E17</f>
        <v>830797</v>
      </c>
      <c r="C2635" s="2" t="s">
        <v>573</v>
      </c>
      <c r="D2635" s="2" t="str">
        <f t="shared" si="40"/>
        <v>Error?</v>
      </c>
    </row>
    <row r="2636" spans="1:4" x14ac:dyDescent="0.2">
      <c r="A2636" s="5">
        <v>2575</v>
      </c>
      <c r="B2636" s="138">
        <f>'Acct Summary 7-8'!E20</f>
        <v>-306887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84235</v>
      </c>
      <c r="D2718" s="2" t="str">
        <f t="shared" si="41"/>
        <v>Error?</v>
      </c>
    </row>
    <row r="2719" spans="1:4" x14ac:dyDescent="0.2">
      <c r="A2719" s="5">
        <v>2658</v>
      </c>
      <c r="B2719" s="138">
        <f>'Expenditures 15-22'!D51</f>
        <v>37669</v>
      </c>
      <c r="D2719" s="2" t="str">
        <f t="shared" si="41"/>
        <v>Error?</v>
      </c>
    </row>
    <row r="2720" spans="1:4" x14ac:dyDescent="0.2">
      <c r="A2720" s="5">
        <v>2659</v>
      </c>
      <c r="B2720" s="138">
        <f>'Expenditures 15-22'!E51</f>
        <v>500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959</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123363</v>
      </c>
      <c r="C2724" s="2" t="s">
        <v>573</v>
      </c>
      <c r="D2724" s="2" t="str">
        <f t="shared" si="41"/>
        <v>Error?</v>
      </c>
    </row>
    <row r="2725" spans="1:4" x14ac:dyDescent="0.2">
      <c r="A2725" s="5">
        <v>2664</v>
      </c>
      <c r="B2725" s="138">
        <f>'Expenditures 15-22'!D247</f>
        <v>1341</v>
      </c>
      <c r="D2725" s="2" t="str">
        <f t="shared" si="41"/>
        <v>Error?</v>
      </c>
    </row>
    <row r="2726" spans="1:4" x14ac:dyDescent="0.2">
      <c r="A2726" s="5">
        <v>2665</v>
      </c>
      <c r="B2726" s="138">
        <f>'Expenditures 15-22'!K247</f>
        <v>1341</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315906</v>
      </c>
      <c r="C2789" s="2" t="s">
        <v>573</v>
      </c>
      <c r="D2789" s="2" t="str">
        <f t="shared" si="42"/>
        <v>Error?</v>
      </c>
    </row>
    <row r="2790" spans="1:4" x14ac:dyDescent="0.2">
      <c r="A2790" s="5">
        <v>2729</v>
      </c>
      <c r="B2790" s="138">
        <f>'Expenditures 15-22'!E102</f>
        <v>315906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1076355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1147189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89000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1147189</v>
      </c>
      <c r="D2912" s="2" t="str">
        <f t="shared" si="44"/>
        <v>Error?</v>
      </c>
    </row>
    <row r="2913" spans="1:4" x14ac:dyDescent="0.2">
      <c r="A2913" s="5">
        <v>2852</v>
      </c>
      <c r="B2913" s="138">
        <f>'Assets-Liab 5-6'!I41</f>
        <v>1147189</v>
      </c>
      <c r="C2913" s="2" t="s">
        <v>573</v>
      </c>
      <c r="D2913" s="2" t="str">
        <f t="shared" si="44"/>
        <v>Error?</v>
      </c>
    </row>
    <row r="2914" spans="1:4" x14ac:dyDescent="0.2">
      <c r="A2914" s="5">
        <v>2853</v>
      </c>
      <c r="B2914" s="138">
        <f>'Assets-Liab 5-6'!L33</f>
        <v>89000</v>
      </c>
      <c r="D2914" s="2" t="str">
        <f t="shared" si="44"/>
        <v>Error?</v>
      </c>
    </row>
    <row r="2915" spans="1:4" x14ac:dyDescent="0.2">
      <c r="A2915" s="10">
        <v>2854</v>
      </c>
      <c r="D2915" s="2" t="str">
        <f t="shared" si="44"/>
        <v>OK</v>
      </c>
    </row>
    <row r="2916" spans="1:4" x14ac:dyDescent="0.2">
      <c r="A2916" s="5">
        <v>2855</v>
      </c>
      <c r="B2916" s="138">
        <f>'Assets-Liab 5-6'!L34</f>
        <v>89000</v>
      </c>
      <c r="C2916" s="2" t="s">
        <v>573</v>
      </c>
      <c r="D2916" s="2" t="str">
        <f t="shared" si="44"/>
        <v>Error?</v>
      </c>
    </row>
    <row r="2917" spans="1:4" x14ac:dyDescent="0.2">
      <c r="A2917" s="5">
        <v>2856</v>
      </c>
      <c r="B2917" s="138">
        <f>'Assets-Liab 5-6'!L41</f>
        <v>89000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315906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315906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223635</v>
      </c>
      <c r="D3055" s="2" t="str">
        <f t="shared" si="46"/>
        <v>Error?</v>
      </c>
    </row>
    <row r="3056" spans="1:4" x14ac:dyDescent="0.2">
      <c r="A3056" s="5">
        <v>2995</v>
      </c>
      <c r="B3056" s="138">
        <f>'Expenditures 15-22'!D10</f>
        <v>39326</v>
      </c>
      <c r="D3056" s="2" t="str">
        <f t="shared" si="46"/>
        <v>Error?</v>
      </c>
    </row>
    <row r="3057" spans="1:4" x14ac:dyDescent="0.2">
      <c r="A3057" s="5">
        <v>2996</v>
      </c>
      <c r="B3057" s="138">
        <f>'Expenditures 15-22'!E10</f>
        <v>7342</v>
      </c>
      <c r="D3057" s="2" t="str">
        <f t="shared" si="46"/>
        <v>Error?</v>
      </c>
    </row>
    <row r="3058" spans="1:4" x14ac:dyDescent="0.2">
      <c r="A3058" s="5">
        <v>2997</v>
      </c>
      <c r="B3058" s="138">
        <f>'Expenditures 15-22'!F10</f>
        <v>23660</v>
      </c>
      <c r="D3058" s="2" t="str">
        <f t="shared" si="46"/>
        <v>Error?</v>
      </c>
    </row>
    <row r="3059" spans="1:4" x14ac:dyDescent="0.2">
      <c r="A3059" s="5">
        <v>2998</v>
      </c>
      <c r="B3059" s="138">
        <f>'Expenditures 15-22'!G10</f>
        <v>12821</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306784</v>
      </c>
      <c r="C3062" s="2" t="s">
        <v>573</v>
      </c>
      <c r="D3062" s="2" t="str">
        <f t="shared" si="46"/>
        <v>Error?</v>
      </c>
    </row>
    <row r="3063" spans="1:4" x14ac:dyDescent="0.2">
      <c r="A3063" s="10">
        <v>3002</v>
      </c>
      <c r="D3063" s="2" t="str">
        <f t="shared" si="46"/>
        <v>OK</v>
      </c>
    </row>
    <row r="3064" spans="1:4" x14ac:dyDescent="0.2">
      <c r="A3064" s="5">
        <v>3003</v>
      </c>
      <c r="B3064" s="138">
        <f>'Expenditures 15-22'!D219</f>
        <v>3243</v>
      </c>
      <c r="D3064" s="2" t="str">
        <f t="shared" si="46"/>
        <v>Error?</v>
      </c>
    </row>
    <row r="3065" spans="1:4" x14ac:dyDescent="0.2">
      <c r="A3065" s="5">
        <v>3004</v>
      </c>
      <c r="B3065" s="138">
        <f>'Expenditures 15-22'!K219</f>
        <v>3243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24827</v>
      </c>
      <c r="C3225" s="2" t="s">
        <v>573</v>
      </c>
      <c r="D3225" s="2" t="str">
        <f t="shared" si="49"/>
        <v>Error?</v>
      </c>
    </row>
    <row r="3226" spans="1:4" x14ac:dyDescent="0.2">
      <c r="A3226" s="5">
        <v>3165</v>
      </c>
      <c r="B3226" s="138">
        <f>'Acct Summary 7-8'!I8</f>
        <v>24827</v>
      </c>
      <c r="C3226" s="2" t="s">
        <v>573</v>
      </c>
      <c r="D3226" s="2" t="str">
        <f t="shared" si="49"/>
        <v>Error?</v>
      </c>
    </row>
    <row r="3227" spans="1:4" x14ac:dyDescent="0.2">
      <c r="A3227" s="5">
        <v>3166</v>
      </c>
      <c r="B3227" s="138">
        <f>'Acct Summary 7-8'!I20</f>
        <v>24827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-1985602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100014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-202058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-93515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-306887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24827</v>
      </c>
      <c r="C3320" s="2" t="s">
        <v>573</v>
      </c>
      <c r="D3320" s="2" t="str">
        <f t="shared" si="50"/>
        <v>Error?</v>
      </c>
    </row>
    <row r="3321" spans="1:4" x14ac:dyDescent="0.2">
      <c r="A3321" s="5">
        <v>3260</v>
      </c>
      <c r="B3321" s="138">
        <f>'Acct Summary 7-8'!I79</f>
        <v>1122362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1147189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1467903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192647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45324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25075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21322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166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1752437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82482</v>
      </c>
      <c r="D3387" s="2" t="str">
        <f t="shared" si="51"/>
        <v>Error?</v>
      </c>
    </row>
    <row r="3388" spans="1:4" x14ac:dyDescent="0.2">
      <c r="A3388" s="5">
        <v>3327</v>
      </c>
      <c r="B3388" s="138">
        <f>'Expenditures 15-22'!D217</f>
        <v>98501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82482</v>
      </c>
      <c r="C3390" s="2" t="s">
        <v>573</v>
      </c>
      <c r="D3390" s="2" t="str">
        <f t="shared" si="51"/>
        <v>Error?</v>
      </c>
    </row>
    <row r="3391" spans="1:4" x14ac:dyDescent="0.2">
      <c r="A3391" s="5">
        <v>3330</v>
      </c>
      <c r="B3391" s="138">
        <f>'Expenditures 15-22'!K217</f>
        <v>98501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391217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37514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152672</v>
      </c>
      <c r="D3417" s="2" t="str">
        <f t="shared" si="52"/>
        <v>Error?</v>
      </c>
    </row>
    <row r="3418" spans="1:4" x14ac:dyDescent="0.2">
      <c r="A3418" s="10">
        <v>3357</v>
      </c>
      <c r="D3418" s="2" t="str">
        <f t="shared" si="52"/>
        <v>OK</v>
      </c>
    </row>
    <row r="3419" spans="1:4" x14ac:dyDescent="0.2">
      <c r="A3419" s="5">
        <v>3358</v>
      </c>
      <c r="B3419" s="138">
        <f>'Assets-Liab 5-6'!F4</f>
        <v>58559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15546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70834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89000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141764</v>
      </c>
      <c r="C3446" s="2" t="s">
        <v>573</v>
      </c>
      <c r="D3446" s="2" t="str">
        <f t="shared" si="52"/>
        <v>Error?</v>
      </c>
    </row>
    <row r="3447" spans="1:4" x14ac:dyDescent="0.2">
      <c r="A3447" s="5">
        <v>3386</v>
      </c>
      <c r="B3447" s="138">
        <f>'Tax Sched 23'!D16</f>
        <v>110726</v>
      </c>
      <c r="C3447" s="2" t="s">
        <v>573</v>
      </c>
      <c r="D3447" s="2" t="str">
        <f t="shared" si="52"/>
        <v>Error?</v>
      </c>
    </row>
    <row r="3448" spans="1:4" x14ac:dyDescent="0.2">
      <c r="A3448" s="5">
        <v>3387</v>
      </c>
      <c r="B3448" s="138">
        <f>'Tax Sched 23'!C16</f>
        <v>31038</v>
      </c>
      <c r="D3448" s="2" t="str">
        <f t="shared" si="52"/>
        <v>Error?</v>
      </c>
    </row>
    <row r="3449" spans="1:4" x14ac:dyDescent="0.2">
      <c r="A3449" s="5">
        <v>3388</v>
      </c>
      <c r="B3449" s="138">
        <f>'Tax Sched 23'!F16</f>
        <v>164389</v>
      </c>
      <c r="C3449" s="2" t="s">
        <v>573</v>
      </c>
      <c r="D3449" s="2" t="str">
        <f t="shared" si="52"/>
        <v>Error?</v>
      </c>
    </row>
    <row r="3450" spans="1:4" x14ac:dyDescent="0.2">
      <c r="A3450" s="5">
        <v>3389</v>
      </c>
      <c r="B3450" s="138">
        <f>'Tax Sched 23'!E16</f>
        <v>195427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93978</v>
      </c>
      <c r="C3725" s="2" t="s">
        <v>573</v>
      </c>
      <c r="D3725" s="2" t="str">
        <f t="shared" si="57"/>
        <v>Error?</v>
      </c>
    </row>
    <row r="3726" spans="1:4" x14ac:dyDescent="0.2">
      <c r="A3726" s="5">
        <v>3665</v>
      </c>
      <c r="B3726" s="138">
        <f>'Tax Sched 23'!D13</f>
        <v>69202</v>
      </c>
      <c r="C3726" s="2" t="s">
        <v>573</v>
      </c>
      <c r="D3726" s="2" t="str">
        <f t="shared" si="57"/>
        <v>Error?</v>
      </c>
    </row>
    <row r="3727" spans="1:4" x14ac:dyDescent="0.2">
      <c r="A3727" s="5">
        <v>3666</v>
      </c>
      <c r="B3727" s="138">
        <f>'Tax Sched 23'!C13</f>
        <v>24776</v>
      </c>
      <c r="D3727" s="2" t="str">
        <f t="shared" si="57"/>
        <v>Error?</v>
      </c>
    </row>
    <row r="3728" spans="1:4" x14ac:dyDescent="0.2">
      <c r="A3728" s="5">
        <v>3667</v>
      </c>
      <c r="B3728" s="138">
        <f>'Tax Sched 23'!F13</f>
        <v>131250</v>
      </c>
      <c r="C3728" s="2" t="s">
        <v>573</v>
      </c>
      <c r="D3728" s="2" t="str">
        <f t="shared" si="57"/>
        <v>Error?</v>
      </c>
    </row>
    <row r="3729" spans="1:4" x14ac:dyDescent="0.2">
      <c r="A3729" s="5">
        <v>3668</v>
      </c>
      <c r="B3729" s="138">
        <f>'Tax Sched 23'!E13</f>
        <v>156026</v>
      </c>
      <c r="D3729" s="2" t="str">
        <f t="shared" si="57"/>
        <v>Error?</v>
      </c>
    </row>
    <row r="3730" spans="1:4" x14ac:dyDescent="0.2">
      <c r="A3730" s="5">
        <v>3669</v>
      </c>
      <c r="B3730" s="138">
        <f>'ICR Computation 30'!E10</f>
        <v>189809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6235749.6500000004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18465537.649999999</v>
      </c>
      <c r="C4122" s="2" t="s">
        <v>573</v>
      </c>
      <c r="D4122" s="2" t="str">
        <f t="shared" si="63"/>
        <v>Error?</v>
      </c>
    </row>
    <row r="4123" spans="1:4" x14ac:dyDescent="0.2">
      <c r="A4123" s="5">
        <v>4062</v>
      </c>
      <c r="B4123" s="138">
        <f>'Acct Summary 7-8'!D10</f>
        <v>1333392</v>
      </c>
      <c r="C4123" s="2" t="s">
        <v>573</v>
      </c>
      <c r="D4123" s="2" t="str">
        <f t="shared" si="63"/>
        <v>Error?</v>
      </c>
    </row>
    <row r="4124" spans="1:4" x14ac:dyDescent="0.2">
      <c r="A4124" s="5">
        <v>4063</v>
      </c>
      <c r="B4124" s="138">
        <f>'Acct Summary 7-8'!E10</f>
        <v>523910</v>
      </c>
      <c r="C4124" s="2" t="s">
        <v>573</v>
      </c>
      <c r="D4124" s="2" t="str">
        <f t="shared" si="63"/>
        <v>Error?</v>
      </c>
    </row>
    <row r="4125" spans="1:4" x14ac:dyDescent="0.2">
      <c r="A4125" s="5">
        <v>4064</v>
      </c>
      <c r="B4125" s="138">
        <f>'Acct Summary 7-8'!F10</f>
        <v>799960</v>
      </c>
      <c r="C4125" s="2" t="s">
        <v>573</v>
      </c>
      <c r="D4125" s="2" t="str">
        <f t="shared" si="63"/>
        <v>Error?</v>
      </c>
    </row>
    <row r="4126" spans="1:4" x14ac:dyDescent="0.2">
      <c r="A4126" s="5">
        <v>4065</v>
      </c>
      <c r="B4126" s="138">
        <f>'Acct Summary 7-8'!G10</f>
        <v>306079</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24827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6235749.6500000004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20451139.649999999</v>
      </c>
      <c r="C4136" s="2" t="s">
        <v>573</v>
      </c>
      <c r="D4136" s="2" t="str">
        <f t="shared" si="63"/>
        <v>Error?</v>
      </c>
    </row>
    <row r="4137" spans="1:4" x14ac:dyDescent="0.2">
      <c r="A4137" s="5">
        <v>4076</v>
      </c>
      <c r="B4137" s="138">
        <f>'Acct Summary 7-8'!D19</f>
        <v>1233378</v>
      </c>
      <c r="C4137" s="2" t="s">
        <v>573</v>
      </c>
      <c r="D4137" s="2" t="str">
        <f t="shared" si="63"/>
        <v>Error?</v>
      </c>
    </row>
    <row r="4138" spans="1:4" x14ac:dyDescent="0.2">
      <c r="A4138" s="5">
        <v>4077</v>
      </c>
      <c r="B4138" s="138">
        <f>'Acct Summary 7-8'!E19</f>
        <v>830797</v>
      </c>
      <c r="C4138" s="2" t="s">
        <v>573</v>
      </c>
      <c r="D4138" s="2" t="str">
        <f t="shared" si="63"/>
        <v>Error?</v>
      </c>
    </row>
    <row r="4139" spans="1:4" x14ac:dyDescent="0.2">
      <c r="A4139" s="5">
        <v>4078</v>
      </c>
      <c r="B4139" s="138">
        <f>'Acct Summary 7-8'!F19</f>
        <v>1002018</v>
      </c>
      <c r="C4139" s="2" t="s">
        <v>573</v>
      </c>
      <c r="D4139" s="2" t="str">
        <f t="shared" si="63"/>
        <v>Error?</v>
      </c>
    </row>
    <row r="4140" spans="1:4" x14ac:dyDescent="0.2">
      <c r="A4140" s="5">
        <v>4079</v>
      </c>
      <c r="B4140" s="138">
        <f>'Acct Summary 7-8'!G19</f>
        <v>399594</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2785000</v>
      </c>
      <c r="C4171" s="2" t="s">
        <v>573</v>
      </c>
      <c r="D4171" s="2" t="str">
        <f t="shared" si="64"/>
        <v>Error?</v>
      </c>
    </row>
    <row r="4172" spans="1:4" x14ac:dyDescent="0.2">
      <c r="A4172" s="5">
        <v>4111</v>
      </c>
      <c r="B4172" s="138">
        <f>'Short-Term Long-Term Debt 24'!J49</f>
        <v>2194124</v>
      </c>
      <c r="C4172" s="2" t="s">
        <v>573</v>
      </c>
      <c r="D4172" s="2" t="str">
        <f t="shared" si="64"/>
        <v>Error?</v>
      </c>
    </row>
    <row r="4173" spans="1:4" x14ac:dyDescent="0.2">
      <c r="A4173" s="5">
        <v>4112</v>
      </c>
      <c r="B4173" s="138">
        <f>'Short-Term Long-Term Debt 24'!H49</f>
        <v>720000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3227</v>
      </c>
      <c r="C4265" s="2" t="s">
        <v>573</v>
      </c>
      <c r="D4265" s="2" t="str">
        <f t="shared" si="65"/>
        <v>Error?</v>
      </c>
      <c r="E4265" s="128"/>
    </row>
    <row r="4266" spans="1:5" x14ac:dyDescent="0.2">
      <c r="A4266" s="12">
        <v>4205</v>
      </c>
      <c r="B4266" s="138">
        <f>('FP Info 3'!F10)*100000</f>
        <v>425.70000000000005</v>
      </c>
      <c r="C4266" s="2" t="s">
        <v>573</v>
      </c>
      <c r="D4266" s="2" t="str">
        <f t="shared" si="65"/>
        <v>Error?</v>
      </c>
      <c r="E4266" s="128"/>
    </row>
    <row r="4267" spans="1:5" x14ac:dyDescent="0.2">
      <c r="A4267" s="12">
        <v>4206</v>
      </c>
      <c r="B4267" s="138">
        <f>('FP Info 3'!H10)*100000</f>
        <v>156</v>
      </c>
      <c r="C4267" s="2" t="s">
        <v>573</v>
      </c>
      <c r="D4267" s="2" t="str">
        <f t="shared" si="65"/>
        <v>Error?</v>
      </c>
      <c r="E4267" s="128"/>
    </row>
    <row r="4268" spans="1:5" x14ac:dyDescent="0.2">
      <c r="A4268" s="12">
        <v>4207</v>
      </c>
      <c r="B4268" s="138">
        <f>('FP Info 3'!J10)*100000</f>
        <v>3809</v>
      </c>
      <c r="C4268" s="2" t="s">
        <v>573</v>
      </c>
      <c r="D4268" s="2" t="str">
        <f t="shared" si="65"/>
        <v>Error?</v>
      </c>
    </row>
    <row r="4269" spans="1:5" x14ac:dyDescent="0.2">
      <c r="A4269" s="12">
        <v>4208</v>
      </c>
      <c r="B4269" s="138">
        <f>'FP Info 3'!J16</f>
        <v>13551607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32628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41396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4375</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27139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15250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315299623</v>
      </c>
      <c r="D4995" s="2" t="str">
        <f t="shared" si="77"/>
        <v>Error?</v>
      </c>
    </row>
    <row r="4996" spans="1:4" x14ac:dyDescent="0.2">
      <c r="A4996" s="12">
        <v>4935</v>
      </c>
      <c r="B4996" s="138">
        <f>'FP Info 3'!H31</f>
        <v>21755673.987000003</v>
      </c>
      <c r="D4996" s="2" t="str">
        <f t="shared" si="77"/>
        <v>Error?</v>
      </c>
    </row>
    <row r="4997" spans="1:4" x14ac:dyDescent="0.2">
      <c r="A4997" s="12">
        <v>4936</v>
      </c>
      <c r="B4997" s="138">
        <f>'FP Info 3'!H37</f>
        <v>2785000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93978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6082659</v>
      </c>
      <c r="D5061" s="2" t="str">
        <f t="shared" si="78"/>
        <v>Error?</v>
      </c>
    </row>
    <row r="5062" spans="1:4" x14ac:dyDescent="0.2">
      <c r="A5062" s="10">
        <v>5001</v>
      </c>
      <c r="D5062" s="2" t="str">
        <f t="shared" si="78"/>
        <v>OK</v>
      </c>
    </row>
    <row r="5063" spans="1:4" x14ac:dyDescent="0.2">
      <c r="A5063" s="5">
        <v>5002</v>
      </c>
      <c r="B5063" s="138">
        <f>'Revenues 9-14'!C7</f>
        <v>37590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6214227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100000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100000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7162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7162</v>
      </c>
      <c r="C5087" s="2" t="s">
        <v>573</v>
      </c>
      <c r="D5087" s="2" t="str">
        <f t="shared" si="78"/>
        <v>Error?</v>
      </c>
    </row>
    <row r="5088" spans="1:4" x14ac:dyDescent="0.2">
      <c r="A5088" s="5">
        <v>5027</v>
      </c>
      <c r="B5088" s="138">
        <f>'Revenues 9-14'!C65</f>
        <v>234947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234947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1721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277877</v>
      </c>
      <c r="C5096" s="2" t="s">
        <v>573</v>
      </c>
      <c r="D5096" s="2" t="str">
        <f t="shared" si="78"/>
        <v>Error?</v>
      </c>
    </row>
    <row r="5097" spans="1:4" x14ac:dyDescent="0.2">
      <c r="A5097" s="5">
        <v>5036</v>
      </c>
      <c r="B5097" s="138">
        <f>'Revenues 9-14'!C77</f>
        <v>5987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423</v>
      </c>
      <c r="D5101" s="2" t="str">
        <f t="shared" si="78"/>
        <v>Error?</v>
      </c>
    </row>
    <row r="5102" spans="1:4" x14ac:dyDescent="0.2">
      <c r="A5102" s="5">
        <v>5041</v>
      </c>
      <c r="B5102" s="138">
        <f>'Revenues 9-14'!C82</f>
        <v>6410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1036</v>
      </c>
      <c r="D5113" s="2" t="str">
        <f t="shared" si="78"/>
        <v>Error?</v>
      </c>
    </row>
    <row r="5114" spans="1:4" x14ac:dyDescent="0.2">
      <c r="A5114" s="5">
        <v>5053</v>
      </c>
      <c r="B5114" s="138">
        <f>'Revenues 9-14'!C96</f>
        <v>42347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48981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359828</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452192</v>
      </c>
      <c r="C5120" s="2" t="s">
        <v>573</v>
      </c>
      <c r="D5120" s="2" t="str">
        <f t="shared" si="79"/>
        <v>Error?</v>
      </c>
    </row>
    <row r="5121" spans="1:4" x14ac:dyDescent="0.2">
      <c r="A5121" s="5">
        <v>5060</v>
      </c>
      <c r="B5121" s="138">
        <f>'Revenues 9-14'!C109</f>
        <v>7292815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4202844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4202844</v>
      </c>
      <c r="C5132" s="2" t="s">
        <v>573</v>
      </c>
      <c r="D5132" s="2" t="str">
        <f t="shared" si="79"/>
        <v>Error?</v>
      </c>
    </row>
    <row r="5133" spans="1:4" x14ac:dyDescent="0.2">
      <c r="A5133" s="5">
        <v>5072</v>
      </c>
      <c r="B5133" s="138">
        <f>'Revenues 9-14'!C125</f>
        <v>51752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23222</v>
      </c>
      <c r="D5137" s="2" t="str">
        <f t="shared" si="79"/>
        <v>Error?</v>
      </c>
    </row>
    <row r="5138" spans="1:4" x14ac:dyDescent="0.2">
      <c r="A5138" s="10">
        <v>5077</v>
      </c>
      <c r="D5138" s="2" t="str">
        <f t="shared" si="79"/>
        <v>OK</v>
      </c>
    </row>
    <row r="5139" spans="1:4" x14ac:dyDescent="0.2">
      <c r="A5139" s="5">
        <v>5078</v>
      </c>
      <c r="B5139" s="138">
        <f>'Revenues 9-14'!C129</f>
        <v>1810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76784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2667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118750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198201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4401045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179760</v>
      </c>
      <c r="D5239" s="2" t="str">
        <f t="shared" si="80"/>
        <v>Error?</v>
      </c>
    </row>
    <row r="5240" spans="1:4" x14ac:dyDescent="0.2">
      <c r="A5240" s="5">
        <v>5179</v>
      </c>
      <c r="B5240" s="138">
        <f>'Revenues 9-14'!C192</f>
        <v>1569</v>
      </c>
      <c r="D5240" s="2" t="str">
        <f t="shared" si="80"/>
        <v>Error?</v>
      </c>
    </row>
    <row r="5241" spans="1:4" x14ac:dyDescent="0.2">
      <c r="A5241" s="5">
        <v>5180</v>
      </c>
      <c r="B5241" s="138">
        <f>'Revenues 9-14'!C193</f>
        <v>8479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189808</v>
      </c>
      <c r="C5246" s="2" t="s">
        <v>573</v>
      </c>
      <c r="D5246" s="2" t="str">
        <f t="shared" si="80"/>
        <v>Error?</v>
      </c>
    </row>
    <row r="5247" spans="1:4" x14ac:dyDescent="0.2">
      <c r="A5247" s="5">
        <v>5186</v>
      </c>
      <c r="B5247" s="138">
        <f>'Revenues 9-14'!C200</f>
        <v>74962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4375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74962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16655</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148571</v>
      </c>
      <c r="D5278" s="2" t="str">
        <f t="shared" si="81"/>
        <v>Error?</v>
      </c>
    </row>
    <row r="5279" spans="1:4" x14ac:dyDescent="0.2">
      <c r="A5279" s="5">
        <v>5218</v>
      </c>
      <c r="B5279" s="138">
        <f>'Revenues 9-14'!C214</f>
        <v>394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165620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535928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535928</v>
      </c>
      <c r="C5326" s="2" t="s">
        <v>573</v>
      </c>
      <c r="D5326" s="2" t="str">
        <f t="shared" si="82"/>
        <v>Error?</v>
      </c>
    </row>
    <row r="5327" spans="1:5" x14ac:dyDescent="0.2">
      <c r="A5327" s="5">
        <v>5266</v>
      </c>
      <c r="B5327" s="138">
        <f>'Revenues 9-14'!C268</f>
        <v>12229788</v>
      </c>
      <c r="C5327" s="2" t="s">
        <v>573</v>
      </c>
      <c r="D5327" s="2" t="str">
        <f t="shared" si="82"/>
        <v>Error?</v>
      </c>
    </row>
    <row r="5328" spans="1:5" x14ac:dyDescent="0.2">
      <c r="A5328" s="5">
        <v>5267</v>
      </c>
      <c r="B5328" s="138">
        <f>'Revenues 9-14'!D5</f>
        <v>794413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794413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467757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467757</v>
      </c>
      <c r="C5339" s="2" t="s">
        <v>573</v>
      </c>
      <c r="D5339" s="2" t="str">
        <f t="shared" si="82"/>
        <v>Error?</v>
      </c>
    </row>
    <row r="5340" spans="1:4" x14ac:dyDescent="0.2">
      <c r="A5340" s="5">
        <v>5279</v>
      </c>
      <c r="B5340" s="138">
        <f>'Revenues 9-14'!D65</f>
        <v>55350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55350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14349</v>
      </c>
      <c r="D5349" s="2" t="str">
        <f t="shared" si="82"/>
        <v>Error?</v>
      </c>
    </row>
    <row r="5350" spans="1:4" x14ac:dyDescent="0.2">
      <c r="A5350" s="5">
        <v>5289</v>
      </c>
      <c r="B5350" s="138">
        <f>'Revenues 9-14'!D96</f>
        <v>1508</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15</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15872</v>
      </c>
      <c r="C5355" s="2" t="s">
        <v>573</v>
      </c>
      <c r="D5355" s="2" t="str">
        <f t="shared" si="82"/>
        <v>Error?</v>
      </c>
    </row>
    <row r="5356" spans="1:4" x14ac:dyDescent="0.2">
      <c r="A5356" s="5">
        <v>5295</v>
      </c>
      <c r="B5356" s="138">
        <f>'Revenues 9-14'!D109</f>
        <v>1333392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1333392</v>
      </c>
      <c r="C5508" s="2" t="s">
        <v>573</v>
      </c>
      <c r="D5508" s="2" t="str">
        <f t="shared" si="85"/>
        <v>Error?</v>
      </c>
    </row>
    <row r="5509" spans="1:4" x14ac:dyDescent="0.2">
      <c r="A5509" s="5">
        <v>5448</v>
      </c>
      <c r="B5509" s="138">
        <f>'Revenues 9-14'!E5</f>
        <v>507278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507278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16632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16632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523910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523910</v>
      </c>
      <c r="C5552" s="2" t="s">
        <v>573</v>
      </c>
      <c r="D5552" s="2" t="str">
        <f t="shared" si="85"/>
        <v>Error?</v>
      </c>
    </row>
    <row r="5553" spans="1:4" x14ac:dyDescent="0.2">
      <c r="A5553" s="5">
        <v>5492</v>
      </c>
      <c r="B5553" s="138">
        <f>'Revenues 9-14'!F5</f>
        <v>285703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285703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17142</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17142</v>
      </c>
      <c r="C5579" s="2" t="s">
        <v>573</v>
      </c>
      <c r="D5579" s="2" t="str">
        <f t="shared" si="86"/>
        <v>Error?</v>
      </c>
    </row>
    <row r="5580" spans="1:4" x14ac:dyDescent="0.2">
      <c r="A5580" s="5">
        <v>5519</v>
      </c>
      <c r="B5580" s="138">
        <f>'Revenues 9-14'!F65</f>
        <v>16824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16824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319669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261982</v>
      </c>
      <c r="D5615" s="2" t="str">
        <f t="shared" si="86"/>
        <v>Error?</v>
      </c>
    </row>
    <row r="5616" spans="1:4" x14ac:dyDescent="0.2">
      <c r="A5616" s="10">
        <v>5555</v>
      </c>
      <c r="D5616" s="2" t="str">
        <f t="shared" si="86"/>
        <v>OK</v>
      </c>
    </row>
    <row r="5617" spans="1:5" x14ac:dyDescent="0.2">
      <c r="A5617" s="5">
        <v>5556</v>
      </c>
      <c r="B5617" s="138">
        <f>'Revenues 9-14'!F153</f>
        <v>203059</v>
      </c>
      <c r="D5617" s="2" t="str">
        <f t="shared" si="86"/>
        <v>Error?</v>
      </c>
    </row>
    <row r="5618" spans="1:5" x14ac:dyDescent="0.2">
      <c r="A5618" s="5">
        <v>5557</v>
      </c>
      <c r="B5618" s="138">
        <f>'Revenues 9-14'!F155</f>
        <v>465041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465041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465041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15250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15250</v>
      </c>
      <c r="C5719" s="2" t="s">
        <v>573</v>
      </c>
      <c r="D5719" s="2" t="str">
        <f t="shared" si="88"/>
        <v>Error?</v>
      </c>
    </row>
    <row r="5720" spans="1:4" x14ac:dyDescent="0.2">
      <c r="A5720" s="5">
        <v>5659</v>
      </c>
      <c r="B5720" s="138">
        <f>'Revenues 9-14'!F268</f>
        <v>799960</v>
      </c>
      <c r="C5720" s="2" t="s">
        <v>573</v>
      </c>
      <c r="D5720" s="2" t="str">
        <f t="shared" si="88"/>
        <v>Error?</v>
      </c>
    </row>
    <row r="5721" spans="1:4" x14ac:dyDescent="0.2">
      <c r="A5721" s="5">
        <v>5660</v>
      </c>
      <c r="B5721" s="138">
        <f>'Revenues 9-14'!G5</f>
        <v>121917</v>
      </c>
      <c r="D5721" s="2" t="str">
        <f t="shared" si="88"/>
        <v>Error?</v>
      </c>
    </row>
    <row r="5722" spans="1:4" x14ac:dyDescent="0.2">
      <c r="A5722" s="5">
        <v>5661</v>
      </c>
      <c r="B5722" s="138">
        <f>'Revenues 9-14'!G7</f>
        <v>0</v>
      </c>
      <c r="D5722" s="2" t="str">
        <f t="shared" si="88"/>
        <v>Error?</v>
      </c>
    </row>
    <row r="5723" spans="1:4" x14ac:dyDescent="0.2">
      <c r="A5723" s="5">
        <v>5662</v>
      </c>
      <c r="B5723" s="138">
        <f>'Revenues 9-14'!G8</f>
        <v>141764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263681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25000</v>
      </c>
      <c r="C5730" s="2" t="s">
        <v>573</v>
      </c>
      <c r="D5730" s="2" t="str">
        <f t="shared" si="88"/>
        <v>Error?</v>
      </c>
    </row>
    <row r="5731" spans="1:4" x14ac:dyDescent="0.2">
      <c r="A5731" s="5">
        <v>5670</v>
      </c>
      <c r="B5731" s="138">
        <f>'Revenues 9-14'!G65</f>
        <v>17398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17398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306079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24827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24827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24827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306079</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24827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276156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49839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1600.5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71</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-1985602</v>
      </c>
      <c r="D6267" s="2" t="str">
        <f t="shared" si="96"/>
        <v>Error?</v>
      </c>
      <c r="E6267" s="2" t="s">
        <v>190</v>
      </c>
    </row>
    <row r="6268" spans="1:5" x14ac:dyDescent="0.2">
      <c r="A6268">
        <v>6207</v>
      </c>
      <c r="B6268" s="138">
        <f>'Acct Summary 7-8'!D82</f>
        <v>100014</v>
      </c>
      <c r="D6268" s="2" t="str">
        <f t="shared" si="96"/>
        <v>Error?</v>
      </c>
      <c r="E6268" s="2" t="s">
        <v>190</v>
      </c>
    </row>
    <row r="6269" spans="1:5" x14ac:dyDescent="0.2">
      <c r="A6269">
        <v>6208</v>
      </c>
      <c r="B6269" s="138">
        <f>'Acct Summary 7-8'!E82</f>
        <v>-306887</v>
      </c>
      <c r="D6269" s="2" t="str">
        <f t="shared" si="96"/>
        <v>Error?</v>
      </c>
      <c r="E6269" s="2" t="s">
        <v>190</v>
      </c>
    </row>
    <row r="6270" spans="1:5" x14ac:dyDescent="0.2">
      <c r="A6270">
        <v>6209</v>
      </c>
      <c r="B6270" s="138">
        <f>'Acct Summary 7-8'!F82</f>
        <v>-202058</v>
      </c>
      <c r="D6270" s="2" t="str">
        <f t="shared" si="96"/>
        <v>Error?</v>
      </c>
      <c r="E6270" s="2" t="s">
        <v>190</v>
      </c>
    </row>
    <row r="6271" spans="1:5" x14ac:dyDescent="0.2">
      <c r="A6271">
        <v>6210</v>
      </c>
      <c r="B6271" s="138">
        <f>'Acct Summary 7-8'!G82</f>
        <v>-93515</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24827</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-0.21582184715750435</v>
      </c>
      <c r="D6276" s="2" t="str">
        <f t="shared" si="97"/>
        <v>Error?</v>
      </c>
      <c r="E6276" s="2" t="s">
        <v>190</v>
      </c>
    </row>
    <row r="6277" spans="1:5" x14ac:dyDescent="0.2">
      <c r="A6277">
        <v>6216</v>
      </c>
      <c r="B6277" s="138">
        <f>'Acct Summary 7-8'!D83</f>
        <v>3.8446236044528348E-2</v>
      </c>
      <c r="D6277" s="2" t="str">
        <f t="shared" si="97"/>
        <v>Error?</v>
      </c>
      <c r="E6277" s="2" t="s">
        <v>190</v>
      </c>
    </row>
    <row r="6278" spans="1:5" x14ac:dyDescent="0.2">
      <c r="A6278">
        <v>6217</v>
      </c>
      <c r="B6278" s="138">
        <f>'Acct Summary 7-8'!E83</f>
        <v>-0.51937631584291799</v>
      </c>
      <c r="D6278" s="2" t="str">
        <f t="shared" si="97"/>
        <v>Error?</v>
      </c>
      <c r="E6278" s="2" t="s">
        <v>190</v>
      </c>
    </row>
    <row r="6279" spans="1:5" x14ac:dyDescent="0.2">
      <c r="A6279">
        <v>6218</v>
      </c>
      <c r="B6279" s="138">
        <f>'Acct Summary 7-8'!F83</f>
        <v>-0.33518294574414964</v>
      </c>
      <c r="D6279" s="2" t="str">
        <f t="shared" si="97"/>
        <v>Error?</v>
      </c>
      <c r="E6279" s="2" t="s">
        <v>190</v>
      </c>
    </row>
    <row r="6280" spans="1:5" x14ac:dyDescent="0.2">
      <c r="A6280">
        <v>6219</v>
      </c>
      <c r="B6280" s="138">
        <f>'Acct Summary 7-8'!G83</f>
        <v>-0.1318739740863375</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2.1641595238448066E-2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91452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4583</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127327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139886</v>
      </c>
      <c r="D6880" s="2" t="str">
        <f t="shared" si="106"/>
        <v>Error?</v>
      </c>
    </row>
    <row r="6881" spans="1:4" x14ac:dyDescent="0.2">
      <c r="A6881">
        <v>6820</v>
      </c>
      <c r="B6881" s="138">
        <f>'Expenditures 15-22'!K22</f>
        <v>139886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4583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4583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5312</v>
      </c>
      <c r="D7073" s="2" t="str">
        <f t="shared" si="109"/>
        <v>Error?</v>
      </c>
    </row>
    <row r="7074" spans="1:4" x14ac:dyDescent="0.2">
      <c r="A7074">
        <v>7013</v>
      </c>
      <c r="B7074" s="138">
        <f>'Expenditures 15-22'!K216</f>
        <v>5312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6340</v>
      </c>
      <c r="D7246" s="2" t="str">
        <f t="shared" si="112"/>
        <v>Error?</v>
      </c>
    </row>
    <row r="7247" spans="1:4" x14ac:dyDescent="0.2">
      <c r="A7247">
        <f t="shared" si="113"/>
        <v>7186</v>
      </c>
      <c r="B7247" s="138">
        <f>'Expenditures 15-22'!E7</f>
        <v>2671</v>
      </c>
      <c r="D7247" s="2" t="str">
        <f t="shared" si="112"/>
        <v>Error?</v>
      </c>
    </row>
    <row r="7248" spans="1:4" x14ac:dyDescent="0.2">
      <c r="A7248">
        <f t="shared" si="113"/>
        <v>7187</v>
      </c>
      <c r="B7248" s="138">
        <f>'Expenditures 15-22'!F7</f>
        <v>18899</v>
      </c>
      <c r="D7248" s="2" t="str">
        <f t="shared" si="112"/>
        <v>Error?</v>
      </c>
    </row>
    <row r="7249" spans="1:4" x14ac:dyDescent="0.2">
      <c r="A7249">
        <f t="shared" si="113"/>
        <v>7188</v>
      </c>
      <c r="B7249" s="138">
        <f>'Expenditures 15-22'!G7</f>
        <v>3382</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7006</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7006</v>
      </c>
      <c r="D7609" s="2" t="str">
        <f t="shared" si="122"/>
        <v>Error?</v>
      </c>
      <c r="E7609" s="2" t="s">
        <v>19</v>
      </c>
    </row>
    <row r="7610" spans="1:5" x14ac:dyDescent="0.2">
      <c r="A7610">
        <f t="shared" si="123"/>
        <v>7549</v>
      </c>
      <c r="B7610" s="138">
        <f>'Cap Outlay Deprec 26'!H9</f>
        <v>1120</v>
      </c>
      <c r="D7610" s="2" t="str">
        <f t="shared" si="122"/>
        <v>Error?</v>
      </c>
      <c r="E7610" s="2" t="s">
        <v>19</v>
      </c>
    </row>
    <row r="7611" spans="1:5" x14ac:dyDescent="0.2">
      <c r="A7611">
        <f t="shared" si="123"/>
        <v>7550</v>
      </c>
      <c r="B7611" s="138">
        <f>'Cap Outlay Deprec 26'!I9</f>
        <v>350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1470</v>
      </c>
      <c r="D7613" s="2" t="str">
        <f t="shared" si="122"/>
        <v>Error?</v>
      </c>
      <c r="E7613" s="2" t="s">
        <v>19</v>
      </c>
    </row>
    <row r="7614" spans="1:5" x14ac:dyDescent="0.2">
      <c r="A7614">
        <f t="shared" si="123"/>
        <v>7553</v>
      </c>
      <c r="B7614" s="138">
        <f>'Cap Outlay Deprec 26'!L9</f>
        <v>5536</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4583</v>
      </c>
      <c r="D7624" s="2" t="str">
        <f t="shared" si="124"/>
        <v>Error?</v>
      </c>
      <c r="E7624" s="2" t="s">
        <v>19</v>
      </c>
    </row>
    <row r="7625" spans="1:5" x14ac:dyDescent="0.2">
      <c r="A7625">
        <f t="shared" si="123"/>
        <v>7564</v>
      </c>
      <c r="B7625" s="138">
        <f>'Cap Outlay Deprec 26'!I17</f>
        <v>458.3</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702136.3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37590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1170127</v>
      </c>
      <c r="D7797" s="2" t="str">
        <f t="shared" si="127"/>
        <v>Error?</v>
      </c>
      <c r="E7797" s="4" t="s">
        <v>1904</v>
      </c>
    </row>
    <row r="7798" spans="1:5" x14ac:dyDescent="0.2">
      <c r="A7798">
        <v>7737</v>
      </c>
      <c r="B7798" s="138">
        <f>'Contracts Paid in CY 29'!F141</f>
        <v>100000</v>
      </c>
      <c r="D7798" s="2" t="str">
        <f t="shared" si="127"/>
        <v>Error?</v>
      </c>
      <c r="E7798" s="4" t="s">
        <v>1904</v>
      </c>
    </row>
    <row r="7799" spans="1:5" x14ac:dyDescent="0.2">
      <c r="A7799">
        <v>7738</v>
      </c>
      <c r="B7799" s="138">
        <f>'Contracts Paid in CY 29'!G141</f>
        <v>1070127</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2" t="s">
        <v>1191</v>
      </c>
      <c r="B2" s="2412"/>
      <c r="C2" s="2412"/>
      <c r="D2" s="2412"/>
      <c r="E2" s="2412"/>
      <c r="F2" s="2412"/>
      <c r="G2" s="2412"/>
      <c r="H2" s="2412"/>
      <c r="I2" s="2412"/>
      <c r="J2" s="2412"/>
      <c r="K2" s="2412"/>
      <c r="L2" s="2412"/>
    </row>
    <row r="3" spans="1:29" ht="13.5" customHeight="1" x14ac:dyDescent="0.2">
      <c r="A3" s="2398" t="s">
        <v>1190</v>
      </c>
      <c r="B3" s="2398"/>
      <c r="C3" s="2398"/>
      <c r="D3" s="2398"/>
      <c r="E3" s="2398"/>
      <c r="F3" s="2398"/>
      <c r="G3" s="2398"/>
      <c r="H3" s="2398"/>
      <c r="I3" s="2398"/>
      <c r="J3" s="2398"/>
      <c r="K3" s="2398"/>
      <c r="L3" s="2398"/>
    </row>
    <row r="4" spans="1:29" ht="13.5" customHeight="1" x14ac:dyDescent="0.2">
      <c r="A4" s="2412" t="s">
        <v>1989</v>
      </c>
      <c r="B4" s="2429"/>
      <c r="C4" s="2429"/>
      <c r="D4" s="2429"/>
      <c r="E4" s="2429"/>
      <c r="F4" s="2429"/>
      <c r="G4" s="2429"/>
      <c r="H4" s="2429"/>
      <c r="I4" s="2429"/>
      <c r="J4" s="2429"/>
      <c r="K4" s="2429"/>
      <c r="L4" s="242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2" t="str">
        <f>COVER!A17</f>
        <v>Kinnikinnick CCSD 131</v>
      </c>
      <c r="B7" s="2393"/>
      <c r="C7" s="2393"/>
      <c r="D7" s="2430"/>
      <c r="E7" s="2431">
        <f>COVER!A13</f>
        <v>4101131004</v>
      </c>
      <c r="F7" s="2432"/>
      <c r="G7" s="2399" t="str">
        <f>COVER!T23</f>
        <v>066-004238</v>
      </c>
      <c r="H7" s="2400"/>
      <c r="I7" s="2400"/>
      <c r="J7" s="2400"/>
      <c r="K7" s="2400"/>
      <c r="L7" s="240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2"/>
      <c r="B9" s="2403"/>
      <c r="C9" s="2403"/>
      <c r="D9" s="2403"/>
      <c r="E9" s="2403"/>
      <c r="F9" s="2404"/>
      <c r="G9" s="2405" t="str">
        <f>COVER!T13</f>
        <v>BENNING GROUP, LLC</v>
      </c>
      <c r="H9" s="2406"/>
      <c r="I9" s="2406"/>
      <c r="J9" s="2406"/>
      <c r="K9" s="2406"/>
      <c r="L9" s="2407"/>
    </row>
    <row r="10" spans="1:29" ht="13.5" customHeight="1" x14ac:dyDescent="0.2">
      <c r="A10" s="2389" t="str">
        <f>COVER!A38</f>
        <v>Ms. Keli Freelund</v>
      </c>
      <c r="B10" s="2390"/>
      <c r="C10" s="2390"/>
      <c r="D10" s="2390"/>
      <c r="E10" s="2390"/>
      <c r="F10" s="2391"/>
      <c r="G10" s="2405" t="str">
        <f>COVER!T17</f>
        <v>50 W. DOUGLAS STREET, SUITE 801</v>
      </c>
      <c r="H10" s="2418"/>
      <c r="I10" s="2418"/>
      <c r="J10" s="2418"/>
      <c r="K10" s="2418"/>
      <c r="L10" s="2419"/>
    </row>
    <row r="11" spans="1:29" ht="13.5" customHeight="1" x14ac:dyDescent="0.2">
      <c r="A11" s="1184" t="s">
        <v>1519</v>
      </c>
      <c r="B11" s="1185"/>
      <c r="C11" s="1186"/>
      <c r="D11" s="1191"/>
      <c r="E11" s="1186"/>
      <c r="F11" s="1190"/>
      <c r="G11" s="2405" t="str">
        <f>COVER!T19</f>
        <v>FREEPORT</v>
      </c>
      <c r="H11" s="2418"/>
      <c r="I11" s="2418"/>
      <c r="J11" s="2418"/>
      <c r="K11" s="2418"/>
      <c r="L11" s="2419"/>
    </row>
    <row r="12" spans="1:29" ht="13.5" customHeight="1" x14ac:dyDescent="0.2">
      <c r="A12" s="2423" t="s">
        <v>1518</v>
      </c>
      <c r="B12" s="2424"/>
      <c r="C12" s="2424"/>
      <c r="D12" s="2424"/>
      <c r="E12" s="2424"/>
      <c r="F12" s="2425"/>
      <c r="G12" s="2420"/>
      <c r="H12" s="2421"/>
      <c r="I12" s="2421"/>
      <c r="J12" s="2421"/>
      <c r="K12" s="2421"/>
      <c r="L12" s="2422"/>
    </row>
    <row r="13" spans="1:29" ht="13.5" customHeight="1" x14ac:dyDescent="0.2">
      <c r="A13" s="2405"/>
      <c r="B13" s="2418"/>
      <c r="C13" s="2418"/>
      <c r="D13" s="2418"/>
      <c r="E13" s="2418"/>
      <c r="F13" s="2419"/>
      <c r="G13" s="2413" t="s">
        <v>1520</v>
      </c>
      <c r="H13" s="2414"/>
      <c r="I13" s="2426" t="str">
        <f>COVER!T25</f>
        <v>jblocker@benninggroup.com</v>
      </c>
      <c r="J13" s="2427"/>
      <c r="K13" s="2427"/>
      <c r="L13" s="2428"/>
    </row>
    <row r="14" spans="1:29" ht="13.5" customHeight="1" x14ac:dyDescent="0.2">
      <c r="A14" s="2405" t="str">
        <f>COVER!A19</f>
        <v>5410 Pine Lane</v>
      </c>
      <c r="B14" s="2418"/>
      <c r="C14" s="2418"/>
      <c r="D14" s="2418"/>
      <c r="E14" s="2418"/>
      <c r="F14" s="2419"/>
      <c r="G14" s="1195" t="s">
        <v>1185</v>
      </c>
      <c r="H14" s="1193"/>
      <c r="I14" s="1193"/>
      <c r="J14" s="1193"/>
      <c r="K14" s="1193"/>
      <c r="L14" s="1194"/>
    </row>
    <row r="15" spans="1:29" ht="13.5" customHeight="1" x14ac:dyDescent="0.2">
      <c r="A15" s="2405" t="str">
        <f>COVER!A21</f>
        <v>Roscoe</v>
      </c>
      <c r="B15" s="2418"/>
      <c r="C15" s="2418"/>
      <c r="D15" s="2418"/>
      <c r="E15" s="2418"/>
      <c r="F15" s="2419"/>
      <c r="G15" s="2415" t="str">
        <f>COVER!T15</f>
        <v>JENNY L. BLOCKER</v>
      </c>
      <c r="H15" s="2416"/>
      <c r="I15" s="2416"/>
      <c r="J15" s="2416"/>
      <c r="K15" s="2416"/>
      <c r="L15" s="2417"/>
    </row>
    <row r="16" spans="1:29" ht="12.2" customHeight="1" x14ac:dyDescent="0.2">
      <c r="A16" s="2395">
        <f>COVER!A25</f>
        <v>61073</v>
      </c>
      <c r="B16" s="2396"/>
      <c r="C16" s="2396"/>
      <c r="D16" s="2396"/>
      <c r="E16" s="2396"/>
      <c r="F16" s="2397"/>
      <c r="G16" s="2408"/>
      <c r="H16" s="2409"/>
      <c r="I16" s="2409"/>
      <c r="J16" s="2409"/>
      <c r="K16" s="2409"/>
      <c r="L16" s="2410"/>
    </row>
    <row r="17" spans="1:13" ht="12.2" customHeight="1" x14ac:dyDescent="0.2">
      <c r="A17" s="2411"/>
      <c r="B17" s="2396"/>
      <c r="C17" s="2396"/>
      <c r="D17" s="2396"/>
      <c r="E17" s="2396"/>
      <c r="F17" s="2397"/>
      <c r="G17" s="1195" t="s">
        <v>1184</v>
      </c>
      <c r="H17" s="1193"/>
      <c r="I17" s="1193"/>
      <c r="J17" s="1193"/>
      <c r="K17" s="1197" t="s">
        <v>1183</v>
      </c>
      <c r="L17" s="1190"/>
      <c r="M17" s="1183"/>
    </row>
    <row r="18" spans="1:13" ht="12.2" customHeight="1" x14ac:dyDescent="0.2">
      <c r="A18" s="2389"/>
      <c r="B18" s="2390"/>
      <c r="C18" s="2390"/>
      <c r="D18" s="2390"/>
      <c r="E18" s="2390"/>
      <c r="F18" s="2391"/>
      <c r="G18" s="2392" t="str">
        <f>COVER!T21</f>
        <v>815/235-3157</v>
      </c>
      <c r="H18" s="2393"/>
      <c r="I18" s="2393"/>
      <c r="J18" s="2393"/>
      <c r="K18" s="2392" t="str">
        <f>COVER!X21</f>
        <v>815/235-3158</v>
      </c>
      <c r="L18" s="239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3" t="str">
        <f>'Single Audit Cover'!A7</f>
        <v>Kinnikinnick CCSD 131</v>
      </c>
      <c r="B1" s="2429"/>
      <c r="C1" s="2429"/>
      <c r="D1" s="2429"/>
    </row>
    <row r="2" spans="1:11" s="1212" customFormat="1" ht="12.75" x14ac:dyDescent="0.2">
      <c r="A2" s="2434">
        <f>'Single Audit Cover'!E7</f>
        <v>4101131004</v>
      </c>
      <c r="B2" s="2435"/>
      <c r="C2" s="2435"/>
      <c r="D2" s="2435"/>
    </row>
    <row r="3" spans="1:11" s="1212" customFormat="1" ht="12.75" x14ac:dyDescent="0.2">
      <c r="A3" s="2433" t="s">
        <v>1513</v>
      </c>
      <c r="B3" s="2429"/>
      <c r="C3" s="2429"/>
      <c r="D3" s="242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7" t="str">
        <f>'Single Audit Cover'!A7</f>
        <v>Kinnikinnick CCSD 131</v>
      </c>
      <c r="B1" s="2437"/>
      <c r="C1" s="2437"/>
      <c r="D1" s="2437"/>
      <c r="E1" s="2437"/>
    </row>
    <row r="2" spans="1:5" x14ac:dyDescent="0.2">
      <c r="A2" s="2438">
        <f>'Single Audit Cover'!E7</f>
        <v>4101131004</v>
      </c>
      <c r="B2" s="2438"/>
      <c r="C2" s="2438"/>
      <c r="D2" s="2438"/>
      <c r="E2" s="2438"/>
    </row>
    <row r="3" spans="1:5" ht="4.5" customHeight="1" x14ac:dyDescent="0.2"/>
    <row r="4" spans="1:5" x14ac:dyDescent="0.2">
      <c r="A4" s="2437" t="s">
        <v>1245</v>
      </c>
      <c r="B4" s="2437"/>
      <c r="C4" s="2437"/>
      <c r="D4" s="2437"/>
      <c r="E4" s="2437"/>
    </row>
    <row r="5" spans="1:5" x14ac:dyDescent="0.2">
      <c r="A5" s="2440" t="str">
        <f>'Single Audit Cover'!A4</f>
        <v>Year Ending June 30, 2019</v>
      </c>
      <c r="B5" s="2440"/>
      <c r="C5" s="2440"/>
      <c r="D5" s="2440"/>
      <c r="E5" s="2440"/>
    </row>
    <row r="6" spans="1:5" x14ac:dyDescent="0.2">
      <c r="A6" s="2437" t="s">
        <v>1244</v>
      </c>
      <c r="B6" s="2437"/>
      <c r="C6" s="2437"/>
      <c r="D6" s="2437"/>
      <c r="E6" s="2437"/>
    </row>
    <row r="8" spans="1:5" x14ac:dyDescent="0.2">
      <c r="A8" s="1257" t="s">
        <v>1243</v>
      </c>
    </row>
    <row r="10" spans="1:5" x14ac:dyDescent="0.2">
      <c r="A10" s="1258" t="s">
        <v>1242</v>
      </c>
      <c r="B10" s="1259" t="s">
        <v>1241</v>
      </c>
      <c r="C10" s="1259"/>
      <c r="D10" s="1260">
        <f>SUM('Acct Summary 7-8'!C7:K7)</f>
        <v>551178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49839</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-56646</v>
      </c>
    </row>
    <row r="19" spans="1:4" ht="13.5" thickBot="1" x14ac:dyDescent="0.25">
      <c r="A19" s="1262" t="s">
        <v>1235</v>
      </c>
      <c r="D19" s="1263">
        <f>SUM(D10:D17)</f>
        <v>544371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9"/>
      <c r="B24" s="2439"/>
      <c r="D24" s="1265"/>
    </row>
    <row r="25" spans="1:4" x14ac:dyDescent="0.2">
      <c r="A25" s="2436"/>
      <c r="B25" s="2436"/>
      <c r="D25" s="1265"/>
    </row>
    <row r="26" spans="1:4" x14ac:dyDescent="0.2">
      <c r="A26" s="2436"/>
      <c r="B26" s="2436"/>
      <c r="D26" s="1265"/>
    </row>
    <row r="27" spans="1:4" x14ac:dyDescent="0.2">
      <c r="A27" s="2436"/>
      <c r="B27" s="2436"/>
      <c r="D27" s="1265"/>
    </row>
    <row r="28" spans="1:4" x14ac:dyDescent="0.2">
      <c r="A28" s="2436"/>
      <c r="B28" s="2436"/>
      <c r="D28" s="1265"/>
    </row>
    <row r="29" spans="1:4" x14ac:dyDescent="0.2">
      <c r="A29" s="2436"/>
      <c r="B29" s="2436"/>
      <c r="D29" s="1265"/>
    </row>
    <row r="30" spans="1:4" x14ac:dyDescent="0.2">
      <c r="A30" s="2436"/>
      <c r="B30" s="2436"/>
      <c r="D30" s="1265"/>
    </row>
    <row r="32" spans="1:4" x14ac:dyDescent="0.2">
      <c r="A32" s="1257" t="s">
        <v>1233</v>
      </c>
      <c r="D32" s="1260">
        <f>SUM(D19:D30)</f>
        <v>544371</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6"/>
      <c r="B40" s="2436"/>
      <c r="D40" s="1265"/>
    </row>
    <row r="41" spans="1:4" x14ac:dyDescent="0.2">
      <c r="A41" s="2436"/>
      <c r="B41" s="2436"/>
      <c r="D41" s="1268"/>
    </row>
    <row r="42" spans="1:4" x14ac:dyDescent="0.2">
      <c r="A42" s="2436"/>
      <c r="B42" s="2436"/>
      <c r="D42" s="1268"/>
    </row>
    <row r="43" spans="1:4" x14ac:dyDescent="0.2">
      <c r="A43" s="2436"/>
      <c r="B43" s="2436"/>
      <c r="D43" s="1268"/>
    </row>
    <row r="44" spans="1:4" x14ac:dyDescent="0.2">
      <c r="A44" s="2436"/>
      <c r="B44" s="2436"/>
      <c r="D44" s="1268"/>
    </row>
    <row r="45" spans="1:4" x14ac:dyDescent="0.2">
      <c r="A45" s="2436"/>
      <c r="B45" s="2436"/>
      <c r="D45" s="1268"/>
    </row>
    <row r="47" spans="1:4" x14ac:dyDescent="0.2">
      <c r="B47" s="1269" t="s">
        <v>1227</v>
      </c>
      <c r="C47" s="1269"/>
      <c r="D47" s="1270">
        <f>SUM(D35:D45)</f>
        <v>0</v>
      </c>
    </row>
    <row r="49" spans="2:4" x14ac:dyDescent="0.2">
      <c r="B49" s="1269" t="s">
        <v>1226</v>
      </c>
      <c r="C49" s="1269"/>
      <c r="D49" s="1270">
        <f>D32-D47</f>
        <v>544371</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8" t="str">
        <f>'Single Audit Cover'!A7</f>
        <v>Kinnikinnick CCSD 131</v>
      </c>
      <c r="C1" s="2441"/>
      <c r="D1" s="2441"/>
      <c r="E1" s="2441"/>
      <c r="F1" s="2441"/>
      <c r="G1" s="2441"/>
      <c r="H1" s="2441"/>
      <c r="I1" s="2441"/>
      <c r="J1" s="2441"/>
      <c r="K1" s="2441"/>
      <c r="L1" s="2441"/>
      <c r="M1" s="2441"/>
    </row>
    <row r="2" spans="2:14" ht="15" x14ac:dyDescent="0.2">
      <c r="B2" s="2442">
        <f>'Single Audit Cover'!E7</f>
        <v>4101131004</v>
      </c>
      <c r="C2" s="2442"/>
      <c r="D2" s="2442"/>
      <c r="E2" s="2442"/>
      <c r="F2" s="2442"/>
      <c r="G2" s="2442"/>
      <c r="H2" s="2442"/>
      <c r="I2" s="2442"/>
      <c r="J2" s="2442"/>
      <c r="K2" s="2442"/>
      <c r="L2" s="2442"/>
      <c r="M2" s="2442"/>
      <c r="N2" s="1299"/>
    </row>
    <row r="3" spans="2:14" ht="15" x14ac:dyDescent="0.2">
      <c r="B3" s="2443" t="s">
        <v>1219</v>
      </c>
      <c r="C3" s="2443"/>
      <c r="D3" s="2443"/>
      <c r="E3" s="2443"/>
      <c r="F3" s="2443"/>
      <c r="G3" s="2443"/>
      <c r="H3" s="2443"/>
      <c r="I3" s="2443"/>
      <c r="J3" s="2443"/>
      <c r="K3" s="2443"/>
      <c r="L3" s="2443"/>
      <c r="M3" s="2443"/>
      <c r="N3" s="1299"/>
    </row>
    <row r="4" spans="2:14" ht="15" x14ac:dyDescent="0.2">
      <c r="B4" s="2444" t="str">
        <f>'Single Audit Cover'!A4</f>
        <v>Year Ending June 30, 2019</v>
      </c>
      <c r="C4" s="2444"/>
      <c r="D4" s="2444"/>
      <c r="E4" s="2444"/>
      <c r="F4" s="2444"/>
      <c r="G4" s="2444"/>
      <c r="H4" s="2444"/>
      <c r="I4" s="2444"/>
      <c r="J4" s="2444"/>
      <c r="K4" s="2444"/>
      <c r="L4" s="2444"/>
      <c r="M4" s="244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2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Kinnikinnick CCSD 131</v>
      </c>
      <c r="B1" s="2446"/>
      <c r="C1" s="2446"/>
      <c r="D1" s="2446"/>
      <c r="E1" s="2446"/>
      <c r="F1" s="2446"/>
    </row>
    <row r="2" spans="1:7" ht="13.5" customHeight="1" x14ac:dyDescent="0.2">
      <c r="A2" s="2442">
        <f>'Single Audit Cover'!E7</f>
        <v>4101131004</v>
      </c>
      <c r="B2" s="2442"/>
      <c r="C2" s="2442"/>
      <c r="D2" s="2442"/>
      <c r="E2" s="2442"/>
      <c r="F2" s="2442"/>
      <c r="G2" s="1272"/>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1728</v>
      </c>
      <c r="C6" s="317"/>
      <c r="D6" s="317"/>
    </row>
    <row r="7" spans="1:7" ht="60.95" customHeight="1" x14ac:dyDescent="0.2">
      <c r="A7" s="2445" t="s">
        <v>1729</v>
      </c>
      <c r="B7" s="2445"/>
      <c r="C7" s="2445"/>
      <c r="D7" s="2445"/>
      <c r="E7" s="2445"/>
      <c r="F7" s="244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5" t="s">
        <v>1731</v>
      </c>
      <c r="B13" s="2445"/>
      <c r="C13" s="2445"/>
      <c r="D13" s="2445"/>
      <c r="E13" s="2445"/>
      <c r="F13" s="2445"/>
    </row>
    <row r="14" spans="1:7" ht="9.75" customHeight="1" x14ac:dyDescent="0.2">
      <c r="C14" s="1257"/>
      <c r="D14" s="1257"/>
    </row>
    <row r="15" spans="1:7" ht="13.5" customHeight="1" x14ac:dyDescent="0.2">
      <c r="C15" s="1846" t="s">
        <v>1270</v>
      </c>
      <c r="D15" s="2450" t="s">
        <v>1269</v>
      </c>
      <c r="E15" s="2450"/>
      <c r="F15" s="2450"/>
    </row>
    <row r="16" spans="1:7" ht="13.5" customHeight="1" x14ac:dyDescent="0.2">
      <c r="A16" s="1279"/>
      <c r="B16" s="1273" t="s">
        <v>1268</v>
      </c>
      <c r="C16" s="1846" t="s">
        <v>1267</v>
      </c>
      <c r="D16" s="2451" t="s">
        <v>1588</v>
      </c>
      <c r="E16" s="2451"/>
      <c r="F16" s="2451"/>
    </row>
    <row r="17" spans="1:6" ht="20.45" customHeight="1" x14ac:dyDescent="0.2">
      <c r="A17" s="1280"/>
      <c r="B17" s="1281"/>
      <c r="C17" s="1282"/>
      <c r="D17" s="2449"/>
      <c r="E17" s="2449"/>
      <c r="F17" s="2449"/>
    </row>
    <row r="18" spans="1:6" ht="20.65" customHeight="1" x14ac:dyDescent="0.2">
      <c r="A18" s="1280"/>
      <c r="B18" s="1281"/>
      <c r="C18" s="1282"/>
      <c r="D18" s="2449"/>
      <c r="E18" s="2449"/>
      <c r="F18" s="2449"/>
    </row>
    <row r="19" spans="1:6" ht="20.65" customHeight="1" x14ac:dyDescent="0.2">
      <c r="A19" s="1280"/>
      <c r="B19" s="1281"/>
      <c r="C19" s="1282"/>
      <c r="D19" s="2449"/>
      <c r="E19" s="2449"/>
      <c r="F19" s="2449"/>
    </row>
    <row r="20" spans="1:6" ht="20.65" customHeight="1" x14ac:dyDescent="0.2">
      <c r="A20" s="1280"/>
      <c r="B20" s="1281"/>
      <c r="C20" s="1282"/>
      <c r="D20" s="2449"/>
      <c r="E20" s="2449"/>
      <c r="F20" s="2449"/>
    </row>
    <row r="21" spans="1:6" ht="20.65" customHeight="1" x14ac:dyDescent="0.2">
      <c r="A21" s="1280"/>
      <c r="B21" s="1281"/>
      <c r="C21" s="1282"/>
      <c r="D21" s="2449"/>
      <c r="E21" s="2449"/>
      <c r="F21" s="2449"/>
    </row>
    <row r="22" spans="1:6" ht="20.65" customHeight="1" x14ac:dyDescent="0.2">
      <c r="A22" s="1280"/>
      <c r="B22" s="1281"/>
      <c r="C22" s="1282"/>
      <c r="D22" s="2449"/>
      <c r="E22" s="2449"/>
      <c r="F22" s="2449"/>
    </row>
    <row r="23" spans="1:6" ht="20.65" customHeight="1" x14ac:dyDescent="0.2">
      <c r="A23" s="1280"/>
      <c r="B23" s="1281"/>
      <c r="C23" s="1282"/>
      <c r="D23" s="2449"/>
      <c r="E23" s="2449"/>
      <c r="F23" s="2449"/>
    </row>
    <row r="24" spans="1:6" ht="20.65" customHeight="1" x14ac:dyDescent="0.2">
      <c r="A24" s="1280"/>
      <c r="B24" s="1281"/>
      <c r="C24" s="1282"/>
      <c r="D24" s="2449"/>
      <c r="E24" s="2449"/>
      <c r="F24" s="2449"/>
    </row>
    <row r="25" spans="1:6" ht="20.65" customHeight="1" x14ac:dyDescent="0.2">
      <c r="A25" s="1280"/>
      <c r="B25" s="1281"/>
      <c r="C25" s="1282"/>
      <c r="D25" s="2449"/>
      <c r="E25" s="2449"/>
      <c r="F25" s="2449"/>
    </row>
    <row r="26" spans="1:6" ht="20.65" customHeight="1" x14ac:dyDescent="0.2">
      <c r="A26" s="1280"/>
      <c r="B26" s="1281"/>
      <c r="C26" s="1282"/>
      <c r="D26" s="2449"/>
      <c r="E26" s="2449"/>
      <c r="F26" s="2449"/>
    </row>
    <row r="27" spans="1:6" ht="20.65" customHeight="1" x14ac:dyDescent="0.2">
      <c r="A27" s="1280"/>
      <c r="B27" s="1281"/>
      <c r="C27" s="1282"/>
      <c r="D27" s="2449"/>
      <c r="E27" s="2449"/>
      <c r="F27" s="2449"/>
    </row>
    <row r="28" spans="1:6" ht="20.65" customHeight="1" x14ac:dyDescent="0.2">
      <c r="A28" s="1280"/>
      <c r="B28" s="1281"/>
      <c r="C28" s="1282"/>
      <c r="D28" s="2449"/>
      <c r="E28" s="2449"/>
      <c r="F28" s="2449"/>
    </row>
    <row r="29" spans="1:6" ht="20.65" customHeight="1" x14ac:dyDescent="0.2">
      <c r="A29" s="1280"/>
      <c r="B29" s="1281"/>
      <c r="C29" s="1282"/>
      <c r="D29" s="2449"/>
      <c r="E29" s="2449"/>
      <c r="F29" s="244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3" t="s">
        <v>1732</v>
      </c>
      <c r="B32" s="2453"/>
      <c r="C32" s="2453"/>
      <c r="D32" s="2453"/>
      <c r="E32" s="2453"/>
      <c r="F32" s="245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4">
        <f>+C33+C34</f>
        <v>0</v>
      </c>
      <c r="F34" s="245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6" t="s">
        <v>1590</v>
      </c>
      <c r="C49" s="2456"/>
      <c r="D49" s="2456"/>
      <c r="E49" s="1396"/>
    </row>
    <row r="50" spans="1:5" s="1297" customFormat="1" ht="3.75" customHeight="1" x14ac:dyDescent="0.2">
      <c r="A50" s="1296"/>
      <c r="B50" s="1845"/>
      <c r="C50" s="1845"/>
      <c r="D50" s="1845"/>
      <c r="E50" s="1396"/>
    </row>
    <row r="51" spans="1:5" s="1297" customFormat="1" ht="20.25" customHeight="1" x14ac:dyDescent="0.2">
      <c r="A51" s="1298">
        <v>6</v>
      </c>
      <c r="B51" s="2452" t="s">
        <v>1551</v>
      </c>
      <c r="C51" s="2452"/>
      <c r="D51" s="2452"/>
    </row>
    <row r="52" spans="1:5" ht="14.25" customHeight="1" x14ac:dyDescent="0.2">
      <c r="A52" s="1298"/>
      <c r="B52" s="2452"/>
      <c r="C52" s="2452"/>
      <c r="D52" s="245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K143"/>
  <sheetViews>
    <sheetView showGridLines="0" defaultGridColor="0" topLeftCell="A97" colorId="8" zoomScale="110" zoomScaleNormal="110" workbookViewId="0">
      <selection activeCell="J117" sqref="J1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1168</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2083</v>
      </c>
      <c r="C9" s="179">
        <v>1</v>
      </c>
      <c r="D9" s="221" t="s">
        <v>1558</v>
      </c>
    </row>
    <row r="10" spans="1:11" s="181" customFormat="1" x14ac:dyDescent="0.2">
      <c r="A10" s="222"/>
      <c r="B10" s="223"/>
      <c r="C10" s="224"/>
      <c r="D10" s="225" t="s">
        <v>1624</v>
      </c>
    </row>
    <row r="11" spans="1:11" s="181" customFormat="1" x14ac:dyDescent="0.2">
      <c r="A11" s="219"/>
      <c r="B11" s="226" t="s">
        <v>2083</v>
      </c>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5" t="s">
        <v>1633</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313</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2083</v>
      </c>
      <c r="C53" s="179">
        <v>22</v>
      </c>
      <c r="D53" s="247" t="s">
        <v>1462</v>
      </c>
      <c r="E53" s="248"/>
      <c r="F53" s="249"/>
      <c r="G53" s="249" t="s">
        <v>1461</v>
      </c>
      <c r="H53" s="250">
        <v>35612</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1323</v>
      </c>
      <c r="B70" s="2078"/>
      <c r="C70" s="2078"/>
      <c r="D70" s="2078"/>
      <c r="E70" s="2079"/>
      <c r="F70" s="2079"/>
      <c r="G70" s="2079"/>
      <c r="H70" s="2079"/>
      <c r="I70" s="20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1320</v>
      </c>
      <c r="B83" s="2080"/>
      <c r="C83" s="2080"/>
      <c r="D83" s="20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t="s">
        <v>2064</v>
      </c>
      <c r="D114" s="20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1330</v>
      </c>
      <c r="D117" s="2073"/>
      <c r="E117" s="2074"/>
      <c r="F117" s="2074"/>
      <c r="G117" s="2074"/>
      <c r="H117" s="207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Kinnikinnick CCSD 131</v>
      </c>
      <c r="C1" s="2462"/>
      <c r="D1" s="2462"/>
      <c r="E1" s="2462"/>
      <c r="F1" s="2462"/>
      <c r="G1" s="2462"/>
      <c r="H1" s="2462"/>
      <c r="I1" s="2462"/>
      <c r="J1" s="1406"/>
    </row>
    <row r="2" spans="2:10" s="317" customFormat="1" ht="12.75" customHeight="1" x14ac:dyDescent="0.2">
      <c r="B2" s="2463">
        <f>'Single Audit Cover'!E7</f>
        <v>4101131004</v>
      </c>
      <c r="C2" s="2464"/>
      <c r="D2" s="2464"/>
      <c r="E2" s="2464"/>
      <c r="F2" s="2464"/>
      <c r="G2" s="2464"/>
      <c r="H2" s="2464"/>
      <c r="I2" s="2464"/>
      <c r="J2" s="1406"/>
    </row>
    <row r="3" spans="2:10" s="317" customFormat="1" ht="12.75" customHeight="1" x14ac:dyDescent="0.2">
      <c r="B3" s="2465" t="s">
        <v>1285</v>
      </c>
      <c r="C3" s="2466"/>
      <c r="D3" s="2466"/>
      <c r="E3" s="2466"/>
      <c r="F3" s="2466"/>
      <c r="G3" s="2466"/>
      <c r="H3" s="2466"/>
      <c r="I3" s="2466"/>
      <c r="J3" s="1407"/>
    </row>
    <row r="4" spans="2:10" s="317" customFormat="1" ht="12.75" customHeight="1" x14ac:dyDescent="0.2">
      <c r="B4" s="2465" t="str">
        <f>'Single Audit Cover'!A4</f>
        <v>Year Ending June 30, 2019</v>
      </c>
      <c r="C4" s="2466"/>
      <c r="D4" s="2466"/>
      <c r="E4" s="2466"/>
      <c r="F4" s="2466"/>
      <c r="G4" s="2466"/>
      <c r="H4" s="2466"/>
      <c r="I4" s="246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5" t="s">
        <v>1284</v>
      </c>
      <c r="C7" s="2466"/>
      <c r="D7" s="2466"/>
      <c r="E7" s="2466"/>
      <c r="F7" s="2466"/>
      <c r="G7" s="2466"/>
      <c r="H7" s="2466"/>
      <c r="I7" s="246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7"/>
      <c r="D11" s="246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8"/>
      <c r="E29" s="2468"/>
      <c r="F29" s="2468"/>
      <c r="G29" s="2468"/>
      <c r="H29" s="2468"/>
      <c r="I29" s="246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9" t="s">
        <v>1751</v>
      </c>
      <c r="D37" s="2470"/>
      <c r="E37" s="2470"/>
      <c r="F37" s="2471"/>
      <c r="G37" s="2469" t="s">
        <v>1592</v>
      </c>
      <c r="H37" s="2470"/>
      <c r="I37" s="2471"/>
    </row>
    <row r="38" spans="2:9" ht="16.5" customHeight="1" x14ac:dyDescent="0.2">
      <c r="B38" s="1428"/>
      <c r="C38" s="2457"/>
      <c r="D38" s="2458"/>
      <c r="E38" s="2458"/>
      <c r="F38" s="2459"/>
      <c r="G38" s="2472"/>
      <c r="H38" s="2473"/>
      <c r="I38" s="2474"/>
    </row>
    <row r="39" spans="2:9" ht="16.5" customHeight="1" x14ac:dyDescent="0.2">
      <c r="B39" s="1428"/>
      <c r="C39" s="2457"/>
      <c r="D39" s="2458"/>
      <c r="E39" s="2458"/>
      <c r="F39" s="2459"/>
      <c r="G39" s="2460"/>
      <c r="H39" s="2460"/>
      <c r="I39" s="2460"/>
    </row>
    <row r="40" spans="2:9" ht="16.5" customHeight="1" x14ac:dyDescent="0.2">
      <c r="B40" s="1428"/>
      <c r="C40" s="2457"/>
      <c r="D40" s="2458"/>
      <c r="E40" s="2458"/>
      <c r="F40" s="2459"/>
      <c r="G40" s="2460"/>
      <c r="H40" s="2460"/>
      <c r="I40" s="2460"/>
    </row>
    <row r="41" spans="2:9" ht="16.5" customHeight="1" x14ac:dyDescent="0.2">
      <c r="B41" s="1428"/>
      <c r="C41" s="2457"/>
      <c r="D41" s="2458"/>
      <c r="E41" s="2458"/>
      <c r="F41" s="2459"/>
      <c r="G41" s="2460"/>
      <c r="H41" s="2460"/>
      <c r="I41" s="2460"/>
    </row>
    <row r="42" spans="2:9" ht="16.5" customHeight="1" x14ac:dyDescent="0.2">
      <c r="B42" s="1428"/>
      <c r="C42" s="2457"/>
      <c r="D42" s="2458"/>
      <c r="E42" s="2458"/>
      <c r="F42" s="2459"/>
      <c r="G42" s="2460"/>
      <c r="H42" s="2460"/>
      <c r="I42" s="2460"/>
    </row>
    <row r="43" spans="2:9" ht="16.5" customHeight="1" x14ac:dyDescent="0.2">
      <c r="B43" s="1428"/>
      <c r="C43" s="2475" t="s">
        <v>1593</v>
      </c>
      <c r="D43" s="2476"/>
      <c r="E43" s="2476"/>
      <c r="F43" s="2477"/>
      <c r="G43" s="2478">
        <f>SUM(G38:I42)</f>
        <v>0</v>
      </c>
      <c r="H43" s="2478"/>
      <c r="I43" s="2478"/>
    </row>
    <row r="44" spans="2:9" ht="12.75" customHeight="1" x14ac:dyDescent="0.2"/>
    <row r="45" spans="2:9" ht="12.75" customHeight="1" x14ac:dyDescent="0.2">
      <c r="B45" s="1419" t="s">
        <v>1841</v>
      </c>
      <c r="D45" s="2479">
        <v>0</v>
      </c>
      <c r="E45" s="248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81"/>
      <c r="F49" s="2481"/>
      <c r="G49" s="248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Kinnikinnick CCSD 131</v>
      </c>
      <c r="C1" s="2461"/>
      <c r="D1" s="2461"/>
      <c r="E1" s="2461"/>
      <c r="F1" s="2461"/>
      <c r="G1" s="2461"/>
      <c r="H1" s="2461"/>
      <c r="I1" s="2461"/>
      <c r="J1" s="2461"/>
      <c r="K1" s="2461"/>
      <c r="L1" s="1371"/>
      <c r="M1" s="1371"/>
    </row>
    <row r="2" spans="1:13" ht="12" customHeight="1" x14ac:dyDescent="0.2">
      <c r="B2" s="2463">
        <f>'Single Audit Cover'!E7</f>
        <v>4101131004</v>
      </c>
      <c r="C2" s="2463"/>
      <c r="D2" s="2463"/>
      <c r="E2" s="2463"/>
      <c r="F2" s="2463"/>
      <c r="G2" s="2463"/>
      <c r="H2" s="2463"/>
      <c r="I2" s="2463"/>
      <c r="J2" s="2463"/>
      <c r="K2" s="2463"/>
      <c r="L2" s="1372"/>
      <c r="M2" s="1373"/>
    </row>
    <row r="3" spans="1:13" ht="10.35" customHeight="1" x14ac:dyDescent="0.2">
      <c r="B3" s="2484" t="s">
        <v>1285</v>
      </c>
      <c r="C3" s="2484"/>
      <c r="D3" s="2484"/>
      <c r="E3" s="2484"/>
      <c r="F3" s="2484"/>
      <c r="G3" s="2484"/>
      <c r="H3" s="2484"/>
      <c r="I3" s="2484"/>
      <c r="J3" s="2484"/>
      <c r="K3" s="2484"/>
      <c r="L3" s="1374"/>
      <c r="M3" s="1374"/>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5" t="s">
        <v>1296</v>
      </c>
      <c r="C7" s="2485"/>
      <c r="D7" s="2486"/>
      <c r="E7" s="2486"/>
      <c r="F7" s="2486"/>
      <c r="G7" s="2486"/>
      <c r="H7" s="2486"/>
      <c r="I7" s="2486"/>
      <c r="J7" s="2486"/>
      <c r="K7" s="248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3"/>
      <c r="C14" s="2483"/>
      <c r="D14" s="2483"/>
      <c r="E14" s="2483"/>
      <c r="F14" s="2483"/>
      <c r="G14" s="2483"/>
      <c r="H14" s="2483"/>
      <c r="I14" s="2483"/>
      <c r="J14" s="2483"/>
      <c r="K14" s="248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3"/>
      <c r="C17" s="2483"/>
      <c r="D17" s="2483"/>
      <c r="E17" s="2483"/>
      <c r="F17" s="2483"/>
      <c r="G17" s="2483"/>
      <c r="H17" s="2483"/>
      <c r="I17" s="2483"/>
      <c r="J17" s="2483"/>
      <c r="K17" s="248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7"/>
      <c r="C20" s="2487"/>
      <c r="D20" s="2483"/>
      <c r="E20" s="2483"/>
      <c r="F20" s="2483"/>
      <c r="G20" s="2483"/>
      <c r="H20" s="2483"/>
      <c r="I20" s="2483"/>
      <c r="J20" s="2483"/>
      <c r="K20" s="248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3"/>
      <c r="C23" s="2483"/>
      <c r="D23" s="2483"/>
      <c r="E23" s="2483"/>
      <c r="F23" s="2483"/>
      <c r="G23" s="2483"/>
      <c r="H23" s="2483"/>
      <c r="I23" s="2483"/>
      <c r="J23" s="2483"/>
      <c r="K23" s="248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3"/>
      <c r="C26" s="2483"/>
      <c r="D26" s="2483"/>
      <c r="E26" s="2483"/>
      <c r="F26" s="2483"/>
      <c r="G26" s="2483"/>
      <c r="H26" s="2483"/>
      <c r="I26" s="2483"/>
      <c r="J26" s="2483"/>
      <c r="K26" s="248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2"/>
      <c r="C29" s="2482"/>
      <c r="D29" s="2483"/>
      <c r="E29" s="2483"/>
      <c r="F29" s="2483"/>
      <c r="G29" s="2483"/>
      <c r="H29" s="2483"/>
      <c r="I29" s="2483"/>
      <c r="J29" s="2483"/>
      <c r="K29" s="248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2"/>
      <c r="C32" s="2482"/>
      <c r="D32" s="2483"/>
      <c r="E32" s="2483"/>
      <c r="F32" s="2483"/>
      <c r="G32" s="2483"/>
      <c r="H32" s="2483"/>
      <c r="I32" s="2483"/>
      <c r="J32" s="2483"/>
      <c r="K32" s="248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8" t="str">
        <f>'Single Audit Cover'!A7</f>
        <v>Kinnikinnick CCSD 131</v>
      </c>
      <c r="C1" s="2488"/>
      <c r="D1" s="2488"/>
      <c r="E1" s="2488"/>
      <c r="F1" s="2488"/>
      <c r="G1" s="2488"/>
      <c r="H1" s="2488"/>
      <c r="I1" s="2488"/>
      <c r="J1" s="2488"/>
      <c r="K1" s="2488"/>
      <c r="L1" s="1449"/>
    </row>
    <row r="2" spans="1:12" ht="12.75" customHeight="1" x14ac:dyDescent="0.2">
      <c r="B2" s="2489">
        <f>'Single Audit Cover'!E7</f>
        <v>4101131004</v>
      </c>
      <c r="C2" s="2489"/>
      <c r="D2" s="2489"/>
      <c r="E2" s="2489"/>
      <c r="F2" s="2489"/>
      <c r="G2" s="2489"/>
      <c r="H2" s="2489"/>
      <c r="I2" s="2489"/>
      <c r="J2" s="2489"/>
      <c r="K2" s="2489"/>
      <c r="L2" s="1450"/>
    </row>
    <row r="3" spans="1:12" ht="12.75" customHeight="1" x14ac:dyDescent="0.2">
      <c r="B3" s="2484" t="s">
        <v>1285</v>
      </c>
      <c r="C3" s="2484"/>
      <c r="D3" s="2484"/>
      <c r="E3" s="2484"/>
      <c r="F3" s="2484"/>
      <c r="G3" s="2484"/>
      <c r="H3" s="2484"/>
      <c r="I3" s="2484"/>
      <c r="J3" s="2484"/>
      <c r="K3" s="2484"/>
      <c r="L3" s="1374"/>
    </row>
    <row r="4" spans="1:12" ht="12.75" customHeight="1" x14ac:dyDescent="0.2">
      <c r="B4" s="2484" t="str">
        <f>'Single Audit Cover'!A4</f>
        <v>Year Ending June 30, 2019</v>
      </c>
      <c r="C4" s="2484"/>
      <c r="D4" s="2484"/>
      <c r="E4" s="2484"/>
      <c r="F4" s="2484"/>
      <c r="G4" s="2484"/>
      <c r="H4" s="2484"/>
      <c r="I4" s="2484"/>
      <c r="J4" s="2484"/>
      <c r="K4" s="2484"/>
      <c r="L4" s="1374"/>
    </row>
    <row r="5" spans="1:12" ht="5.25" customHeight="1" x14ac:dyDescent="0.2">
      <c r="B5" s="1257" t="s">
        <v>1169</v>
      </c>
      <c r="C5" s="1257"/>
      <c r="L5" s="322"/>
    </row>
    <row r="6" spans="1:12" ht="30.75" customHeight="1" x14ac:dyDescent="0.2">
      <c r="A6" s="322"/>
      <c r="B6" s="2490" t="s">
        <v>1308</v>
      </c>
      <c r="C6" s="2490"/>
      <c r="D6" s="2490"/>
      <c r="E6" s="2490"/>
      <c r="F6" s="2490"/>
      <c r="G6" s="2490"/>
      <c r="H6" s="2490"/>
      <c r="I6" s="2490"/>
      <c r="J6" s="2490"/>
      <c r="K6" s="249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8"/>
      <c r="G12" s="2468"/>
      <c r="H12" s="2468"/>
      <c r="I12" s="2468"/>
      <c r="J12" s="2468"/>
      <c r="K12" s="246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1"/>
      <c r="E14" s="2491"/>
      <c r="F14" s="2491"/>
      <c r="H14" s="1459" t="s">
        <v>1303</v>
      </c>
      <c r="I14" s="2492"/>
      <c r="J14" s="2492"/>
      <c r="K14" s="249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2"/>
      <c r="E16" s="2492"/>
      <c r="F16" s="2492"/>
      <c r="G16" s="2492"/>
      <c r="H16" s="2492"/>
      <c r="I16" s="2492"/>
      <c r="J16" s="2492"/>
      <c r="K16" s="2492"/>
      <c r="L16" s="322"/>
    </row>
    <row r="17" spans="2:12" ht="13.5" customHeight="1" x14ac:dyDescent="0.2">
      <c r="B17" s="1384" t="s">
        <v>1301</v>
      </c>
      <c r="C17" s="1384"/>
      <c r="D17" s="2493"/>
      <c r="E17" s="2493"/>
      <c r="F17" s="2493"/>
      <c r="G17" s="2493"/>
      <c r="H17" s="2493"/>
      <c r="I17" s="2493"/>
      <c r="J17" s="2493"/>
      <c r="K17" s="249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3"/>
      <c r="C20" s="2483"/>
      <c r="D20" s="2483"/>
      <c r="E20" s="2483"/>
      <c r="F20" s="2483"/>
      <c r="G20" s="2483"/>
      <c r="H20" s="2483"/>
      <c r="I20" s="2483"/>
      <c r="J20" s="2483"/>
      <c r="K20" s="248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3"/>
      <c r="C23" s="2483"/>
      <c r="D23" s="2483"/>
      <c r="E23" s="2483"/>
      <c r="F23" s="2483"/>
      <c r="G23" s="2483"/>
      <c r="H23" s="2483"/>
      <c r="I23" s="2483"/>
      <c r="J23" s="2483"/>
      <c r="K23" s="248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3"/>
      <c r="C26" s="2483"/>
      <c r="D26" s="2483"/>
      <c r="E26" s="2483"/>
      <c r="F26" s="2483"/>
      <c r="G26" s="2483"/>
      <c r="H26" s="2483"/>
      <c r="I26" s="2483"/>
      <c r="J26" s="2483"/>
      <c r="K26" s="248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3"/>
      <c r="C29" s="2483"/>
      <c r="D29" s="2483"/>
      <c r="E29" s="2483"/>
      <c r="F29" s="2483"/>
      <c r="G29" s="2483"/>
      <c r="H29" s="2483"/>
      <c r="I29" s="2483"/>
      <c r="J29" s="2483"/>
      <c r="K29" s="248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3"/>
      <c r="C32" s="2483"/>
      <c r="D32" s="2483"/>
      <c r="E32" s="2483"/>
      <c r="F32" s="2483"/>
      <c r="G32" s="2483"/>
      <c r="H32" s="2483"/>
      <c r="I32" s="2483"/>
      <c r="J32" s="2483"/>
      <c r="K32" s="248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3"/>
      <c r="C35" s="2483"/>
      <c r="D35" s="2483"/>
      <c r="E35" s="2483"/>
      <c r="F35" s="2483"/>
      <c r="G35" s="2483"/>
      <c r="H35" s="2483"/>
      <c r="I35" s="2483"/>
      <c r="J35" s="2483"/>
      <c r="K35" s="248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3"/>
      <c r="C38" s="2483"/>
      <c r="D38" s="2483"/>
      <c r="E38" s="2483"/>
      <c r="F38" s="2483"/>
      <c r="G38" s="2483"/>
      <c r="H38" s="2483"/>
      <c r="I38" s="2483"/>
      <c r="J38" s="2483"/>
      <c r="K38" s="248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3"/>
      <c r="C41" s="2483"/>
      <c r="D41" s="2483"/>
      <c r="E41" s="2483"/>
      <c r="F41" s="2483"/>
      <c r="G41" s="2483"/>
      <c r="H41" s="2483"/>
      <c r="I41" s="2483"/>
      <c r="J41" s="2483"/>
      <c r="K41" s="248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1" t="str">
        <f>'Single Audit Cover'!A7</f>
        <v>Kinnikinnick CCSD 131</v>
      </c>
      <c r="C1" s="2461"/>
      <c r="D1" s="2461"/>
      <c r="E1" s="1469"/>
    </row>
    <row r="2" spans="2:5" s="1279" customFormat="1" ht="12.75" customHeight="1" x14ac:dyDescent="0.2">
      <c r="B2" s="2463">
        <f>'Single Audit Cover'!E7</f>
        <v>4101131004</v>
      </c>
      <c r="C2" s="2463"/>
      <c r="D2" s="2463"/>
      <c r="E2" s="1470"/>
    </row>
    <row r="3" spans="2:5" ht="12.75" customHeight="1" x14ac:dyDescent="0.2">
      <c r="B3" s="2484" t="s">
        <v>1766</v>
      </c>
      <c r="C3" s="2484"/>
      <c r="D3" s="2484"/>
      <c r="E3" s="1271"/>
    </row>
    <row r="4" spans="2:5" s="1279" customFormat="1" ht="12.75" customHeight="1" x14ac:dyDescent="0.2">
      <c r="B4" s="2494" t="str">
        <f>'Single Audit Cover'!A4</f>
        <v>Year Ending June 30, 2019</v>
      </c>
      <c r="C4" s="2494"/>
      <c r="D4" s="249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F0"/>
  </sheetPr>
  <dimension ref="A1:N72"/>
  <sheetViews>
    <sheetView showGridLines="0" defaultGridColor="0" topLeftCell="A52" colorId="8" zoomScale="110" zoomScaleNormal="110" workbookViewId="0">
      <selection activeCell="M32" sqref="M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386</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315299623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3.227E-2</v>
      </c>
      <c r="E10" s="356" t="s">
        <v>1005</v>
      </c>
      <c r="F10" s="355">
        <v>4.2570000000000004E-3</v>
      </c>
      <c r="G10" s="356" t="s">
        <v>1005</v>
      </c>
      <c r="H10" s="355">
        <v>1.56E-3</v>
      </c>
      <c r="I10" s="356" t="s">
        <v>1006</v>
      </c>
      <c r="J10" s="1732">
        <f>ROUND(D10+F10+H10,5)</f>
        <v>3.8089999999999999E-2</v>
      </c>
      <c r="K10" s="222"/>
      <c r="L10" s="355">
        <v>0</v>
      </c>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14387967</v>
      </c>
      <c r="E16" s="356"/>
      <c r="F16" s="1733">
        <f>SUM('Acct Summary 7-8'!C17,'Acct Summary 7-8'!D17,'Acct Summary 7-8'!F17)</f>
        <v>16450786</v>
      </c>
      <c r="G16" s="356"/>
      <c r="H16" s="1733">
        <f>SUM(D16-F16)</f>
        <v>-2062819</v>
      </c>
      <c r="I16" s="222"/>
      <c r="J16" s="1733">
        <f>SUM('Acct Summary 7-8'!C81,'Acct Summary 7-8'!D81,'Acct Summary 7-8'!F81,'Acct Summary 7-8'!I81)</f>
        <v>13551607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2083</v>
      </c>
      <c r="C31" s="367" t="s">
        <v>586</v>
      </c>
      <c r="D31" s="237" t="s">
        <v>1072</v>
      </c>
      <c r="E31" s="222"/>
      <c r="F31" s="222"/>
      <c r="G31" s="363"/>
      <c r="H31" s="1735">
        <f>IF(B31="X",(J7*0.069),IF(B32="X",(J7*0.138),"Enter x in a.or b."))</f>
        <v>21755673.987000003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2785000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2" t="s">
        <v>2103</v>
      </c>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F0"/>
  </sheetPr>
  <dimension ref="A1:R44"/>
  <sheetViews>
    <sheetView showGridLines="0" zoomScale="110" zoomScaleNormal="110" workbookViewId="0">
      <selection activeCell="D21" sqref="D2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556</v>
      </c>
      <c r="B2" s="2110"/>
      <c r="C2" s="2110"/>
      <c r="D2" s="2110"/>
      <c r="E2" s="2110"/>
      <c r="F2" s="2110"/>
      <c r="G2" s="2110"/>
      <c r="H2" s="2110"/>
      <c r="I2" s="2110"/>
      <c r="J2" s="2110"/>
      <c r="K2" s="2110"/>
      <c r="L2" s="2110"/>
      <c r="M2" s="2110"/>
      <c r="N2" s="2110"/>
      <c r="O2" s="2110"/>
      <c r="P2" s="2110"/>
      <c r="Q2" s="2110"/>
      <c r="R2" s="2110"/>
    </row>
    <row r="3" spans="1:18" ht="12.75" x14ac:dyDescent="0.2">
      <c r="A3" s="2111" t="s">
        <v>1413</v>
      </c>
      <c r="B3" s="2111"/>
      <c r="C3" s="2111"/>
      <c r="D3" s="2111"/>
      <c r="E3" s="2111"/>
      <c r="F3" s="2111"/>
      <c r="G3" s="2111"/>
      <c r="H3" s="2111"/>
      <c r="I3" s="2111"/>
      <c r="J3" s="2111"/>
      <c r="K3" s="2111"/>
      <c r="L3" s="2111"/>
      <c r="M3" s="2111"/>
      <c r="N3" s="2111"/>
      <c r="O3" s="2111"/>
      <c r="P3" s="2111"/>
      <c r="Q3" s="2111"/>
      <c r="R3" s="2111"/>
    </row>
    <row r="4" spans="1:18" x14ac:dyDescent="0.2">
      <c r="A4" s="2112" t="s">
        <v>1554</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Kinnikinnick CCSD 131</v>
      </c>
      <c r="E7" s="391"/>
      <c r="G7" s="252"/>
      <c r="H7" s="387"/>
      <c r="I7" s="387"/>
      <c r="J7" s="387"/>
      <c r="K7" s="387"/>
      <c r="L7" s="329"/>
      <c r="M7" s="329"/>
      <c r="N7" s="329"/>
      <c r="O7" s="329"/>
      <c r="P7" s="329"/>
    </row>
    <row r="8" spans="1:18" ht="12.75" x14ac:dyDescent="0.2">
      <c r="A8" s="329"/>
      <c r="B8" s="329"/>
      <c r="C8" s="389" t="s">
        <v>1125</v>
      </c>
      <c r="D8" s="392">
        <f>COVER!A13</f>
        <v>4101131004</v>
      </c>
      <c r="E8" s="393"/>
      <c r="G8" s="329"/>
      <c r="H8" s="329"/>
      <c r="I8" s="329"/>
      <c r="J8" s="329"/>
      <c r="K8" s="329"/>
      <c r="L8" s="329"/>
      <c r="M8" s="329"/>
      <c r="N8" s="329"/>
      <c r="O8" s="329"/>
      <c r="P8" s="329"/>
    </row>
    <row r="9" spans="1:18" ht="12.75" x14ac:dyDescent="0.2">
      <c r="A9" s="329"/>
      <c r="B9" s="329"/>
      <c r="C9" s="389" t="s">
        <v>713</v>
      </c>
      <c r="D9" s="394" t="str">
        <f>COVER!A15</f>
        <v>Winnebago</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13551607</v>
      </c>
      <c r="I12" s="404"/>
      <c r="J12" s="404"/>
      <c r="K12" s="405">
        <f>TRUNC((H12/H13*100000),5)/100000</f>
        <v>0.94187087020000004</v>
      </c>
      <c r="L12" s="406"/>
      <c r="M12" s="360" t="s">
        <v>1144</v>
      </c>
      <c r="N12" s="360"/>
      <c r="O12" s="407">
        <v>0.35</v>
      </c>
      <c r="P12" s="218"/>
      <c r="Q12" s="218"/>
    </row>
    <row r="13" spans="1:18" s="408" customFormat="1" ht="12.75" x14ac:dyDescent="0.2">
      <c r="A13" s="218"/>
      <c r="B13" s="401"/>
      <c r="C13" s="2108" t="s">
        <v>1324</v>
      </c>
      <c r="D13" s="2109"/>
      <c r="E13" s="218"/>
      <c r="F13" s="409" t="s">
        <v>793</v>
      </c>
      <c r="G13" s="402"/>
      <c r="H13" s="403">
        <f>SUM('Acct Summary 7-8'!C8+'Acct Summary 7-8'!D8+'Acct Summary 7-8'!F8+'Acct Summary 7-8'!I8)+H14</f>
        <v>14387967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16450786</v>
      </c>
      <c r="I17" s="404"/>
      <c r="J17" s="416"/>
      <c r="K17" s="405">
        <f>TRUNC((H17/H18*100000),5)/100000</f>
        <v>1.1433711239</v>
      </c>
      <c r="L17" s="406"/>
      <c r="M17" s="417" t="s">
        <v>1171</v>
      </c>
      <c r="O17" s="418" t="str">
        <f>IF(AND(O16="2", J20 &gt; 2),"1",IF(AND(O16 = "1", J20 &gt; 2),"2",IF(AND(O16="1", J20 &gt;1),"1","0")))</f>
        <v>1</v>
      </c>
      <c r="P17" s="218"/>
    </row>
    <row r="18" spans="1:18" s="408" customFormat="1" ht="11.25" x14ac:dyDescent="0.2">
      <c r="A18" s="218"/>
      <c r="B18" s="401"/>
      <c r="C18" s="2108" t="s">
        <v>1317</v>
      </c>
      <c r="D18" s="2109"/>
      <c r="E18" s="218"/>
      <c r="F18" s="419" t="s">
        <v>794</v>
      </c>
      <c r="G18" s="402"/>
      <c r="H18" s="403">
        <f>SUM('Acct Summary 7-8'!C8+'Acct Summary 7-8'!D8+'Acct Summary 7-8'!F8+'Acct Summary 7-8'!I8)+H19</f>
        <v>14387967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5.8719695000000005</v>
      </c>
      <c r="K20" s="405">
        <f>IF(K17&lt;=1,"0",IF(AND(O16="2", J20 &gt; 2),TRUNC(((K12-0.1)/(K17-1)*100),5)/100,IF(AND(O16 = "1", J20 &gt; 2),TRUNC(((K12-0.1)/(K17-1)*100),5)/100,IF(AND(O16="1", J20 &gt;1),TRUNC(((K12-0.1)/(K17-1)*100),5)/100,""))))</f>
        <v>5.8719695000000005</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5" t="s">
        <v>1412</v>
      </c>
      <c r="D24" s="2105"/>
      <c r="E24" s="218"/>
      <c r="F24" s="218" t="s">
        <v>445</v>
      </c>
      <c r="G24" s="402"/>
      <c r="H24" s="403">
        <f>SUM('Assets-Liab 5-6'!C4+'Assets-Liab 5-6'!D4+'Assets-Liab 5-6'!F4+'Assets-Liab 5-6'!I4+'Assets-Liab 5-6'!C5+'Assets-Liab 5-6'!D5+'Assets-Liab 5-6'!F5+'Assets-Liab 5-6'!I5)</f>
        <v>13551536</v>
      </c>
      <c r="I24" s="422"/>
      <c r="J24" s="422"/>
      <c r="K24" s="423">
        <f>TRUNC(((H24/H25*100000)/100000),2)</f>
        <v>296.55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45696.627780000003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10208298.24406</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2785000</v>
      </c>
      <c r="I32" s="420"/>
      <c r="J32" s="420"/>
      <c r="K32" s="423">
        <f>TRUNC(100-((((H32/H33*100))*100)/100),2)</f>
        <v>87.19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21755673.987000003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N44"/>
  <sheetViews>
    <sheetView showGridLines="0" defaultGridColor="0" colorId="8" zoomScaleNormal="100" workbookViewId="0">
      <pane ySplit="2" topLeftCell="A3" activePane="bottomLeft" state="frozen"/>
      <selection pane="bottomLeft" activeCell="C5" sqref="C5:I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5" t="s">
        <v>973</v>
      </c>
      <c r="B3" s="2116"/>
      <c r="C3" s="1559"/>
      <c r="D3" s="1560"/>
      <c r="E3" s="1560"/>
      <c r="F3" s="1560"/>
      <c r="G3" s="1560"/>
      <c r="H3" s="1560"/>
      <c r="I3" s="1560"/>
      <c r="J3" s="1560"/>
      <c r="K3" s="1560"/>
      <c r="L3" s="1560"/>
      <c r="M3" s="1561"/>
      <c r="N3" s="1562"/>
    </row>
    <row r="4" spans="1:14" ht="13.5" customHeight="1" x14ac:dyDescent="0.2">
      <c r="A4" s="463" t="s">
        <v>1651</v>
      </c>
      <c r="B4" s="464"/>
      <c r="C4" s="465">
        <v>391217</v>
      </c>
      <c r="D4" s="466">
        <v>37514</v>
      </c>
      <c r="E4" s="466">
        <v>152672</v>
      </c>
      <c r="F4" s="466">
        <v>58559</v>
      </c>
      <c r="G4" s="466">
        <v>15546</v>
      </c>
      <c r="H4" s="466"/>
      <c r="I4" s="466">
        <v>70834</v>
      </c>
      <c r="J4" s="467"/>
      <c r="K4" s="466"/>
      <c r="L4" s="466">
        <v>89000</v>
      </c>
      <c r="M4" s="468"/>
      <c r="N4" s="469"/>
    </row>
    <row r="5" spans="1:14" x14ac:dyDescent="0.2">
      <c r="A5" s="463" t="s">
        <v>992</v>
      </c>
      <c r="B5" s="470">
        <v>120</v>
      </c>
      <c r="C5" s="465">
        <v>8808902</v>
      </c>
      <c r="D5" s="466">
        <v>2563885</v>
      </c>
      <c r="E5" s="466">
        <v>438204</v>
      </c>
      <c r="F5" s="466">
        <v>544270</v>
      </c>
      <c r="G5" s="466">
        <v>693578</v>
      </c>
      <c r="H5" s="466"/>
      <c r="I5" s="466">
        <v>1076355</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v>71</v>
      </c>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9200190</v>
      </c>
      <c r="D13" s="1737">
        <f t="shared" ref="D13:L13" si="0">SUM(D4:D12)</f>
        <v>2601399</v>
      </c>
      <c r="E13" s="1737">
        <f t="shared" si="0"/>
        <v>590876</v>
      </c>
      <c r="F13" s="1737">
        <f t="shared" si="0"/>
        <v>602829</v>
      </c>
      <c r="G13" s="1737">
        <f t="shared" si="0"/>
        <v>709124</v>
      </c>
      <c r="H13" s="1737">
        <f t="shared" si="0"/>
        <v>0</v>
      </c>
      <c r="I13" s="1737">
        <f t="shared" si="0"/>
        <v>1147189</v>
      </c>
      <c r="J13" s="1737">
        <f t="shared" si="0"/>
        <v>0</v>
      </c>
      <c r="K13" s="1737">
        <f t="shared" si="0"/>
        <v>0</v>
      </c>
      <c r="L13" s="1737">
        <f t="shared" si="0"/>
        <v>89000</v>
      </c>
      <c r="M13" s="468"/>
      <c r="N13" s="469"/>
    </row>
    <row r="14" spans="1:14" ht="18" customHeight="1" thickTop="1" x14ac:dyDescent="0.2">
      <c r="A14" s="2117" t="s">
        <v>147</v>
      </c>
      <c r="B14" s="211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1146728</v>
      </c>
      <c r="N16" s="484"/>
    </row>
    <row r="17" spans="1:14" s="485" customFormat="1" ht="12.75" customHeight="1" x14ac:dyDescent="0.2">
      <c r="A17" s="482" t="s">
        <v>1403</v>
      </c>
      <c r="B17" s="483">
        <v>230</v>
      </c>
      <c r="C17" s="477"/>
      <c r="D17" s="477"/>
      <c r="E17" s="477"/>
      <c r="F17" s="477"/>
      <c r="G17" s="477"/>
      <c r="H17" s="477"/>
      <c r="I17" s="477"/>
      <c r="J17" s="477"/>
      <c r="K17" s="477"/>
      <c r="L17" s="477"/>
      <c r="M17" s="467">
        <v>25394776</v>
      </c>
      <c r="N17" s="484"/>
    </row>
    <row r="18" spans="1:14" s="485" customFormat="1" ht="12.75" customHeight="1" x14ac:dyDescent="0.2">
      <c r="A18" s="482" t="s">
        <v>1404</v>
      </c>
      <c r="B18" s="483">
        <v>240</v>
      </c>
      <c r="C18" s="477"/>
      <c r="D18" s="477"/>
      <c r="E18" s="477"/>
      <c r="F18" s="477"/>
      <c r="G18" s="477"/>
      <c r="H18" s="477"/>
      <c r="I18" s="477"/>
      <c r="J18" s="477"/>
      <c r="K18" s="477"/>
      <c r="L18" s="477"/>
      <c r="M18" s="467">
        <v>2269827</v>
      </c>
      <c r="N18" s="484"/>
    </row>
    <row r="19" spans="1:14" s="485" customFormat="1" ht="12.75" customHeight="1" x14ac:dyDescent="0.2">
      <c r="A19" s="482" t="s">
        <v>1405</v>
      </c>
      <c r="B19" s="483">
        <v>250</v>
      </c>
      <c r="C19" s="477"/>
      <c r="D19" s="477"/>
      <c r="E19" s="477"/>
      <c r="F19" s="477"/>
      <c r="G19" s="477"/>
      <c r="H19" s="477"/>
      <c r="I19" s="477"/>
      <c r="J19" s="477"/>
      <c r="K19" s="477"/>
      <c r="L19" s="477"/>
      <c r="M19" s="467">
        <v>4005743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590876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2194124</v>
      </c>
    </row>
    <row r="23" spans="1:14" ht="13.5" customHeight="1" thickBot="1" x14ac:dyDescent="0.25">
      <c r="A23" s="1736" t="s">
        <v>643</v>
      </c>
      <c r="B23" s="1741"/>
      <c r="C23" s="468"/>
      <c r="D23" s="468"/>
      <c r="E23" s="468"/>
      <c r="F23" s="468"/>
      <c r="G23" s="468"/>
      <c r="H23" s="468"/>
      <c r="I23" s="468"/>
      <c r="J23" s="468"/>
      <c r="K23" s="468"/>
      <c r="L23" s="468"/>
      <c r="M23" s="1688">
        <f>SUM(M15:M22)</f>
        <v>32817074</v>
      </c>
      <c r="N23" s="1688">
        <f>SUM(N21:N22)</f>
        <v>2785000</v>
      </c>
    </row>
    <row r="24" spans="1:14" ht="18" customHeight="1" thickTop="1" x14ac:dyDescent="0.2">
      <c r="A24" s="2119" t="s">
        <v>598</v>
      </c>
      <c r="B24" s="212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89000</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89000</v>
      </c>
      <c r="M34" s="468"/>
      <c r="N34" s="480"/>
    </row>
    <row r="35" spans="1:14" ht="18" customHeight="1" thickTop="1" x14ac:dyDescent="0.2">
      <c r="A35" s="2121" t="s">
        <v>529</v>
      </c>
      <c r="B35" s="212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2785000</v>
      </c>
    </row>
    <row r="37" spans="1:14" ht="13.5" thickBot="1" x14ac:dyDescent="0.25">
      <c r="A37" s="1736" t="s">
        <v>653</v>
      </c>
      <c r="B37" s="1741"/>
      <c r="C37" s="477"/>
      <c r="D37" s="477"/>
      <c r="E37" s="477"/>
      <c r="F37" s="477"/>
      <c r="G37" s="477"/>
      <c r="H37" s="477"/>
      <c r="I37" s="477"/>
      <c r="J37" s="477"/>
      <c r="K37" s="477"/>
      <c r="L37" s="480"/>
      <c r="M37" s="468"/>
      <c r="N37" s="1688">
        <f>SUM(N36:N36)</f>
        <v>2785000</v>
      </c>
    </row>
    <row r="38" spans="1:14" s="329" customFormat="1" ht="13.5" customHeight="1" thickTop="1" x14ac:dyDescent="0.2">
      <c r="A38" s="496" t="s">
        <v>420</v>
      </c>
      <c r="B38" s="483">
        <v>714</v>
      </c>
      <c r="C38" s="466"/>
      <c r="D38" s="466"/>
      <c r="E38" s="466"/>
      <c r="F38" s="466"/>
      <c r="G38" s="466">
        <v>263480</v>
      </c>
      <c r="H38" s="466"/>
      <c r="I38" s="466"/>
      <c r="J38" s="467"/>
      <c r="K38" s="466"/>
      <c r="L38" s="481"/>
      <c r="M38" s="497"/>
      <c r="N38" s="497"/>
    </row>
    <row r="39" spans="1:14" s="329" customFormat="1" ht="13.5" customHeight="1" x14ac:dyDescent="0.2">
      <c r="A39" s="496" t="s">
        <v>342</v>
      </c>
      <c r="B39" s="483">
        <v>730</v>
      </c>
      <c r="C39" s="466">
        <v>9200190</v>
      </c>
      <c r="D39" s="466">
        <v>2601399</v>
      </c>
      <c r="E39" s="466">
        <v>590876</v>
      </c>
      <c r="F39" s="466">
        <v>602829</v>
      </c>
      <c r="G39" s="466">
        <v>445644</v>
      </c>
      <c r="H39" s="466"/>
      <c r="I39" s="466">
        <v>1147189</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32817074</v>
      </c>
      <c r="N40" s="497"/>
    </row>
    <row r="41" spans="1:14" ht="13.5" customHeight="1" thickBot="1" x14ac:dyDescent="0.25">
      <c r="A41" s="1736" t="s">
        <v>655</v>
      </c>
      <c r="B41" s="1706"/>
      <c r="C41" s="1688">
        <f>(SUM(C34,C37,C38,C39))</f>
        <v>9200190</v>
      </c>
      <c r="D41" s="1688">
        <f t="shared" ref="D41:L41" si="2">SUM(D34,D37,D38:D39)</f>
        <v>2601399</v>
      </c>
      <c r="E41" s="1688">
        <f t="shared" si="2"/>
        <v>590876</v>
      </c>
      <c r="F41" s="1688">
        <f t="shared" si="2"/>
        <v>602829</v>
      </c>
      <c r="G41" s="1688">
        <f t="shared" si="2"/>
        <v>709124</v>
      </c>
      <c r="H41" s="1688">
        <f t="shared" si="2"/>
        <v>0</v>
      </c>
      <c r="I41" s="1688">
        <f t="shared" si="2"/>
        <v>1147189</v>
      </c>
      <c r="J41" s="1688">
        <f t="shared" si="2"/>
        <v>0</v>
      </c>
      <c r="K41" s="1688">
        <f t="shared" si="2"/>
        <v>0</v>
      </c>
      <c r="L41" s="1688">
        <f t="shared" si="2"/>
        <v>89000</v>
      </c>
      <c r="M41" s="1688">
        <f>SUM(M40)</f>
        <v>32817074</v>
      </c>
      <c r="N41" s="1688">
        <f>SUM(N37)</f>
        <v>2785000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defaultGridColor="0" colorId="8" zoomScale="110" zoomScaleNormal="110" zoomScaleSheetLayoutView="100" workbookViewId="0">
      <pane ySplit="2" topLeftCell="A69" activePane="bottomLeft" state="frozen"/>
      <selection pane="bottomLeft" activeCell="I79" sqref="I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3" t="s">
        <v>1175</v>
      </c>
      <c r="B3" s="2144"/>
      <c r="C3" s="1573"/>
      <c r="D3" s="1574"/>
      <c r="E3" s="1574"/>
      <c r="F3" s="1574"/>
      <c r="G3" s="1574"/>
      <c r="H3" s="1574"/>
      <c r="I3" s="1574"/>
      <c r="J3" s="1574"/>
      <c r="K3" s="1575"/>
      <c r="L3" s="506"/>
    </row>
    <row r="4" spans="1:13" ht="15.75" customHeight="1" x14ac:dyDescent="0.2">
      <c r="A4" s="1928" t="s">
        <v>1499</v>
      </c>
      <c r="B4" s="1929">
        <v>1000</v>
      </c>
      <c r="C4" s="1742">
        <f>'Revenues 9-14'!C109</f>
        <v>7292815</v>
      </c>
      <c r="D4" s="1742">
        <f>'Revenues 9-14'!D109</f>
        <v>1333392</v>
      </c>
      <c r="E4" s="1742">
        <f>'Revenues 9-14'!E109</f>
        <v>523910</v>
      </c>
      <c r="F4" s="1742">
        <f>'Revenues 9-14'!F109</f>
        <v>319669</v>
      </c>
      <c r="G4" s="1742">
        <f>'Revenues 9-14'!G109</f>
        <v>306079</v>
      </c>
      <c r="H4" s="1742">
        <f>'Revenues 9-14'!H109</f>
        <v>0</v>
      </c>
      <c r="I4" s="1742">
        <f>'Revenues 9-14'!I109</f>
        <v>24827</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4401045</v>
      </c>
      <c r="D6" s="1743">
        <f>'Revenues 9-14'!D170</f>
        <v>0</v>
      </c>
      <c r="E6" s="1743">
        <f>'Revenues 9-14'!E170</f>
        <v>0</v>
      </c>
      <c r="F6" s="1743">
        <f>'Revenues 9-14'!F170</f>
        <v>465041</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535928</v>
      </c>
      <c r="D7" s="1743">
        <f>'Revenues 9-14'!D267</f>
        <v>0</v>
      </c>
      <c r="E7" s="1743">
        <f>'Revenues 9-14'!E267</f>
        <v>0</v>
      </c>
      <c r="F7" s="1743">
        <f>'Revenues 9-14'!F267</f>
        <v>15250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12229788</v>
      </c>
      <c r="D8" s="1688">
        <f t="shared" ref="D8:K8" si="0">SUM(D4:D7)</f>
        <v>1333392</v>
      </c>
      <c r="E8" s="1688">
        <f t="shared" si="0"/>
        <v>523910</v>
      </c>
      <c r="F8" s="1688">
        <f t="shared" si="0"/>
        <v>799960</v>
      </c>
      <c r="G8" s="1688">
        <f t="shared" si="0"/>
        <v>306079</v>
      </c>
      <c r="H8" s="1688">
        <f t="shared" si="0"/>
        <v>0</v>
      </c>
      <c r="I8" s="1688">
        <f t="shared" si="0"/>
        <v>24827</v>
      </c>
      <c r="J8" s="1688">
        <f t="shared" si="0"/>
        <v>0</v>
      </c>
      <c r="K8" s="1688">
        <f t="shared" si="0"/>
        <v>0</v>
      </c>
      <c r="L8" s="347"/>
    </row>
    <row r="9" spans="1:13" ht="15.75" thickTop="1" x14ac:dyDescent="0.2">
      <c r="A9" s="514" t="s">
        <v>1653</v>
      </c>
      <c r="B9" s="515">
        <v>3998</v>
      </c>
      <c r="C9" s="481">
        <v>6235749.6500000004</v>
      </c>
      <c r="D9" s="516"/>
      <c r="E9" s="481"/>
      <c r="F9" s="481"/>
      <c r="G9" s="517"/>
      <c r="H9" s="481"/>
      <c r="I9" s="509" t="s">
        <v>1169</v>
      </c>
      <c r="J9" s="478"/>
      <c r="K9" s="481"/>
      <c r="L9" s="347"/>
    </row>
    <row r="10" spans="1:13" s="519" customFormat="1" ht="13.5" thickBot="1" x14ac:dyDescent="0.25">
      <c r="A10" s="1736" t="s">
        <v>1173</v>
      </c>
      <c r="B10" s="1709"/>
      <c r="C10" s="1688">
        <f>SUM(C8:C9)</f>
        <v>18465537.649999999</v>
      </c>
      <c r="D10" s="1688">
        <f t="shared" ref="D10:K10" si="1">SUM(D8:D9)</f>
        <v>1333392</v>
      </c>
      <c r="E10" s="1688">
        <f t="shared" si="1"/>
        <v>523910</v>
      </c>
      <c r="F10" s="1688">
        <f t="shared" si="1"/>
        <v>799960</v>
      </c>
      <c r="G10" s="1688">
        <f t="shared" si="1"/>
        <v>306079</v>
      </c>
      <c r="H10" s="1688">
        <f t="shared" si="1"/>
        <v>0</v>
      </c>
      <c r="I10" s="1688">
        <f t="shared" si="1"/>
        <v>24827</v>
      </c>
      <c r="J10" s="1688">
        <f t="shared" si="1"/>
        <v>0</v>
      </c>
      <c r="K10" s="1688">
        <f t="shared" si="1"/>
        <v>0</v>
      </c>
      <c r="L10" s="518"/>
    </row>
    <row r="11" spans="1:13" s="519" customFormat="1" ht="16.7" customHeight="1" thickTop="1" x14ac:dyDescent="0.2">
      <c r="A11" s="2117" t="s">
        <v>1176</v>
      </c>
      <c r="B11" s="2118"/>
      <c r="C11" s="1570"/>
      <c r="D11" s="1571"/>
      <c r="E11" s="1571"/>
      <c r="F11" s="1571"/>
      <c r="G11" s="1571"/>
      <c r="H11" s="1571"/>
      <c r="I11" s="1571"/>
      <c r="J11" s="1571"/>
      <c r="K11" s="1572"/>
      <c r="L11" s="518"/>
    </row>
    <row r="12" spans="1:13" ht="15.75" customHeight="1" x14ac:dyDescent="0.2">
      <c r="A12" s="1576" t="s">
        <v>456</v>
      </c>
      <c r="B12" s="1578">
        <v>1000</v>
      </c>
      <c r="C12" s="1742">
        <f>'Expenditures 15-22'!K33</f>
        <v>9988144</v>
      </c>
      <c r="D12" s="520" t="s">
        <v>1169</v>
      </c>
      <c r="E12" s="468" t="s">
        <v>1169</v>
      </c>
      <c r="F12" s="468" t="s">
        <v>1169</v>
      </c>
      <c r="G12" s="1742">
        <f>'Expenditures 15-22'!K229</f>
        <v>190891</v>
      </c>
      <c r="H12" s="521"/>
      <c r="I12" s="468" t="s">
        <v>1169</v>
      </c>
      <c r="J12" s="468" t="s">
        <v>1169</v>
      </c>
      <c r="K12" s="521" t="s">
        <v>1169</v>
      </c>
      <c r="L12" s="347"/>
    </row>
    <row r="13" spans="1:13" ht="15.75" customHeight="1" x14ac:dyDescent="0.2">
      <c r="A13" s="1576" t="s">
        <v>457</v>
      </c>
      <c r="B13" s="1578">
        <v>2000</v>
      </c>
      <c r="C13" s="1743">
        <f>'Expenditures 15-22'!K74</f>
        <v>3776984</v>
      </c>
      <c r="D13" s="1743">
        <f>'Expenditures 15-22'!K129</f>
        <v>1233378</v>
      </c>
      <c r="E13" s="469" t="s">
        <v>1169</v>
      </c>
      <c r="F13" s="1743">
        <f>'Expenditures 15-22'!K184</f>
        <v>1002018</v>
      </c>
      <c r="G13" s="1743">
        <f>'Expenditures 15-22'!K279</f>
        <v>195297</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134356</v>
      </c>
      <c r="D14" s="1743">
        <f>'Expenditures 15-22'!K130</f>
        <v>0</v>
      </c>
      <c r="E14" s="520" t="s">
        <v>1169</v>
      </c>
      <c r="F14" s="1743">
        <f>'Expenditures 15-22'!K185</f>
        <v>0</v>
      </c>
      <c r="G14" s="1743">
        <f>'Expenditures 15-22'!K280</f>
        <v>13406</v>
      </c>
      <c r="H14" s="512"/>
      <c r="I14" s="468" t="s">
        <v>1169</v>
      </c>
      <c r="J14" s="468" t="s">
        <v>1169</v>
      </c>
      <c r="K14" s="512" t="s">
        <v>1169</v>
      </c>
      <c r="L14" s="347"/>
    </row>
    <row r="15" spans="1:13" ht="15.75" customHeight="1" x14ac:dyDescent="0.2">
      <c r="A15" s="1576" t="s">
        <v>107</v>
      </c>
      <c r="B15" s="1578">
        <v>4000</v>
      </c>
      <c r="C15" s="1743">
        <f>'Expenditures 15-22'!K102</f>
        <v>315906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830797</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14215390</v>
      </c>
      <c r="D17" s="1688">
        <f t="shared" si="2"/>
        <v>1233378</v>
      </c>
      <c r="E17" s="1688">
        <f t="shared" si="2"/>
        <v>830797</v>
      </c>
      <c r="F17" s="1688">
        <f t="shared" si="2"/>
        <v>1002018</v>
      </c>
      <c r="G17" s="1688">
        <f t="shared" si="2"/>
        <v>399594</v>
      </c>
      <c r="H17" s="1688">
        <f t="shared" si="2"/>
        <v>0</v>
      </c>
      <c r="I17" s="468"/>
      <c r="J17" s="1688">
        <f>SUM(J12:J16)</f>
        <v>0</v>
      </c>
      <c r="K17" s="1688">
        <f>SUM(K12:K16)</f>
        <v>0</v>
      </c>
      <c r="L17" s="347"/>
    </row>
    <row r="18" spans="1:12" ht="15" customHeight="1" thickTop="1" x14ac:dyDescent="0.2">
      <c r="A18" s="1744" t="s">
        <v>1654</v>
      </c>
      <c r="B18" s="1745">
        <v>4180</v>
      </c>
      <c r="C18" s="1742">
        <f t="shared" ref="C18:H18" si="3">C9</f>
        <v>6235749.6500000004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20451139.649999999</v>
      </c>
      <c r="D19" s="1688">
        <f t="shared" si="4"/>
        <v>1233378</v>
      </c>
      <c r="E19" s="1688">
        <f t="shared" si="4"/>
        <v>830797</v>
      </c>
      <c r="F19" s="1688">
        <f t="shared" si="4"/>
        <v>1002018</v>
      </c>
      <c r="G19" s="1688">
        <f t="shared" si="4"/>
        <v>399594</v>
      </c>
      <c r="H19" s="1688">
        <f t="shared" si="4"/>
        <v>0</v>
      </c>
      <c r="I19" s="468"/>
      <c r="J19" s="1688">
        <f>SUM(J17:J18)</f>
        <v>0</v>
      </c>
      <c r="K19" s="1688">
        <f>SUM(K17:K18)</f>
        <v>0</v>
      </c>
      <c r="L19" s="347"/>
    </row>
    <row r="20" spans="1:12" ht="16.5" thickTop="1" thickBot="1" x14ac:dyDescent="0.25">
      <c r="A20" s="2133" t="s">
        <v>1655</v>
      </c>
      <c r="B20" s="2134"/>
      <c r="C20" s="1746">
        <f>C8-C17</f>
        <v>-1985602</v>
      </c>
      <c r="D20" s="1746">
        <f t="shared" ref="D20:K20" si="5">D8-D17</f>
        <v>100014</v>
      </c>
      <c r="E20" s="1746">
        <f t="shared" si="5"/>
        <v>-306887</v>
      </c>
      <c r="F20" s="1746">
        <f t="shared" si="5"/>
        <v>-202058</v>
      </c>
      <c r="G20" s="1746">
        <f t="shared" si="5"/>
        <v>-93515</v>
      </c>
      <c r="H20" s="1746">
        <f t="shared" si="5"/>
        <v>0</v>
      </c>
      <c r="I20" s="1746">
        <f t="shared" si="5"/>
        <v>24827</v>
      </c>
      <c r="J20" s="1746">
        <f t="shared" si="5"/>
        <v>0</v>
      </c>
      <c r="K20" s="1746">
        <f t="shared" si="5"/>
        <v>0</v>
      </c>
      <c r="L20" s="347"/>
    </row>
    <row r="21" spans="1:12" ht="16.7" customHeight="1" thickTop="1" x14ac:dyDescent="0.2">
      <c r="A21" s="2145" t="s">
        <v>595</v>
      </c>
      <c r="B21" s="2146"/>
      <c r="C21" s="1570"/>
      <c r="D21" s="1571"/>
      <c r="E21" s="1571"/>
      <c r="F21" s="1571"/>
      <c r="G21" s="1571"/>
      <c r="H21" s="1571"/>
      <c r="I21" s="1571"/>
      <c r="J21" s="1571"/>
      <c r="K21" s="1572"/>
      <c r="L21" s="524"/>
    </row>
    <row r="22" spans="1:12" ht="15.75" customHeight="1" collapsed="1" x14ac:dyDescent="0.2">
      <c r="A22" s="2141" t="s">
        <v>596</v>
      </c>
      <c r="B22" s="2142"/>
      <c r="C22" s="477"/>
      <c r="D22" s="477"/>
      <c r="E22" s="477"/>
      <c r="F22" s="477"/>
      <c r="G22" s="477"/>
      <c r="H22" s="477"/>
      <c r="I22" s="477"/>
      <c r="J22" s="477"/>
      <c r="K22" s="477"/>
      <c r="L22" s="347"/>
    </row>
    <row r="23" spans="1:12" s="485" customFormat="1" ht="15.75" customHeight="1" x14ac:dyDescent="0.2">
      <c r="A23" s="2137" t="s">
        <v>293</v>
      </c>
      <c r="B23" s="213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9" t="s">
        <v>981</v>
      </c>
      <c r="B32" s="214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7" t="s">
        <v>374</v>
      </c>
      <c r="B44" s="2148"/>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3" t="s">
        <v>440</v>
      </c>
      <c r="B76" s="2124"/>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5" t="s">
        <v>1177</v>
      </c>
      <c r="B77" s="2126"/>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9" t="s">
        <v>597</v>
      </c>
      <c r="B78" s="2130"/>
      <c r="C78" s="1702">
        <f t="shared" ref="C78:K78" si="9">C20+C77</f>
        <v>-1985602</v>
      </c>
      <c r="D78" s="1702">
        <f t="shared" si="9"/>
        <v>100014</v>
      </c>
      <c r="E78" s="1702">
        <f t="shared" si="9"/>
        <v>-306887</v>
      </c>
      <c r="F78" s="1702">
        <f t="shared" si="9"/>
        <v>-202058</v>
      </c>
      <c r="G78" s="1702">
        <f t="shared" si="9"/>
        <v>-93515</v>
      </c>
      <c r="H78" s="1702">
        <f t="shared" si="9"/>
        <v>0</v>
      </c>
      <c r="I78" s="1702">
        <f t="shared" si="9"/>
        <v>24827</v>
      </c>
      <c r="J78" s="1702">
        <f t="shared" si="9"/>
        <v>0</v>
      </c>
      <c r="K78" s="1702">
        <f t="shared" si="9"/>
        <v>0</v>
      </c>
      <c r="L78" s="533"/>
    </row>
    <row r="79" spans="1:12" ht="13.5" thickTop="1" x14ac:dyDescent="0.2">
      <c r="A79" s="1494" t="s">
        <v>1949</v>
      </c>
      <c r="B79" s="534"/>
      <c r="C79" s="478">
        <v>11185792</v>
      </c>
      <c r="D79" s="535">
        <v>2501385</v>
      </c>
      <c r="E79" s="535">
        <v>897763</v>
      </c>
      <c r="F79" s="535">
        <v>804887</v>
      </c>
      <c r="G79" s="535">
        <v>802639</v>
      </c>
      <c r="H79" s="535"/>
      <c r="I79" s="535">
        <v>1122362</v>
      </c>
      <c r="J79" s="535"/>
      <c r="K79" s="535"/>
      <c r="L79" s="347"/>
    </row>
    <row r="80" spans="1:12" x14ac:dyDescent="0.2">
      <c r="A80" s="2135" t="s">
        <v>1795</v>
      </c>
      <c r="B80" s="2136"/>
      <c r="C80" s="467"/>
      <c r="D80" s="467"/>
      <c r="E80" s="467"/>
      <c r="F80" s="467"/>
      <c r="G80" s="467"/>
      <c r="H80" s="467"/>
      <c r="I80" s="467"/>
      <c r="J80" s="467"/>
      <c r="K80" s="467"/>
      <c r="L80" s="347"/>
    </row>
    <row r="81" spans="1:12" ht="13.5" thickBot="1" x14ac:dyDescent="0.25">
      <c r="A81" s="2127" t="s">
        <v>1950</v>
      </c>
      <c r="B81" s="2128"/>
      <c r="C81" s="1688">
        <f>(SUM(C78:C80))</f>
        <v>9200190</v>
      </c>
      <c r="D81" s="1688">
        <f>SUM(D78:D80)</f>
        <v>2601399</v>
      </c>
      <c r="E81" s="1688">
        <f t="shared" ref="E81:K81" si="10">SUM(E78:E80)</f>
        <v>590876</v>
      </c>
      <c r="F81" s="1688">
        <f t="shared" si="10"/>
        <v>602829</v>
      </c>
      <c r="G81" s="1688">
        <f t="shared" si="10"/>
        <v>709124</v>
      </c>
      <c r="H81" s="1688">
        <f t="shared" si="10"/>
        <v>0</v>
      </c>
      <c r="I81" s="1688">
        <f t="shared" si="10"/>
        <v>1147189</v>
      </c>
      <c r="J81" s="1688">
        <f t="shared" si="10"/>
        <v>0</v>
      </c>
      <c r="K81" s="1688">
        <f t="shared" si="10"/>
        <v>0</v>
      </c>
      <c r="L81" s="347"/>
    </row>
    <row r="82" spans="1:12" ht="0.75" customHeight="1" thickTop="1" thickBot="1" x14ac:dyDescent="0.25">
      <c r="A82" s="536" t="s">
        <v>343</v>
      </c>
      <c r="B82" s="537"/>
      <c r="C82" s="538">
        <f>(C81-C79)</f>
        <v>-1985602</v>
      </c>
      <c r="D82" s="538">
        <f t="shared" ref="D82:K82" si="11">(D81-D79)</f>
        <v>100014</v>
      </c>
      <c r="E82" s="538">
        <f t="shared" si="11"/>
        <v>-306887</v>
      </c>
      <c r="F82" s="538">
        <f t="shared" si="11"/>
        <v>-202058</v>
      </c>
      <c r="G82" s="538">
        <f t="shared" si="11"/>
        <v>-93515</v>
      </c>
      <c r="H82" s="538">
        <f t="shared" si="11"/>
        <v>0</v>
      </c>
      <c r="I82" s="538">
        <f t="shared" si="11"/>
        <v>24827</v>
      </c>
      <c r="J82" s="538">
        <f t="shared" si="11"/>
        <v>0</v>
      </c>
      <c r="K82" s="538">
        <f t="shared" si="11"/>
        <v>0</v>
      </c>
    </row>
    <row r="83" spans="1:12" ht="14.25" hidden="1" thickTop="1" thickBot="1" x14ac:dyDescent="0.25">
      <c r="A83" s="539" t="s">
        <v>344</v>
      </c>
      <c r="B83" s="464"/>
      <c r="C83" s="540">
        <f>C82/C81</f>
        <v>-0.21582184715750435</v>
      </c>
      <c r="D83" s="540">
        <f t="shared" ref="D83:K83" si="12">D82/D81</f>
        <v>3.8446236044528348E-2</v>
      </c>
      <c r="E83" s="540">
        <f t="shared" si="12"/>
        <v>-0.51937631584291799</v>
      </c>
      <c r="F83" s="540">
        <f t="shared" si="12"/>
        <v>-0.33518294574414964</v>
      </c>
      <c r="G83" s="540">
        <f t="shared" si="12"/>
        <v>-0.1318739740863375</v>
      </c>
      <c r="H83" s="540" t="e">
        <f t="shared" si="12"/>
        <v>#DIV/0!</v>
      </c>
      <c r="I83" s="540">
        <f t="shared" si="12"/>
        <v>2.1641595238448066E-2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92" activePane="bottomLeft" state="frozen"/>
      <selection pane="bottomLeft" activeCell="A206" sqref="A20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1" t="s">
        <v>1802</v>
      </c>
      <c r="B1" s="452"/>
      <c r="C1" s="453" t="s">
        <v>425</v>
      </c>
      <c r="D1" s="453" t="s">
        <v>426</v>
      </c>
      <c r="E1" s="453" t="s">
        <v>427</v>
      </c>
      <c r="F1" s="453" t="s">
        <v>428</v>
      </c>
      <c r="G1" s="453" t="s">
        <v>429</v>
      </c>
      <c r="H1" s="453" t="s">
        <v>430</v>
      </c>
      <c r="I1" s="453" t="s">
        <v>431</v>
      </c>
      <c r="J1" s="453" t="s">
        <v>432</v>
      </c>
      <c r="K1" s="453" t="s">
        <v>756</v>
      </c>
    </row>
    <row r="2" spans="1:12" ht="36" x14ac:dyDescent="0.2">
      <c r="A2" s="213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6082659</v>
      </c>
      <c r="D5" s="481">
        <v>794413</v>
      </c>
      <c r="E5" s="466">
        <v>507278</v>
      </c>
      <c r="F5" s="548">
        <v>285703</v>
      </c>
      <c r="G5" s="466">
        <v>121917</v>
      </c>
      <c r="H5" s="466"/>
      <c r="I5" s="466"/>
      <c r="J5" s="467"/>
      <c r="K5" s="466"/>
    </row>
    <row r="6" spans="1:12" ht="15" x14ac:dyDescent="0.2">
      <c r="A6" s="463" t="s">
        <v>1662</v>
      </c>
      <c r="B6" s="470">
        <v>1130</v>
      </c>
      <c r="C6" s="466">
        <v>93978</v>
      </c>
      <c r="D6" s="466"/>
      <c r="E6" s="475"/>
      <c r="F6" s="475"/>
      <c r="G6" s="468"/>
      <c r="H6" s="468"/>
      <c r="I6" s="468"/>
      <c r="J6" s="468"/>
      <c r="K6" s="468"/>
    </row>
    <row r="7" spans="1:12" x14ac:dyDescent="0.2">
      <c r="A7" s="463" t="s">
        <v>110</v>
      </c>
      <c r="B7" s="549">
        <v>1140</v>
      </c>
      <c r="C7" s="466">
        <v>37590</v>
      </c>
      <c r="D7" s="466"/>
      <c r="E7" s="468"/>
      <c r="F7" s="467"/>
      <c r="G7" s="467"/>
      <c r="H7" s="467"/>
      <c r="I7" s="468"/>
      <c r="J7" s="468"/>
      <c r="K7" s="468"/>
    </row>
    <row r="8" spans="1:12" x14ac:dyDescent="0.2">
      <c r="A8" s="463" t="s">
        <v>413</v>
      </c>
      <c r="B8" s="470">
        <v>1150</v>
      </c>
      <c r="C8" s="475"/>
      <c r="D8" s="475"/>
      <c r="E8" s="477"/>
      <c r="F8" s="477"/>
      <c r="G8" s="481">
        <v>141764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6214227</v>
      </c>
      <c r="D12" s="1707">
        <f t="shared" si="0"/>
        <v>794413</v>
      </c>
      <c r="E12" s="1707">
        <f t="shared" si="0"/>
        <v>507278</v>
      </c>
      <c r="F12" s="1707">
        <f t="shared" si="0"/>
        <v>285703</v>
      </c>
      <c r="G12" s="1707">
        <f t="shared" si="0"/>
        <v>263681</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100000</v>
      </c>
      <c r="D16" s="466">
        <v>467757</v>
      </c>
      <c r="E16" s="466"/>
      <c r="F16" s="466"/>
      <c r="G16" s="466">
        <v>25000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100000</v>
      </c>
      <c r="D18" s="1710">
        <f t="shared" ref="D18:K18" si="1">SUM(D14:D17)</f>
        <v>467757</v>
      </c>
      <c r="E18" s="1710">
        <f t="shared" si="1"/>
        <v>0</v>
      </c>
      <c r="F18" s="1710">
        <f t="shared" si="1"/>
        <v>0</v>
      </c>
      <c r="G18" s="1710">
        <f t="shared" si="1"/>
        <v>25000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7162</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7162</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17142</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17142</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234947</v>
      </c>
      <c r="D65" s="466">
        <v>55350</v>
      </c>
      <c r="E65" s="466">
        <v>16632</v>
      </c>
      <c r="F65" s="467">
        <v>16824</v>
      </c>
      <c r="G65" s="466">
        <v>17398</v>
      </c>
      <c r="H65" s="466"/>
      <c r="I65" s="466">
        <v>24827</v>
      </c>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234947</v>
      </c>
      <c r="D67" s="1688">
        <f t="shared" ref="D67:K67" si="2">SUM(D65:D66)</f>
        <v>55350</v>
      </c>
      <c r="E67" s="1688">
        <f t="shared" si="2"/>
        <v>16632</v>
      </c>
      <c r="F67" s="1688">
        <f t="shared" si="2"/>
        <v>16824</v>
      </c>
      <c r="G67" s="1688">
        <f t="shared" si="2"/>
        <v>17398</v>
      </c>
      <c r="H67" s="1688">
        <f t="shared" si="2"/>
        <v>0</v>
      </c>
      <c r="I67" s="1688">
        <f t="shared" si="2"/>
        <v>24827</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276156</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1721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277877</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5987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423</v>
      </c>
      <c r="D81" s="466"/>
      <c r="E81" s="468"/>
      <c r="F81" s="468"/>
      <c r="G81" s="468"/>
      <c r="H81" s="468"/>
      <c r="I81" s="468"/>
      <c r="J81" s="468"/>
      <c r="K81" s="468"/>
    </row>
    <row r="82" spans="1:11" ht="12.75" customHeight="1" thickBot="1" x14ac:dyDescent="0.25">
      <c r="A82" s="1708" t="s">
        <v>241</v>
      </c>
      <c r="B82" s="1709"/>
      <c r="C82" s="1707">
        <f>SUM(C77:C81)</f>
        <v>6410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1036</v>
      </c>
      <c r="D95" s="551">
        <v>14349</v>
      </c>
      <c r="E95" s="521"/>
      <c r="F95" s="521"/>
      <c r="G95" s="521"/>
      <c r="H95" s="521"/>
      <c r="I95" s="521"/>
      <c r="J95" s="521"/>
      <c r="K95" s="521"/>
    </row>
    <row r="96" spans="1:11" ht="12.75" customHeight="1" x14ac:dyDescent="0.2">
      <c r="A96" s="463" t="s">
        <v>391</v>
      </c>
      <c r="B96" s="470">
        <v>1920</v>
      </c>
      <c r="C96" s="551">
        <v>42347</v>
      </c>
      <c r="D96" s="551">
        <v>1508</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48981</v>
      </c>
      <c r="D99" s="466">
        <v>15</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359828</v>
      </c>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452192</v>
      </c>
      <c r="D108" s="1707">
        <f t="shared" ref="D108:K108" si="3">SUM(D95:D107)</f>
        <v>15872</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7292815</v>
      </c>
      <c r="D109" s="1715">
        <f t="shared" si="4"/>
        <v>1333392</v>
      </c>
      <c r="E109" s="1715">
        <f t="shared" si="4"/>
        <v>523910</v>
      </c>
      <c r="F109" s="1715">
        <f t="shared" si="4"/>
        <v>319669</v>
      </c>
      <c r="G109" s="1715">
        <f t="shared" si="4"/>
        <v>306079</v>
      </c>
      <c r="H109" s="1715">
        <f t="shared" si="4"/>
        <v>0</v>
      </c>
      <c r="I109" s="1715">
        <f t="shared" si="4"/>
        <v>24827</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4202844</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4202844</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51752</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23222</v>
      </c>
      <c r="D128" s="561"/>
      <c r="E128" s="468"/>
      <c r="F128" s="466"/>
      <c r="G128" s="468"/>
      <c r="H128" s="468"/>
      <c r="I128" s="468"/>
      <c r="J128" s="468"/>
      <c r="K128" s="468"/>
    </row>
    <row r="129" spans="1:11" ht="12.75" customHeight="1" x14ac:dyDescent="0.2">
      <c r="A129" s="463" t="s">
        <v>1447</v>
      </c>
      <c r="B129" s="562">
        <v>3130</v>
      </c>
      <c r="C129" s="466">
        <v>1810</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76784</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2667</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261982</v>
      </c>
      <c r="G152" s="467"/>
      <c r="H152" s="468"/>
      <c r="I152" s="468"/>
      <c r="J152" s="468"/>
      <c r="K152" s="468"/>
    </row>
    <row r="153" spans="1:11" ht="12.75" customHeight="1" x14ac:dyDescent="0.2">
      <c r="A153" s="463" t="s">
        <v>1057</v>
      </c>
      <c r="B153" s="562">
        <v>3510</v>
      </c>
      <c r="C153" s="551"/>
      <c r="D153" s="466"/>
      <c r="E153" s="561"/>
      <c r="F153" s="466">
        <v>203059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465041</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118750</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51" t="s">
        <v>398</v>
      </c>
      <c r="B169" s="2152"/>
      <c r="C169" s="1722">
        <f t="shared" ref="C169:K169" si="6">SUM(C132,C141,C145,C146:C150,C155,C156:C167,C168)</f>
        <v>198201</v>
      </c>
      <c r="D169" s="1722">
        <f t="shared" si="6"/>
        <v>0</v>
      </c>
      <c r="E169" s="1722">
        <f t="shared" si="6"/>
        <v>0</v>
      </c>
      <c r="F169" s="1722">
        <f t="shared" si="6"/>
        <v>465041</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4401045</v>
      </c>
      <c r="D170" s="1715">
        <f t="shared" si="7"/>
        <v>0</v>
      </c>
      <c r="E170" s="1715">
        <f t="shared" si="7"/>
        <v>0</v>
      </c>
      <c r="F170" s="1715">
        <f t="shared" si="7"/>
        <v>465041</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3" t="s">
        <v>1492</v>
      </c>
      <c r="B172" s="215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7" t="s">
        <v>1665</v>
      </c>
      <c r="B175" s="215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1" t="s">
        <v>1664</v>
      </c>
      <c r="B176" s="216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9" t="s">
        <v>785</v>
      </c>
      <c r="B181" s="216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5" t="s">
        <v>1803</v>
      </c>
      <c r="B182" s="215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179760</v>
      </c>
      <c r="D191" s="468"/>
      <c r="E191" s="561"/>
      <c r="F191" s="468"/>
      <c r="G191" s="585"/>
      <c r="H191" s="468"/>
      <c r="I191" s="468"/>
      <c r="J191" s="468"/>
      <c r="K191" s="468"/>
    </row>
    <row r="192" spans="1:11" ht="12.75" customHeight="1" x14ac:dyDescent="0.2">
      <c r="A192" s="463" t="s">
        <v>1047</v>
      </c>
      <c r="B192" s="470">
        <v>4215</v>
      </c>
      <c r="C192" s="551">
        <v>1569</v>
      </c>
      <c r="D192" s="468"/>
      <c r="E192" s="561"/>
      <c r="F192" s="468"/>
      <c r="G192" s="585"/>
      <c r="H192" s="468"/>
      <c r="I192" s="468"/>
      <c r="J192" s="468"/>
      <c r="K192" s="468"/>
    </row>
    <row r="193" spans="1:11" ht="12.75" customHeight="1" x14ac:dyDescent="0.2">
      <c r="A193" s="463" t="s">
        <v>1059</v>
      </c>
      <c r="B193" s="470">
        <v>4220</v>
      </c>
      <c r="C193" s="551">
        <v>8479</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189808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74962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74962</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4375</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4375</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16655</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148571</v>
      </c>
      <c r="D213" s="466"/>
      <c r="E213" s="468"/>
      <c r="F213" s="466"/>
      <c r="G213" s="466"/>
      <c r="H213" s="468"/>
      <c r="I213" s="468"/>
      <c r="J213" s="468"/>
      <c r="K213" s="468"/>
    </row>
    <row r="214" spans="1:11" ht="12.75" customHeight="1" x14ac:dyDescent="0.2">
      <c r="A214" s="463" t="s">
        <v>1054</v>
      </c>
      <c r="B214" s="470">
        <v>4625</v>
      </c>
      <c r="C214" s="551">
        <v>394</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165620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27139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32628</v>
      </c>
      <c r="D263" s="576"/>
      <c r="E263" s="468"/>
      <c r="F263" s="576"/>
      <c r="G263" s="576"/>
      <c r="H263" s="468"/>
      <c r="I263" s="468"/>
      <c r="J263" s="468"/>
      <c r="K263" s="468"/>
    </row>
    <row r="264" spans="1:11" ht="12.75" customHeight="1" thickTop="1" thickBot="1" x14ac:dyDescent="0.25">
      <c r="A264" s="463" t="s">
        <v>377</v>
      </c>
      <c r="B264" s="470">
        <v>4992</v>
      </c>
      <c r="C264" s="575">
        <v>41396</v>
      </c>
      <c r="D264" s="576"/>
      <c r="E264" s="468"/>
      <c r="F264" s="576">
        <v>15250</v>
      </c>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535928</v>
      </c>
      <c r="D266" s="1715">
        <f t="shared" si="10"/>
        <v>0</v>
      </c>
      <c r="E266" s="1715">
        <f t="shared" si="10"/>
        <v>0</v>
      </c>
      <c r="F266" s="1715">
        <f t="shared" si="10"/>
        <v>15250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535928</v>
      </c>
      <c r="D267" s="1715">
        <f>SUM(D175,D181,D266)</f>
        <v>0</v>
      </c>
      <c r="E267" s="1715">
        <f>SUM(E175,E266)</f>
        <v>0</v>
      </c>
      <c r="F267" s="1715">
        <f t="shared" ref="F267:K267" si="11">SUM(F175,F181,F266)</f>
        <v>15250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12229788</v>
      </c>
      <c r="D268" s="1715">
        <f t="shared" si="12"/>
        <v>1333392</v>
      </c>
      <c r="E268" s="1715">
        <f t="shared" si="12"/>
        <v>523910</v>
      </c>
      <c r="F268" s="1715">
        <f t="shared" si="12"/>
        <v>799960</v>
      </c>
      <c r="G268" s="1715">
        <f t="shared" si="12"/>
        <v>306079</v>
      </c>
      <c r="H268" s="1715">
        <f t="shared" si="12"/>
        <v>0</v>
      </c>
      <c r="I268" s="1715">
        <f t="shared" si="12"/>
        <v>24827</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57" activePane="bottomLeft" state="frozen"/>
      <selection pane="bottomLeft" activeCell="H61" sqref="H6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1" t="s">
        <v>297</v>
      </c>
      <c r="B3" s="217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5938155</v>
      </c>
      <c r="D5" s="466">
        <v>947454</v>
      </c>
      <c r="E5" s="466">
        <v>214396</v>
      </c>
      <c r="F5" s="466">
        <v>320688</v>
      </c>
      <c r="G5" s="466">
        <v>155257</v>
      </c>
      <c r="H5" s="466">
        <v>2747</v>
      </c>
      <c r="I5" s="467"/>
      <c r="J5" s="467"/>
      <c r="K5" s="1671">
        <f>SUM(C5:J5)</f>
        <v>7578697</v>
      </c>
      <c r="L5" s="466">
        <v>8062432</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91452</v>
      </c>
      <c r="D7" s="467">
        <v>6340</v>
      </c>
      <c r="E7" s="467">
        <v>2671</v>
      </c>
      <c r="F7" s="467">
        <v>18899</v>
      </c>
      <c r="G7" s="467">
        <v>3382</v>
      </c>
      <c r="H7" s="467"/>
      <c r="I7" s="467">
        <v>4583</v>
      </c>
      <c r="J7" s="467"/>
      <c r="K7" s="1671">
        <f t="shared" ref="K7:K32" si="0">SUM(C7:J7)</f>
        <v>127327</v>
      </c>
      <c r="L7" s="466">
        <v>196551</v>
      </c>
    </row>
    <row r="8" spans="1:14" x14ac:dyDescent="0.2">
      <c r="A8" s="1504" t="s">
        <v>164</v>
      </c>
      <c r="B8" s="614">
        <v>1200</v>
      </c>
      <c r="C8" s="466">
        <v>1467903</v>
      </c>
      <c r="D8" s="466">
        <v>192647</v>
      </c>
      <c r="E8" s="466">
        <v>45324</v>
      </c>
      <c r="F8" s="466">
        <v>25075</v>
      </c>
      <c r="G8" s="466">
        <v>21322</v>
      </c>
      <c r="H8" s="466">
        <v>166</v>
      </c>
      <c r="I8" s="467"/>
      <c r="J8" s="467"/>
      <c r="K8" s="1671">
        <f t="shared" si="0"/>
        <v>1752437</v>
      </c>
      <c r="L8" s="466">
        <v>1995167</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223635</v>
      </c>
      <c r="D10" s="466">
        <v>39326</v>
      </c>
      <c r="E10" s="466">
        <v>7342</v>
      </c>
      <c r="F10" s="466">
        <v>23660</v>
      </c>
      <c r="G10" s="466">
        <v>12821</v>
      </c>
      <c r="H10" s="466"/>
      <c r="I10" s="467"/>
      <c r="J10" s="467"/>
      <c r="K10" s="1671">
        <f t="shared" si="0"/>
        <v>306784</v>
      </c>
      <c r="L10" s="466">
        <v>395204</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65818</v>
      </c>
      <c r="D14" s="466">
        <v>1441</v>
      </c>
      <c r="E14" s="466">
        <v>6875</v>
      </c>
      <c r="F14" s="466">
        <v>4214</v>
      </c>
      <c r="G14" s="466"/>
      <c r="H14" s="466">
        <v>915</v>
      </c>
      <c r="I14" s="467"/>
      <c r="J14" s="467"/>
      <c r="K14" s="1671">
        <f t="shared" si="0"/>
        <v>79263</v>
      </c>
      <c r="L14" s="466">
        <v>14400</v>
      </c>
    </row>
    <row r="15" spans="1:14" x14ac:dyDescent="0.2">
      <c r="A15" s="1504" t="s">
        <v>964</v>
      </c>
      <c r="B15" s="614">
        <v>1600</v>
      </c>
      <c r="C15" s="466">
        <v>3750</v>
      </c>
      <c r="D15" s="466"/>
      <c r="E15" s="466"/>
      <c r="F15" s="466"/>
      <c r="G15" s="466"/>
      <c r="H15" s="466"/>
      <c r="I15" s="467"/>
      <c r="J15" s="467"/>
      <c r="K15" s="1671">
        <f t="shared" si="0"/>
        <v>3750</v>
      </c>
      <c r="L15" s="466">
        <v>10000</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139886</v>
      </c>
      <c r="I22" s="616"/>
      <c r="J22" s="477"/>
      <c r="K22" s="1671">
        <f t="shared" si="0"/>
        <v>139886</v>
      </c>
      <c r="L22" s="471">
        <v>519250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7790713</v>
      </c>
      <c r="D33" s="1670">
        <f t="shared" ref="D33:L33" si="1">SUM(D5:D32)</f>
        <v>1187208</v>
      </c>
      <c r="E33" s="1670">
        <f t="shared" si="1"/>
        <v>276608</v>
      </c>
      <c r="F33" s="1670">
        <f t="shared" si="1"/>
        <v>392536</v>
      </c>
      <c r="G33" s="1670">
        <f t="shared" si="1"/>
        <v>192782</v>
      </c>
      <c r="H33" s="1670">
        <f t="shared" si="1"/>
        <v>143714</v>
      </c>
      <c r="I33" s="1670">
        <f t="shared" si="1"/>
        <v>4583</v>
      </c>
      <c r="J33" s="1670">
        <f t="shared" si="1"/>
        <v>0</v>
      </c>
      <c r="K33" s="1670">
        <f t="shared" si="1"/>
        <v>9988144</v>
      </c>
      <c r="L33" s="1670">
        <f t="shared" si="1"/>
        <v>11193004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275759</v>
      </c>
      <c r="D36" s="481">
        <v>39548</v>
      </c>
      <c r="E36" s="481"/>
      <c r="F36" s="481"/>
      <c r="G36" s="481"/>
      <c r="H36" s="481"/>
      <c r="I36" s="467"/>
      <c r="J36" s="467"/>
      <c r="K36" s="1671">
        <f t="shared" ref="K36:K41" si="2">SUM(C36:J36)</f>
        <v>315307</v>
      </c>
      <c r="L36" s="466">
        <v>338523</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132313</v>
      </c>
      <c r="D38" s="466">
        <v>10259</v>
      </c>
      <c r="E38" s="466">
        <v>1434</v>
      </c>
      <c r="F38" s="466">
        <v>4756</v>
      </c>
      <c r="G38" s="466">
        <v>1755</v>
      </c>
      <c r="H38" s="466"/>
      <c r="I38" s="467"/>
      <c r="J38" s="467"/>
      <c r="K38" s="1671">
        <f t="shared" si="2"/>
        <v>150517</v>
      </c>
      <c r="L38" s="466">
        <v>192230</v>
      </c>
    </row>
    <row r="39" spans="1:14" x14ac:dyDescent="0.2">
      <c r="A39" s="1504" t="s">
        <v>199</v>
      </c>
      <c r="B39" s="614">
        <v>2140</v>
      </c>
      <c r="C39" s="466">
        <v>57112</v>
      </c>
      <c r="D39" s="466">
        <v>10756</v>
      </c>
      <c r="E39" s="466">
        <v>17966</v>
      </c>
      <c r="F39" s="466"/>
      <c r="G39" s="466"/>
      <c r="H39" s="466"/>
      <c r="I39" s="467"/>
      <c r="J39" s="467"/>
      <c r="K39" s="1671">
        <f t="shared" si="2"/>
        <v>85834</v>
      </c>
      <c r="L39" s="466">
        <v>113648</v>
      </c>
    </row>
    <row r="40" spans="1:14" x14ac:dyDescent="0.2">
      <c r="A40" s="1504" t="s">
        <v>200</v>
      </c>
      <c r="B40" s="614">
        <v>2150</v>
      </c>
      <c r="C40" s="466">
        <v>365858</v>
      </c>
      <c r="D40" s="466">
        <v>54897</v>
      </c>
      <c r="E40" s="466">
        <v>5775</v>
      </c>
      <c r="F40" s="466">
        <v>220</v>
      </c>
      <c r="G40" s="466"/>
      <c r="H40" s="466"/>
      <c r="I40" s="467"/>
      <c r="J40" s="467"/>
      <c r="K40" s="1671">
        <f t="shared" si="2"/>
        <v>426750</v>
      </c>
      <c r="L40" s="466">
        <v>435607</v>
      </c>
    </row>
    <row r="41" spans="1:14" x14ac:dyDescent="0.2">
      <c r="A41" s="1504" t="s">
        <v>1669</v>
      </c>
      <c r="B41" s="614">
        <v>2190</v>
      </c>
      <c r="C41" s="466">
        <v>62119</v>
      </c>
      <c r="D41" s="466"/>
      <c r="E41" s="466"/>
      <c r="F41" s="466"/>
      <c r="G41" s="466"/>
      <c r="H41" s="466"/>
      <c r="I41" s="467"/>
      <c r="J41" s="467"/>
      <c r="K41" s="1671">
        <f t="shared" si="2"/>
        <v>62119</v>
      </c>
      <c r="L41" s="466">
        <v>79000</v>
      </c>
    </row>
    <row r="42" spans="1:14" ht="12.75" customHeight="1" thickBot="1" x14ac:dyDescent="0.25">
      <c r="A42" s="1668" t="s">
        <v>560</v>
      </c>
      <c r="B42" s="1669" t="s">
        <v>716</v>
      </c>
      <c r="C42" s="1670">
        <f>SUM(C36:C41)</f>
        <v>893161</v>
      </c>
      <c r="D42" s="1670">
        <f t="shared" ref="D42:L42" si="3">SUM(D36:D41)</f>
        <v>115460</v>
      </c>
      <c r="E42" s="1670">
        <f t="shared" si="3"/>
        <v>25175</v>
      </c>
      <c r="F42" s="1670">
        <f t="shared" si="3"/>
        <v>4976</v>
      </c>
      <c r="G42" s="1670">
        <f t="shared" si="3"/>
        <v>1755</v>
      </c>
      <c r="H42" s="1670">
        <f t="shared" si="3"/>
        <v>0</v>
      </c>
      <c r="I42" s="1670">
        <f t="shared" si="3"/>
        <v>0</v>
      </c>
      <c r="J42" s="1670">
        <f t="shared" si="3"/>
        <v>0</v>
      </c>
      <c r="K42" s="1670">
        <f t="shared" si="3"/>
        <v>1040527</v>
      </c>
      <c r="L42" s="1670">
        <f t="shared" si="3"/>
        <v>1159008</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95720</v>
      </c>
      <c r="D44" s="481">
        <v>37523</v>
      </c>
      <c r="E44" s="481">
        <v>30309</v>
      </c>
      <c r="F44" s="481">
        <v>9660</v>
      </c>
      <c r="G44" s="481">
        <v>1348</v>
      </c>
      <c r="H44" s="481"/>
      <c r="I44" s="467"/>
      <c r="J44" s="467"/>
      <c r="K44" s="1672">
        <f>SUM(C44:J44)</f>
        <v>174560</v>
      </c>
      <c r="L44" s="481">
        <v>181856</v>
      </c>
    </row>
    <row r="45" spans="1:14" x14ac:dyDescent="0.2">
      <c r="A45" s="1504" t="s">
        <v>815</v>
      </c>
      <c r="B45" s="614">
        <v>2220</v>
      </c>
      <c r="C45" s="466">
        <v>39730</v>
      </c>
      <c r="D45" s="466"/>
      <c r="E45" s="466">
        <v>5119</v>
      </c>
      <c r="F45" s="466"/>
      <c r="G45" s="466"/>
      <c r="H45" s="466"/>
      <c r="I45" s="467"/>
      <c r="J45" s="467"/>
      <c r="K45" s="1672">
        <f>SUM(C45:J45)</f>
        <v>44849</v>
      </c>
      <c r="L45" s="466">
        <v>47500</v>
      </c>
    </row>
    <row r="46" spans="1:14" x14ac:dyDescent="0.2">
      <c r="A46" s="1504" t="s">
        <v>816</v>
      </c>
      <c r="B46" s="614">
        <v>2230</v>
      </c>
      <c r="C46" s="466"/>
      <c r="D46" s="466"/>
      <c r="E46" s="466">
        <v>13623</v>
      </c>
      <c r="F46" s="466">
        <v>766</v>
      </c>
      <c r="G46" s="466"/>
      <c r="H46" s="466"/>
      <c r="I46" s="467"/>
      <c r="J46" s="467"/>
      <c r="K46" s="1672">
        <f>SUM(C46:J46)</f>
        <v>14389</v>
      </c>
      <c r="L46" s="466">
        <v>30000</v>
      </c>
    </row>
    <row r="47" spans="1:14" ht="12.75" customHeight="1" thickBot="1" x14ac:dyDescent="0.25">
      <c r="A47" s="1668" t="s">
        <v>561</v>
      </c>
      <c r="B47" s="1669" t="s">
        <v>32</v>
      </c>
      <c r="C47" s="1670">
        <f>SUM(C44:C46)</f>
        <v>135450</v>
      </c>
      <c r="D47" s="1670">
        <f t="shared" ref="D47:K47" si="4">SUM(D44:D46)</f>
        <v>37523</v>
      </c>
      <c r="E47" s="1670">
        <f t="shared" si="4"/>
        <v>49051</v>
      </c>
      <c r="F47" s="1670">
        <f t="shared" si="4"/>
        <v>10426</v>
      </c>
      <c r="G47" s="1670">
        <f t="shared" si="4"/>
        <v>1348</v>
      </c>
      <c r="H47" s="1670">
        <f t="shared" si="4"/>
        <v>0</v>
      </c>
      <c r="I47" s="1670">
        <f t="shared" si="4"/>
        <v>0</v>
      </c>
      <c r="J47" s="1670">
        <f t="shared" si="4"/>
        <v>0</v>
      </c>
      <c r="K47" s="1670">
        <f t="shared" si="4"/>
        <v>233798</v>
      </c>
      <c r="L47" s="1670">
        <f>SUM(L44:L46)</f>
        <v>259356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2400</v>
      </c>
      <c r="D49" s="481"/>
      <c r="E49" s="481">
        <v>225772</v>
      </c>
      <c r="F49" s="481">
        <v>1003</v>
      </c>
      <c r="G49" s="481"/>
      <c r="H49" s="481">
        <v>4997</v>
      </c>
      <c r="I49" s="467"/>
      <c r="J49" s="467"/>
      <c r="K49" s="1672">
        <f>SUM(C49:J49)</f>
        <v>234172</v>
      </c>
      <c r="L49" s="481">
        <v>307210</v>
      </c>
    </row>
    <row r="50" spans="1:14" x14ac:dyDescent="0.2">
      <c r="A50" s="1504" t="s">
        <v>818</v>
      </c>
      <c r="B50" s="614">
        <v>2320</v>
      </c>
      <c r="C50" s="466">
        <v>206398</v>
      </c>
      <c r="D50" s="466">
        <v>55939</v>
      </c>
      <c r="E50" s="466">
        <v>41449</v>
      </c>
      <c r="F50" s="466">
        <v>3148</v>
      </c>
      <c r="G50" s="466">
        <v>959</v>
      </c>
      <c r="H50" s="466">
        <v>3518</v>
      </c>
      <c r="I50" s="467"/>
      <c r="J50" s="467"/>
      <c r="K50" s="1672">
        <f>SUM(C50:J50)</f>
        <v>311411</v>
      </c>
      <c r="L50" s="466">
        <v>331250</v>
      </c>
    </row>
    <row r="51" spans="1:14" x14ac:dyDescent="0.2">
      <c r="A51" s="1504" t="s">
        <v>42</v>
      </c>
      <c r="B51" s="614">
        <v>2330</v>
      </c>
      <c r="C51" s="466">
        <v>84235</v>
      </c>
      <c r="D51" s="466">
        <v>37669</v>
      </c>
      <c r="E51" s="466">
        <v>500</v>
      </c>
      <c r="F51" s="466"/>
      <c r="G51" s="466">
        <v>959</v>
      </c>
      <c r="H51" s="466"/>
      <c r="I51" s="467"/>
      <c r="J51" s="467"/>
      <c r="K51" s="1672">
        <f>SUM(C51:J51)</f>
        <v>123363</v>
      </c>
      <c r="L51" s="466">
        <v>141178</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293033</v>
      </c>
      <c r="D53" s="1670">
        <f t="shared" ref="D53:L53" si="5">SUM(D49:D52)</f>
        <v>93608</v>
      </c>
      <c r="E53" s="1670">
        <f t="shared" si="5"/>
        <v>267721</v>
      </c>
      <c r="F53" s="1670">
        <f t="shared" si="5"/>
        <v>4151</v>
      </c>
      <c r="G53" s="1670">
        <f t="shared" si="5"/>
        <v>1918</v>
      </c>
      <c r="H53" s="1670">
        <f t="shared" si="5"/>
        <v>8515</v>
      </c>
      <c r="I53" s="1670">
        <f t="shared" si="5"/>
        <v>0</v>
      </c>
      <c r="J53" s="1670">
        <f t="shared" si="5"/>
        <v>0</v>
      </c>
      <c r="K53" s="1670">
        <f t="shared" si="5"/>
        <v>668946</v>
      </c>
      <c r="L53" s="1670">
        <f t="shared" si="5"/>
        <v>779638</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569613</v>
      </c>
      <c r="D55" s="481">
        <v>227930</v>
      </c>
      <c r="E55" s="481">
        <v>403</v>
      </c>
      <c r="F55" s="481">
        <v>4870</v>
      </c>
      <c r="G55" s="481">
        <v>734</v>
      </c>
      <c r="H55" s="481">
        <v>2292</v>
      </c>
      <c r="I55" s="467"/>
      <c r="J55" s="467"/>
      <c r="K55" s="1672">
        <f>SUM(C55:J55)</f>
        <v>805842</v>
      </c>
      <c r="L55" s="481">
        <v>820043</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569613</v>
      </c>
      <c r="D57" s="1674">
        <f t="shared" ref="D57:K57" si="6">SUM(D55:D56)</f>
        <v>227930</v>
      </c>
      <c r="E57" s="1674">
        <f t="shared" si="6"/>
        <v>403</v>
      </c>
      <c r="F57" s="1674">
        <f t="shared" si="6"/>
        <v>4870</v>
      </c>
      <c r="G57" s="1674">
        <f t="shared" si="6"/>
        <v>734</v>
      </c>
      <c r="H57" s="1674">
        <f t="shared" si="6"/>
        <v>2292</v>
      </c>
      <c r="I57" s="1674">
        <f t="shared" si="6"/>
        <v>0</v>
      </c>
      <c r="J57" s="1674">
        <f t="shared" si="6"/>
        <v>0</v>
      </c>
      <c r="K57" s="1674">
        <f t="shared" si="6"/>
        <v>805842</v>
      </c>
      <c r="L57" s="1670">
        <f>SUM(L55:L56)</f>
        <v>820043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117860</v>
      </c>
      <c r="D59" s="481">
        <v>42258</v>
      </c>
      <c r="E59" s="481">
        <v>61972</v>
      </c>
      <c r="F59" s="481">
        <v>9635</v>
      </c>
      <c r="G59" s="481">
        <v>6102</v>
      </c>
      <c r="H59" s="481">
        <v>7088</v>
      </c>
      <c r="I59" s="467"/>
      <c r="J59" s="467"/>
      <c r="K59" s="1672">
        <f t="shared" ref="K59:K64" si="7">SUM(C59:J59)</f>
        <v>244915</v>
      </c>
      <c r="L59" s="481">
        <v>241488</v>
      </c>
      <c r="M59" s="609"/>
      <c r="N59" s="609"/>
    </row>
    <row r="60" spans="1:14" s="343" customFormat="1" x14ac:dyDescent="0.2">
      <c r="A60" s="1504" t="s">
        <v>463</v>
      </c>
      <c r="B60" s="614">
        <v>2520</v>
      </c>
      <c r="C60" s="466">
        <v>35458</v>
      </c>
      <c r="D60" s="466">
        <v>9706</v>
      </c>
      <c r="E60" s="466"/>
      <c r="F60" s="466"/>
      <c r="G60" s="466"/>
      <c r="H60" s="466">
        <v>366</v>
      </c>
      <c r="I60" s="467"/>
      <c r="J60" s="467"/>
      <c r="K60" s="1672">
        <f t="shared" si="7"/>
        <v>45530</v>
      </c>
      <c r="L60" s="466">
        <v>59340</v>
      </c>
      <c r="M60" s="609"/>
      <c r="N60" s="609"/>
    </row>
    <row r="61" spans="1:14" s="343" customFormat="1" x14ac:dyDescent="0.2">
      <c r="A61" s="1504" t="s">
        <v>197</v>
      </c>
      <c r="B61" s="614">
        <v>2540</v>
      </c>
      <c r="C61" s="466"/>
      <c r="D61" s="466">
        <v>72488</v>
      </c>
      <c r="E61" s="466"/>
      <c r="F61" s="466"/>
      <c r="G61" s="466"/>
      <c r="H61" s="466"/>
      <c r="I61" s="467"/>
      <c r="J61" s="467"/>
      <c r="K61" s="1672">
        <f t="shared" si="7"/>
        <v>72488</v>
      </c>
      <c r="L61" s="466">
        <v>93960</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189564</v>
      </c>
      <c r="D63" s="466">
        <v>29662</v>
      </c>
      <c r="E63" s="466">
        <v>7185</v>
      </c>
      <c r="F63" s="466">
        <v>175410</v>
      </c>
      <c r="G63" s="466">
        <v>13576</v>
      </c>
      <c r="H63" s="466">
        <v>970</v>
      </c>
      <c r="I63" s="467"/>
      <c r="J63" s="467"/>
      <c r="K63" s="1672">
        <f t="shared" si="7"/>
        <v>416367</v>
      </c>
      <c r="L63" s="466">
        <v>478020</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342882</v>
      </c>
      <c r="D65" s="1670">
        <f t="shared" ref="D65:L65" si="8">SUM(D59:D64)</f>
        <v>154114</v>
      </c>
      <c r="E65" s="1670">
        <f t="shared" si="8"/>
        <v>69157</v>
      </c>
      <c r="F65" s="1670">
        <f t="shared" si="8"/>
        <v>185045</v>
      </c>
      <c r="G65" s="1670">
        <f t="shared" si="8"/>
        <v>19678</v>
      </c>
      <c r="H65" s="1670">
        <f t="shared" si="8"/>
        <v>8424</v>
      </c>
      <c r="I65" s="1670">
        <f t="shared" si="8"/>
        <v>0</v>
      </c>
      <c r="J65" s="1670">
        <f t="shared" si="8"/>
        <v>0</v>
      </c>
      <c r="K65" s="1670">
        <f t="shared" si="8"/>
        <v>779300</v>
      </c>
      <c r="L65" s="1670">
        <f t="shared" si="8"/>
        <v>872808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v>196543</v>
      </c>
      <c r="D71" s="466">
        <v>36503</v>
      </c>
      <c r="E71" s="466">
        <v>12780</v>
      </c>
      <c r="F71" s="466">
        <v>735</v>
      </c>
      <c r="G71" s="466">
        <v>1860</v>
      </c>
      <c r="H71" s="466">
        <v>150</v>
      </c>
      <c r="I71" s="467"/>
      <c r="J71" s="467"/>
      <c r="K71" s="1672">
        <f>SUM(C71:J71)</f>
        <v>248571</v>
      </c>
      <c r="L71" s="466">
        <v>286365</v>
      </c>
      <c r="M71" s="609"/>
      <c r="N71" s="609"/>
    </row>
    <row r="72" spans="1:14" s="343" customFormat="1" ht="12.75" customHeight="1" thickBot="1" x14ac:dyDescent="0.25">
      <c r="A72" s="1668" t="s">
        <v>37</v>
      </c>
      <c r="B72" s="1675" t="s">
        <v>36</v>
      </c>
      <c r="C72" s="1670">
        <f>SUM(C67:C71)</f>
        <v>196543</v>
      </c>
      <c r="D72" s="1670">
        <f t="shared" ref="D72:K72" si="9">SUM(D67:D71)</f>
        <v>36503</v>
      </c>
      <c r="E72" s="1670">
        <f t="shared" si="9"/>
        <v>12780</v>
      </c>
      <c r="F72" s="1670">
        <f t="shared" si="9"/>
        <v>735</v>
      </c>
      <c r="G72" s="1670">
        <f t="shared" si="9"/>
        <v>1860</v>
      </c>
      <c r="H72" s="1670">
        <f t="shared" si="9"/>
        <v>150</v>
      </c>
      <c r="I72" s="1670">
        <f t="shared" si="9"/>
        <v>0</v>
      </c>
      <c r="J72" s="1670">
        <f t="shared" si="9"/>
        <v>0</v>
      </c>
      <c r="K72" s="1670">
        <f t="shared" si="9"/>
        <v>248571</v>
      </c>
      <c r="L72" s="1670">
        <f>SUM(L67:L71)</f>
        <v>286365</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2430682</v>
      </c>
      <c r="D74" s="1677">
        <f t="shared" ref="D74:K74" si="10">SUM(D42,D47,D53,D57,D65,D72,D73)</f>
        <v>665138</v>
      </c>
      <c r="E74" s="1677">
        <f t="shared" si="10"/>
        <v>424287</v>
      </c>
      <c r="F74" s="1677">
        <f t="shared" si="10"/>
        <v>210203</v>
      </c>
      <c r="G74" s="1677">
        <f t="shared" si="10"/>
        <v>27293</v>
      </c>
      <c r="H74" s="1677">
        <f t="shared" si="10"/>
        <v>19381</v>
      </c>
      <c r="I74" s="1677">
        <f t="shared" si="10"/>
        <v>0</v>
      </c>
      <c r="J74" s="1677">
        <f t="shared" si="10"/>
        <v>0</v>
      </c>
      <c r="K74" s="1677">
        <f t="shared" si="10"/>
        <v>3776984</v>
      </c>
      <c r="L74" s="1677">
        <f>SUM(L42,L47,L53,L57,L65,L72,L73)</f>
        <v>4177218</v>
      </c>
    </row>
    <row r="75" spans="1:14" s="259" customFormat="1" ht="15.75" customHeight="1" thickTop="1" thickBot="1" x14ac:dyDescent="0.25">
      <c r="A75" s="1610" t="s">
        <v>47</v>
      </c>
      <c r="B75" s="1611" t="s">
        <v>575</v>
      </c>
      <c r="C75" s="573">
        <v>110911</v>
      </c>
      <c r="D75" s="573">
        <v>9578</v>
      </c>
      <c r="E75" s="573">
        <v>790</v>
      </c>
      <c r="F75" s="573">
        <v>10784</v>
      </c>
      <c r="G75" s="573"/>
      <c r="H75" s="573">
        <v>2293</v>
      </c>
      <c r="I75" s="531"/>
      <c r="J75" s="531"/>
      <c r="K75" s="1670">
        <f>SUM(C75:J75)</f>
        <v>134356</v>
      </c>
      <c r="L75" s="576">
        <v>146883</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315906</v>
      </c>
      <c r="F79" s="616"/>
      <c r="G79" s="616"/>
      <c r="H79" s="466"/>
      <c r="I79" s="477"/>
      <c r="J79" s="477"/>
      <c r="K79" s="1671">
        <f t="shared" si="11"/>
        <v>315906</v>
      </c>
      <c r="L79" s="466">
        <v>557500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315906</v>
      </c>
      <c r="F84" s="616"/>
      <c r="G84" s="616"/>
      <c r="H84" s="1670">
        <f>SUM(H78:H83)</f>
        <v>0</v>
      </c>
      <c r="I84" s="477"/>
      <c r="J84" s="477"/>
      <c r="K84" s="1670">
        <f>SUM(K78:K83)</f>
        <v>315906</v>
      </c>
      <c r="L84" s="1670">
        <f>SUM(L78:L83)</f>
        <v>557500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315906</v>
      </c>
      <c r="F102" s="616"/>
      <c r="G102" s="616"/>
      <c r="H102" s="1677">
        <f>SUM(H84,H92,H100,H101)</f>
        <v>0</v>
      </c>
      <c r="I102" s="477"/>
      <c r="J102" s="477"/>
      <c r="K102" s="1677">
        <f>SUM(K84,K92,K100,K101)</f>
        <v>315906</v>
      </c>
      <c r="L102" s="1677">
        <f>SUM(L84,L92,L100,L101)</f>
        <v>557500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25000</v>
      </c>
      <c r="M113" s="613"/>
      <c r="N113" s="613"/>
    </row>
    <row r="114" spans="1:14" ht="12.75" customHeight="1" thickTop="1" thickBot="1" x14ac:dyDescent="0.25">
      <c r="A114" s="1668" t="s">
        <v>48</v>
      </c>
      <c r="B114" s="1682"/>
      <c r="C114" s="1670">
        <f>SUM(C33,C74,C75,C102,C112,C113)</f>
        <v>10332306</v>
      </c>
      <c r="D114" s="1670">
        <f t="shared" ref="D114:K114" si="13">SUM(D33,D74,D75,D102,D112,D113)</f>
        <v>1861924</v>
      </c>
      <c r="E114" s="1670">
        <f t="shared" si="13"/>
        <v>1017591</v>
      </c>
      <c r="F114" s="1670">
        <f t="shared" si="13"/>
        <v>613523</v>
      </c>
      <c r="G114" s="1670">
        <f t="shared" si="13"/>
        <v>220075</v>
      </c>
      <c r="H114" s="1670">
        <f>SUM(H33,H74,H75,H102,H112,H113)</f>
        <v>165388</v>
      </c>
      <c r="I114" s="1670">
        <f t="shared" si="13"/>
        <v>4583</v>
      </c>
      <c r="J114" s="1670">
        <f t="shared" si="13"/>
        <v>0</v>
      </c>
      <c r="K114" s="1670">
        <f t="shared" si="13"/>
        <v>14215390</v>
      </c>
      <c r="L114" s="1670">
        <f>SUM(L33,L74,L75,L102,L112,L113)</f>
        <v>16099605</v>
      </c>
    </row>
    <row r="115" spans="1:14" ht="13.5" thickTop="1" x14ac:dyDescent="0.2">
      <c r="A115" s="2163" t="s">
        <v>996</v>
      </c>
      <c r="B115" s="2164"/>
      <c r="C115" s="618"/>
      <c r="D115" s="618"/>
      <c r="E115" s="618"/>
      <c r="F115" s="618"/>
      <c r="G115" s="618"/>
      <c r="H115" s="618"/>
      <c r="I115" s="618"/>
      <c r="J115" s="618"/>
      <c r="K115" s="1684">
        <f>'Revenues 9-14'!C268-'Expenditures 15-22'!K114</f>
        <v>-1985602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8" t="s">
        <v>296</v>
      </c>
      <c r="B117" s="216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v>86897</v>
      </c>
      <c r="F123" s="466"/>
      <c r="G123" s="466">
        <v>341993</v>
      </c>
      <c r="H123" s="466"/>
      <c r="I123" s="467"/>
      <c r="J123" s="467"/>
      <c r="K123" s="1670">
        <f>SUM(C123:J123)</f>
        <v>428890</v>
      </c>
      <c r="L123" s="466">
        <v>800000</v>
      </c>
    </row>
    <row r="124" spans="1:14" ht="14.25" thickTop="1" thickBot="1" x14ac:dyDescent="0.25">
      <c r="A124" s="1504" t="s">
        <v>197</v>
      </c>
      <c r="B124" s="614">
        <v>2540</v>
      </c>
      <c r="C124" s="466">
        <v>314745</v>
      </c>
      <c r="D124" s="466"/>
      <c r="E124" s="466">
        <v>142758</v>
      </c>
      <c r="F124" s="466">
        <v>337047</v>
      </c>
      <c r="G124" s="466">
        <v>9938</v>
      </c>
      <c r="H124" s="466"/>
      <c r="I124" s="467"/>
      <c r="J124" s="467"/>
      <c r="K124" s="1670">
        <f>SUM(C124:J124)</f>
        <v>804488</v>
      </c>
      <c r="L124" s="466">
        <v>976000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314745</v>
      </c>
      <c r="D127" s="1670">
        <f t="shared" ref="D127:L127" si="14">SUM(D122:D126)</f>
        <v>0</v>
      </c>
      <c r="E127" s="1670">
        <f t="shared" si="14"/>
        <v>229655</v>
      </c>
      <c r="F127" s="1670">
        <f t="shared" si="14"/>
        <v>337047</v>
      </c>
      <c r="G127" s="1670">
        <f t="shared" si="14"/>
        <v>351931</v>
      </c>
      <c r="H127" s="1670">
        <f t="shared" si="14"/>
        <v>0</v>
      </c>
      <c r="I127" s="1670">
        <f t="shared" si="14"/>
        <v>0</v>
      </c>
      <c r="J127" s="1670">
        <f t="shared" si="14"/>
        <v>0</v>
      </c>
      <c r="K127" s="1670">
        <f t="shared" si="14"/>
        <v>1233378</v>
      </c>
      <c r="L127" s="1670">
        <f t="shared" si="14"/>
        <v>1776000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314745</v>
      </c>
      <c r="D129" s="1677">
        <f t="shared" ref="D129:L129" si="15">SUM(D120,D127,D128)</f>
        <v>0</v>
      </c>
      <c r="E129" s="1677">
        <f t="shared" si="15"/>
        <v>229655</v>
      </c>
      <c r="F129" s="1677">
        <f t="shared" si="15"/>
        <v>337047</v>
      </c>
      <c r="G129" s="1677">
        <f t="shared" si="15"/>
        <v>351931</v>
      </c>
      <c r="H129" s="1677">
        <f t="shared" si="15"/>
        <v>0</v>
      </c>
      <c r="I129" s="1677">
        <f t="shared" si="15"/>
        <v>0</v>
      </c>
      <c r="J129" s="1677">
        <f t="shared" si="15"/>
        <v>0</v>
      </c>
      <c r="K129" s="1677">
        <f t="shared" si="15"/>
        <v>1233378</v>
      </c>
      <c r="L129" s="1677">
        <f t="shared" si="15"/>
        <v>1776000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15000</v>
      </c>
    </row>
    <row r="151" spans="1:14" ht="12.75" customHeight="1" thickTop="1" thickBot="1" x14ac:dyDescent="0.25">
      <c r="A151" s="2180" t="s">
        <v>620</v>
      </c>
      <c r="B151" s="2160"/>
      <c r="C151" s="1670">
        <f>SUM(C129,C130,C139,C149,C150)</f>
        <v>314745</v>
      </c>
      <c r="D151" s="1670">
        <f t="shared" ref="D151:K151" si="16">SUM(D129,D130,D139,D149,D150)</f>
        <v>0</v>
      </c>
      <c r="E151" s="1670">
        <f t="shared" si="16"/>
        <v>229655</v>
      </c>
      <c r="F151" s="1670">
        <f t="shared" si="16"/>
        <v>337047</v>
      </c>
      <c r="G151" s="1670">
        <f t="shared" si="16"/>
        <v>351931</v>
      </c>
      <c r="H151" s="1670">
        <f t="shared" si="16"/>
        <v>0</v>
      </c>
      <c r="I151" s="1670">
        <f t="shared" si="16"/>
        <v>0</v>
      </c>
      <c r="J151" s="1670">
        <f t="shared" si="16"/>
        <v>0</v>
      </c>
      <c r="K151" s="1670">
        <f t="shared" si="16"/>
        <v>1233378</v>
      </c>
      <c r="L151" s="1670">
        <f>SUM(L129,L130,L139,L149,L150)</f>
        <v>1791000</v>
      </c>
    </row>
    <row r="152" spans="1:14" ht="12.75" customHeight="1" thickTop="1" x14ac:dyDescent="0.2">
      <c r="A152" s="2183" t="s">
        <v>1178</v>
      </c>
      <c r="B152" s="2184"/>
      <c r="C152" s="618"/>
      <c r="D152" s="618"/>
      <c r="E152" s="618"/>
      <c r="F152" s="618"/>
      <c r="G152" s="618"/>
      <c r="H152" s="618"/>
      <c r="I152" s="618"/>
      <c r="J152" s="616"/>
      <c r="K152" s="1684">
        <f>'Revenues 9-14'!D268-'Expenditures 15-22'!K151</f>
        <v>100014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8" t="s">
        <v>621</v>
      </c>
      <c r="B154" s="217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109994</v>
      </c>
      <c r="I169" s="616"/>
      <c r="J169" s="616"/>
      <c r="K169" s="1671">
        <f>SUM(C169:H169)</f>
        <v>109994</v>
      </c>
      <c r="L169" s="656">
        <v>110000</v>
      </c>
    </row>
    <row r="170" spans="1:14" ht="33.75" customHeight="1" x14ac:dyDescent="0.2">
      <c r="A170" s="669" t="s">
        <v>1670</v>
      </c>
      <c r="B170" s="671" t="s">
        <v>31</v>
      </c>
      <c r="C170" s="616"/>
      <c r="D170" s="616"/>
      <c r="E170" s="616"/>
      <c r="F170" s="616"/>
      <c r="G170" s="616"/>
      <c r="H170" s="569">
        <v>720000</v>
      </c>
      <c r="I170" s="616"/>
      <c r="J170" s="616"/>
      <c r="K170" s="1671">
        <f>SUM(C170:J170)</f>
        <v>720000</v>
      </c>
      <c r="L170" s="569">
        <v>720000</v>
      </c>
    </row>
    <row r="171" spans="1:14" ht="15.75" customHeight="1" x14ac:dyDescent="0.2">
      <c r="A171" s="621" t="s">
        <v>766</v>
      </c>
      <c r="B171" s="672" t="s">
        <v>84</v>
      </c>
      <c r="C171" s="616"/>
      <c r="D171" s="616"/>
      <c r="E171" s="466"/>
      <c r="F171" s="616"/>
      <c r="G171" s="616"/>
      <c r="H171" s="569">
        <v>803</v>
      </c>
      <c r="I171" s="477"/>
      <c r="J171" s="616"/>
      <c r="K171" s="1671">
        <f>SUM(C171:J171)</f>
        <v>803</v>
      </c>
      <c r="L171" s="569">
        <v>900</v>
      </c>
    </row>
    <row r="172" spans="1:14" ht="12.75" customHeight="1" thickBot="1" x14ac:dyDescent="0.25">
      <c r="A172" s="1668" t="s">
        <v>638</v>
      </c>
      <c r="B172" s="1669" t="s">
        <v>492</v>
      </c>
      <c r="C172" s="616"/>
      <c r="D172" s="616"/>
      <c r="E172" s="1677">
        <f>SUM(E168,E169,E170,E171)</f>
        <v>0</v>
      </c>
      <c r="F172" s="616"/>
      <c r="G172" s="616"/>
      <c r="H172" s="1677">
        <f>SUM(H168,H169,H170,H171)</f>
        <v>830797</v>
      </c>
      <c r="I172" s="638"/>
      <c r="J172" s="616"/>
      <c r="K172" s="1677">
        <f>SUM(K168,K169,K170,K171)</f>
        <v>830797</v>
      </c>
      <c r="L172" s="1677">
        <f>SUM(L168,L169,L170,L171)</f>
        <v>830900</v>
      </c>
    </row>
    <row r="173" spans="1:14" ht="15.75" customHeight="1" thickTop="1" thickBot="1" x14ac:dyDescent="0.25">
      <c r="A173" s="1619" t="s">
        <v>85</v>
      </c>
      <c r="B173" s="1611" t="s">
        <v>861</v>
      </c>
      <c r="C173" s="616"/>
      <c r="D173" s="616"/>
      <c r="E173" s="623"/>
      <c r="F173" s="616"/>
      <c r="G173" s="616"/>
      <c r="H173" s="626"/>
      <c r="I173" s="638"/>
      <c r="J173" s="616"/>
      <c r="K173" s="623"/>
      <c r="L173" s="576">
        <v>5000</v>
      </c>
    </row>
    <row r="174" spans="1:14" ht="12.75" customHeight="1" thickTop="1" thickBot="1" x14ac:dyDescent="0.25">
      <c r="A174" s="1689" t="s">
        <v>90</v>
      </c>
      <c r="B174" s="1690"/>
      <c r="C174" s="616"/>
      <c r="D174" s="616"/>
      <c r="E174" s="1677">
        <f>SUM(E172,E173)</f>
        <v>0</v>
      </c>
      <c r="F174" s="616"/>
      <c r="G174" s="616"/>
      <c r="H174" s="1677">
        <f>SUM(H160,H172,H173)</f>
        <v>830797</v>
      </c>
      <c r="I174" s="638"/>
      <c r="J174" s="616"/>
      <c r="K174" s="1677">
        <f>SUM(K160,K172,K173)</f>
        <v>830797</v>
      </c>
      <c r="L174" s="1677">
        <f>SUM(L160,L172,L173)</f>
        <v>835900</v>
      </c>
    </row>
    <row r="175" spans="1:14" ht="13.5" thickTop="1" x14ac:dyDescent="0.2">
      <c r="A175" s="2163" t="s">
        <v>996</v>
      </c>
      <c r="B175" s="2164"/>
      <c r="C175" s="616"/>
      <c r="D175" s="616"/>
      <c r="E175" s="616"/>
      <c r="F175" s="616"/>
      <c r="G175" s="616"/>
      <c r="H175" s="618"/>
      <c r="I175" s="616"/>
      <c r="J175" s="616"/>
      <c r="K175" s="1684">
        <f>'Revenues 9-14'!E268-'Expenditures 15-22'!K174</f>
        <v>-306887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1002018</v>
      </c>
      <c r="F182" s="466"/>
      <c r="G182" s="466"/>
      <c r="H182" s="466"/>
      <c r="I182" s="467"/>
      <c r="J182" s="467"/>
      <c r="K182" s="1671">
        <f>SUM(C182:J182)</f>
        <v>1002018</v>
      </c>
      <c r="L182" s="466">
        <v>1003000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1002018</v>
      </c>
      <c r="F184" s="1677">
        <f t="shared" si="17"/>
        <v>0</v>
      </c>
      <c r="G184" s="1677">
        <f t="shared" si="17"/>
        <v>0</v>
      </c>
      <c r="H184" s="1677">
        <f t="shared" si="17"/>
        <v>0</v>
      </c>
      <c r="I184" s="1677">
        <f t="shared" si="17"/>
        <v>0</v>
      </c>
      <c r="J184" s="1677">
        <f t="shared" si="17"/>
        <v>0</v>
      </c>
      <c r="K184" s="1677">
        <f>SUM(K180,K182,K183)</f>
        <v>1002018</v>
      </c>
      <c r="L184" s="1677">
        <f>SUM(L180, L182:L183)</f>
        <v>1003000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v>1000</v>
      </c>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1000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1000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20000</v>
      </c>
    </row>
    <row r="210" spans="1:14" ht="12.75" customHeight="1" thickTop="1" thickBot="1" x14ac:dyDescent="0.25">
      <c r="A210" s="1692" t="s">
        <v>277</v>
      </c>
      <c r="B210" s="1693"/>
      <c r="C210" s="1670">
        <f>SUM(C184,C185)</f>
        <v>0</v>
      </c>
      <c r="D210" s="1670">
        <f>SUM(D184,D185)</f>
        <v>0</v>
      </c>
      <c r="E210" s="1670">
        <f>SUM(E184,E185,E196)</f>
        <v>1002018</v>
      </c>
      <c r="F210" s="1670">
        <f>SUM(F184,F185)</f>
        <v>0</v>
      </c>
      <c r="G210" s="1670">
        <f>SUM(G184,G185)</f>
        <v>0</v>
      </c>
      <c r="H210" s="1670">
        <f>SUM(H184,H185,H196,H208,H209)</f>
        <v>0</v>
      </c>
      <c r="I210" s="1670">
        <f>SUM(I184,I185)</f>
        <v>0</v>
      </c>
      <c r="J210" s="1670">
        <f>SUM(J184,J185)</f>
        <v>0</v>
      </c>
      <c r="K210" s="1671">
        <f>SUM(K184,K185,K196,K208,K209)</f>
        <v>1002018</v>
      </c>
      <c r="L210" s="1670">
        <f>SUM(L184,L185,L196,L208,L209)</f>
        <v>1024000</v>
      </c>
    </row>
    <row r="211" spans="1:14" ht="13.5" thickTop="1" x14ac:dyDescent="0.2">
      <c r="A211" s="2163" t="s">
        <v>996</v>
      </c>
      <c r="B211" s="2164"/>
      <c r="C211" s="618"/>
      <c r="D211" s="618"/>
      <c r="E211" s="618"/>
      <c r="F211" s="618"/>
      <c r="G211" s="618"/>
      <c r="H211" s="618"/>
      <c r="I211" s="616"/>
      <c r="J211" s="616"/>
      <c r="K211" s="1684">
        <f>'Revenues 9-14'!F268-'Expenditures 15-22'!K210</f>
        <v>-202058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5" t="s">
        <v>965</v>
      </c>
      <c r="B213" s="218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82482</v>
      </c>
      <c r="E215" s="616"/>
      <c r="F215" s="616"/>
      <c r="G215" s="616"/>
      <c r="H215" s="616"/>
      <c r="I215" s="616"/>
      <c r="J215" s="616"/>
      <c r="K215" s="1671">
        <f>D215</f>
        <v>82482</v>
      </c>
      <c r="L215" s="466">
        <v>87218</v>
      </c>
    </row>
    <row r="216" spans="1:14" x14ac:dyDescent="0.2">
      <c r="A216" s="1504" t="s">
        <v>163</v>
      </c>
      <c r="B216" s="614" t="s">
        <v>967</v>
      </c>
      <c r="C216" s="616"/>
      <c r="D216" s="467">
        <v>5312</v>
      </c>
      <c r="E216" s="616"/>
      <c r="F216" s="616"/>
      <c r="G216" s="616"/>
      <c r="H216" s="616"/>
      <c r="I216" s="616"/>
      <c r="J216" s="616"/>
      <c r="K216" s="1671">
        <f t="shared" ref="K216:K228" si="19">D216</f>
        <v>5312</v>
      </c>
      <c r="L216" s="466">
        <v>8350</v>
      </c>
    </row>
    <row r="217" spans="1:14" x14ac:dyDescent="0.2">
      <c r="A217" s="1504" t="s">
        <v>164</v>
      </c>
      <c r="B217" s="614">
        <v>1200</v>
      </c>
      <c r="C217" s="616"/>
      <c r="D217" s="466">
        <v>98501</v>
      </c>
      <c r="E217" s="616"/>
      <c r="F217" s="616"/>
      <c r="G217" s="616"/>
      <c r="H217" s="616"/>
      <c r="I217" s="616"/>
      <c r="J217" s="616"/>
      <c r="K217" s="1671">
        <f t="shared" si="19"/>
        <v>98501</v>
      </c>
      <c r="L217" s="466">
        <v>137260</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v>3243</v>
      </c>
      <c r="E219" s="616"/>
      <c r="F219" s="616"/>
      <c r="G219" s="616"/>
      <c r="H219" s="616"/>
      <c r="I219" s="616"/>
      <c r="J219" s="616"/>
      <c r="K219" s="1671">
        <f t="shared" si="19"/>
        <v>3243</v>
      </c>
      <c r="L219" s="466">
        <v>3277</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1301</v>
      </c>
      <c r="E223" s="616"/>
      <c r="F223" s="616"/>
      <c r="G223" s="616"/>
      <c r="H223" s="616"/>
      <c r="I223" s="616"/>
      <c r="J223" s="616"/>
      <c r="K223" s="1671">
        <f t="shared" si="19"/>
        <v>1301</v>
      </c>
      <c r="L223" s="466"/>
    </row>
    <row r="224" spans="1:14" x14ac:dyDescent="0.2">
      <c r="A224" s="1504" t="s">
        <v>964</v>
      </c>
      <c r="B224" s="614">
        <v>1600</v>
      </c>
      <c r="C224" s="616"/>
      <c r="D224" s="466">
        <v>52</v>
      </c>
      <c r="E224" s="616"/>
      <c r="F224" s="616"/>
      <c r="G224" s="616"/>
      <c r="H224" s="616"/>
      <c r="I224" s="616"/>
      <c r="J224" s="616"/>
      <c r="K224" s="1671">
        <f t="shared" si="19"/>
        <v>52</v>
      </c>
      <c r="L224" s="466">
        <v>145</v>
      </c>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190891</v>
      </c>
      <c r="E229" s="616"/>
      <c r="F229" s="616"/>
      <c r="G229" s="616"/>
      <c r="H229" s="616"/>
      <c r="I229" s="616"/>
      <c r="J229" s="616"/>
      <c r="K229" s="1670">
        <f>SUM(K215:K228)</f>
        <v>190891</v>
      </c>
      <c r="L229" s="1670">
        <f>SUM(L215:L228)</f>
        <v>236250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3987</v>
      </c>
      <c r="E232" s="616"/>
      <c r="F232" s="616"/>
      <c r="G232" s="616"/>
      <c r="H232" s="616"/>
      <c r="I232" s="616"/>
      <c r="J232" s="616"/>
      <c r="K232" s="1671">
        <f t="shared" ref="K232:K237" si="20">D232</f>
        <v>3987</v>
      </c>
      <c r="L232" s="466">
        <v>4191</v>
      </c>
    </row>
    <row r="233" spans="1:12" x14ac:dyDescent="0.2">
      <c r="A233" s="1504" t="s">
        <v>1090</v>
      </c>
      <c r="B233" s="614">
        <v>2120</v>
      </c>
      <c r="C233" s="616"/>
      <c r="D233" s="466"/>
      <c r="E233" s="616"/>
      <c r="F233" s="616"/>
      <c r="G233" s="616"/>
      <c r="H233" s="616"/>
      <c r="I233" s="616"/>
      <c r="J233" s="616"/>
      <c r="K233" s="1671">
        <f t="shared" si="20"/>
        <v>0</v>
      </c>
      <c r="L233" s="466">
        <v>0</v>
      </c>
    </row>
    <row r="234" spans="1:12" x14ac:dyDescent="0.2">
      <c r="A234" s="1504" t="s">
        <v>198</v>
      </c>
      <c r="B234" s="614">
        <v>2130</v>
      </c>
      <c r="C234" s="616"/>
      <c r="D234" s="466">
        <v>20335</v>
      </c>
      <c r="E234" s="616"/>
      <c r="F234" s="616"/>
      <c r="G234" s="616"/>
      <c r="H234" s="616"/>
      <c r="I234" s="616"/>
      <c r="J234" s="616"/>
      <c r="K234" s="1671">
        <f t="shared" si="20"/>
        <v>20335</v>
      </c>
      <c r="L234" s="466">
        <v>22853</v>
      </c>
    </row>
    <row r="235" spans="1:12" x14ac:dyDescent="0.2">
      <c r="A235" s="1504" t="s">
        <v>199</v>
      </c>
      <c r="B235" s="614">
        <v>2140</v>
      </c>
      <c r="C235" s="616"/>
      <c r="D235" s="466">
        <v>827</v>
      </c>
      <c r="E235" s="616"/>
      <c r="F235" s="616"/>
      <c r="G235" s="616"/>
      <c r="H235" s="616"/>
      <c r="I235" s="616"/>
      <c r="J235" s="616"/>
      <c r="K235" s="1671">
        <f t="shared" si="20"/>
        <v>827</v>
      </c>
      <c r="L235" s="466">
        <v>3100</v>
      </c>
    </row>
    <row r="236" spans="1:12" x14ac:dyDescent="0.2">
      <c r="A236" s="1504" t="s">
        <v>200</v>
      </c>
      <c r="B236" s="614">
        <v>2150</v>
      </c>
      <c r="C236" s="616"/>
      <c r="D236" s="466">
        <v>5209</v>
      </c>
      <c r="E236" s="616"/>
      <c r="F236" s="616"/>
      <c r="G236" s="616"/>
      <c r="H236" s="616"/>
      <c r="I236" s="616"/>
      <c r="J236" s="616"/>
      <c r="K236" s="1671">
        <f t="shared" si="20"/>
        <v>5209</v>
      </c>
      <c r="L236" s="466">
        <v>5394</v>
      </c>
    </row>
    <row r="237" spans="1:12" x14ac:dyDescent="0.2">
      <c r="A237" s="1504" t="s">
        <v>165</v>
      </c>
      <c r="B237" s="614">
        <v>2190</v>
      </c>
      <c r="C237" s="616"/>
      <c r="D237" s="466">
        <v>4892</v>
      </c>
      <c r="E237" s="616"/>
      <c r="F237" s="616"/>
      <c r="G237" s="616"/>
      <c r="H237" s="616"/>
      <c r="I237" s="616"/>
      <c r="J237" s="616"/>
      <c r="K237" s="1671">
        <f t="shared" si="20"/>
        <v>4892</v>
      </c>
      <c r="L237" s="466">
        <v>7374</v>
      </c>
    </row>
    <row r="238" spans="1:12" ht="12.75" customHeight="1" thickBot="1" x14ac:dyDescent="0.25">
      <c r="A238" s="1668" t="s">
        <v>560</v>
      </c>
      <c r="B238" s="1675" t="s">
        <v>716</v>
      </c>
      <c r="C238" s="616"/>
      <c r="D238" s="1670">
        <f>SUM(D232:D237)</f>
        <v>35250</v>
      </c>
      <c r="E238" s="616"/>
      <c r="F238" s="616"/>
      <c r="G238" s="616"/>
      <c r="H238" s="616"/>
      <c r="I238" s="616"/>
      <c r="J238" s="616"/>
      <c r="K238" s="1670">
        <f>SUM(K232:K237)</f>
        <v>35250</v>
      </c>
      <c r="L238" s="1670">
        <f>SUM(L232:L237)</f>
        <v>42912</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1524</v>
      </c>
      <c r="E240" s="616"/>
      <c r="F240" s="616"/>
      <c r="G240" s="616"/>
      <c r="H240" s="616"/>
      <c r="I240" s="616"/>
      <c r="J240" s="616"/>
      <c r="K240" s="1672">
        <f>D240</f>
        <v>1524</v>
      </c>
      <c r="L240" s="481">
        <v>1536</v>
      </c>
    </row>
    <row r="241" spans="1:12" x14ac:dyDescent="0.2">
      <c r="A241" s="1504" t="s">
        <v>815</v>
      </c>
      <c r="B241" s="614">
        <v>2220</v>
      </c>
      <c r="C241" s="616"/>
      <c r="D241" s="466">
        <v>6330</v>
      </c>
      <c r="E241" s="616"/>
      <c r="F241" s="616"/>
      <c r="G241" s="616"/>
      <c r="H241" s="616"/>
      <c r="I241" s="616"/>
      <c r="J241" s="616"/>
      <c r="K241" s="1672">
        <f>D241</f>
        <v>6330</v>
      </c>
      <c r="L241" s="466">
        <v>7032</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7854</v>
      </c>
      <c r="E243" s="616"/>
      <c r="F243" s="616"/>
      <c r="G243" s="616"/>
      <c r="H243" s="616"/>
      <c r="I243" s="616"/>
      <c r="J243" s="616"/>
      <c r="K243" s="1670">
        <f>SUM(K240:K242)</f>
        <v>7854</v>
      </c>
      <c r="L243" s="1670">
        <f>SUM(L240:L242)</f>
        <v>8568</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10826</v>
      </c>
      <c r="E246" s="616"/>
      <c r="F246" s="616"/>
      <c r="G246" s="616"/>
      <c r="H246" s="616"/>
      <c r="I246" s="616"/>
      <c r="J246" s="616"/>
      <c r="K246" s="1672">
        <f t="shared" ref="K246:K256" si="21">D246</f>
        <v>10826</v>
      </c>
      <c r="L246" s="466">
        <v>11542</v>
      </c>
    </row>
    <row r="247" spans="1:12" x14ac:dyDescent="0.2">
      <c r="A247" s="1504" t="s">
        <v>819</v>
      </c>
      <c r="B247" s="614">
        <v>2330</v>
      </c>
      <c r="C247" s="616"/>
      <c r="D247" s="466">
        <v>1341</v>
      </c>
      <c r="E247" s="616"/>
      <c r="F247" s="616"/>
      <c r="G247" s="616"/>
      <c r="H247" s="616"/>
      <c r="I247" s="616"/>
      <c r="J247" s="616"/>
      <c r="K247" s="1672">
        <f t="shared" si="21"/>
        <v>1341</v>
      </c>
      <c r="L247" s="466">
        <v>1224</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12167</v>
      </c>
      <c r="E257" s="616"/>
      <c r="F257" s="616"/>
      <c r="G257" s="616"/>
      <c r="H257" s="616"/>
      <c r="I257" s="616"/>
      <c r="J257" s="616"/>
      <c r="K257" s="1670">
        <f>SUM(K245:K256)</f>
        <v>12167</v>
      </c>
      <c r="L257" s="1670">
        <f>SUM(L245:L256)</f>
        <v>12766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25560</v>
      </c>
      <c r="E259" s="616"/>
      <c r="F259" s="616"/>
      <c r="G259" s="616"/>
      <c r="H259" s="616"/>
      <c r="I259" s="616"/>
      <c r="J259" s="616"/>
      <c r="K259" s="1672">
        <f>D259</f>
        <v>25560</v>
      </c>
      <c r="L259" s="481">
        <v>25952</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25560</v>
      </c>
      <c r="E261" s="616"/>
      <c r="F261" s="616"/>
      <c r="G261" s="616"/>
      <c r="H261" s="616"/>
      <c r="I261" s="616"/>
      <c r="J261" s="616"/>
      <c r="K261" s="1670">
        <f>SUM(K259:K260)</f>
        <v>25560</v>
      </c>
      <c r="L261" s="1670">
        <f>SUM(L259:L260)</f>
        <v>25952</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1804</v>
      </c>
      <c r="E263" s="616"/>
      <c r="F263" s="616"/>
      <c r="G263" s="616"/>
      <c r="H263" s="616"/>
      <c r="I263" s="616"/>
      <c r="J263" s="616"/>
      <c r="K263" s="1672">
        <f>D263</f>
        <v>1804</v>
      </c>
      <c r="L263" s="481">
        <v>1843</v>
      </c>
    </row>
    <row r="264" spans="1:14" x14ac:dyDescent="0.2">
      <c r="A264" s="1504" t="s">
        <v>463</v>
      </c>
      <c r="B264" s="685">
        <v>2520</v>
      </c>
      <c r="C264" s="616"/>
      <c r="D264" s="466">
        <v>5653</v>
      </c>
      <c r="E264" s="616"/>
      <c r="F264" s="616"/>
      <c r="G264" s="616"/>
      <c r="H264" s="616"/>
      <c r="I264" s="616"/>
      <c r="J264" s="616"/>
      <c r="K264" s="1672">
        <f t="shared" ref="K264:K269" si="22">D264</f>
        <v>5653</v>
      </c>
      <c r="L264" s="466">
        <v>6929</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48388</v>
      </c>
      <c r="E266" s="616"/>
      <c r="F266" s="616"/>
      <c r="G266" s="616"/>
      <c r="H266" s="616"/>
      <c r="I266" s="616"/>
      <c r="J266" s="616"/>
      <c r="K266" s="1672">
        <f t="shared" si="22"/>
        <v>48388</v>
      </c>
      <c r="L266" s="466">
        <v>70381</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v>27790</v>
      </c>
      <c r="E268" s="616"/>
      <c r="F268" s="616"/>
      <c r="G268" s="616"/>
      <c r="H268" s="616"/>
      <c r="I268" s="616"/>
      <c r="J268" s="616"/>
      <c r="K268" s="1672">
        <f t="shared" si="22"/>
        <v>27790</v>
      </c>
      <c r="L268" s="466">
        <v>34683</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83635</v>
      </c>
      <c r="E270" s="616"/>
      <c r="F270" s="616"/>
      <c r="G270" s="616"/>
      <c r="H270" s="616"/>
      <c r="I270" s="616"/>
      <c r="J270" s="616"/>
      <c r="K270" s="1670">
        <f>SUM(K263:K269)</f>
        <v>83635</v>
      </c>
      <c r="L270" s="1670">
        <f>SUM(L263:L269)</f>
        <v>113836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v>30831</v>
      </c>
      <c r="E276" s="616"/>
      <c r="F276" s="616"/>
      <c r="G276" s="616"/>
      <c r="H276" s="616"/>
      <c r="I276" s="616"/>
      <c r="J276" s="616"/>
      <c r="K276" s="1672">
        <f>D276</f>
        <v>30831</v>
      </c>
      <c r="L276" s="466">
        <v>36038</v>
      </c>
    </row>
    <row r="277" spans="1:12" ht="12.75" customHeight="1" thickBot="1" x14ac:dyDescent="0.25">
      <c r="A277" s="1691" t="s">
        <v>37</v>
      </c>
      <c r="B277" s="1669" t="s">
        <v>36</v>
      </c>
      <c r="C277" s="616"/>
      <c r="D277" s="1670">
        <f>SUM(D272:D276)</f>
        <v>30831</v>
      </c>
      <c r="E277" s="616"/>
      <c r="F277" s="616"/>
      <c r="G277" s="616"/>
      <c r="H277" s="616"/>
      <c r="I277" s="616"/>
      <c r="J277" s="616"/>
      <c r="K277" s="1670">
        <f>SUM(K272:K276)</f>
        <v>30831</v>
      </c>
      <c r="L277" s="1670">
        <f>SUM(L272:L276)</f>
        <v>36038</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195297</v>
      </c>
      <c r="E279" s="616"/>
      <c r="F279" s="616"/>
      <c r="G279" s="616"/>
      <c r="H279" s="616"/>
      <c r="I279" s="616"/>
      <c r="J279" s="616"/>
      <c r="K279" s="1677">
        <f>SUM(K238,K243,K257,K261,K270,K277,K278)</f>
        <v>195297</v>
      </c>
      <c r="L279" s="1677">
        <f>SUM(L238,L243,L257,L261,L270,L277,L278)</f>
        <v>240072</v>
      </c>
    </row>
    <row r="280" spans="1:12" ht="15.75" customHeight="1" thickTop="1" thickBot="1" x14ac:dyDescent="0.25">
      <c r="A280" s="1624" t="s">
        <v>875</v>
      </c>
      <c r="B280" s="1613">
        <v>3000</v>
      </c>
      <c r="C280" s="616"/>
      <c r="D280" s="576">
        <v>13406</v>
      </c>
      <c r="E280" s="616"/>
      <c r="F280" s="616"/>
      <c r="G280" s="616"/>
      <c r="H280" s="616"/>
      <c r="I280" s="616"/>
      <c r="J280" s="616"/>
      <c r="K280" s="1679">
        <f>D280</f>
        <v>13406</v>
      </c>
      <c r="L280" s="576">
        <v>18535</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15000</v>
      </c>
    </row>
    <row r="295" spans="1:14" ht="12.75" customHeight="1" thickTop="1" thickBot="1" x14ac:dyDescent="0.25">
      <c r="A295" s="2181" t="s">
        <v>505</v>
      </c>
      <c r="B295" s="2182"/>
      <c r="C295" s="616"/>
      <c r="D295" s="1670">
        <f>SUM(D229,D279,D280,D285)</f>
        <v>399594</v>
      </c>
      <c r="E295" s="616"/>
      <c r="F295" s="616"/>
      <c r="G295" s="616"/>
      <c r="H295" s="1670">
        <f>H293</f>
        <v>0</v>
      </c>
      <c r="I295" s="616"/>
      <c r="J295" s="616"/>
      <c r="K295" s="1670">
        <f>SUM(K229,K279,K280,K285,K293,K294)</f>
        <v>399594</v>
      </c>
      <c r="L295" s="1670">
        <f>SUM(L229,L279,L280,L285,L293,L294)</f>
        <v>509857</v>
      </c>
    </row>
    <row r="296" spans="1:14" ht="13.5" thickTop="1" x14ac:dyDescent="0.2">
      <c r="A296" s="2163" t="s">
        <v>996</v>
      </c>
      <c r="B296" s="2164"/>
      <c r="C296" s="616"/>
      <c r="D296" s="618"/>
      <c r="E296" s="616"/>
      <c r="F296" s="616"/>
      <c r="G296" s="616"/>
      <c r="H296" s="687"/>
      <c r="I296" s="616"/>
      <c r="J296" s="616"/>
      <c r="K296" s="1684">
        <f>'Revenues 9-14'!G268-'Expenditures 15-22'!K295</f>
        <v>-93515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3" t="s">
        <v>143</v>
      </c>
      <c r="B298" s="216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8" t="s">
        <v>277</v>
      </c>
      <c r="B312" s="217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4" t="s">
        <v>996</v>
      </c>
      <c r="B313" s="2175"/>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7" t="s">
        <v>149</v>
      </c>
      <c r="B315" s="218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9" t="s">
        <v>898</v>
      </c>
      <c r="B317" s="218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76" t="s">
        <v>996</v>
      </c>
      <c r="B343" s="2177"/>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6" t="s">
        <v>966</v>
      </c>
      <c r="B345" s="216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63" t="s">
        <v>996</v>
      </c>
      <c r="B368" s="2164"/>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schemas.microsoft.com/office/2006/metadata/properties"/>
    <ds:schemaRef ds:uri="d21dc803-237d-4c68-8692-8d731fd29118"/>
    <ds:schemaRef ds:uri="6ce3111e-7420-4802-b50a-75d4e9a0b980"/>
    <ds:schemaRef ds:uri="http://purl.org/dc/terms/"/>
    <ds:schemaRef ds:uri="http://purl.org/dc/elements/1.1/"/>
    <ds:schemaRef ds:uri="http://schemas.microsoft.com/office/2006/documentManagement/types"/>
    <ds:schemaRef ds:uri="http://schemas.openxmlformats.org/package/2006/metadata/core-properties"/>
    <ds:schemaRef ds:uri="4d435f69-8686-490b-bd6d-b153bf22ab50"/>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2019-09-20T21:05:58Z</cp:lastPrinted>
  <dcterms:created xsi:type="dcterms:W3CDTF">2003-10-29T19:06:34Z</dcterms:created>
  <dcterms:modified xsi:type="dcterms:W3CDTF">2019-11-04T20:42:20Z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