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Q:\AFR2019DTA\AFR19_AFRs for Website\School Districts 19\"/>
    </mc:Choice>
  </mc:AlternateContent>
  <xr:revisionPtr revIDLastSave="0" documentId="8_{0F3807BD-E0DE-4B3E-A628-6100004B8F43}"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2 (2)" sheetId="187"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NOTES'!$A$1:$F$42</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1" l="1"/>
  <c r="F20" i="181"/>
  <c r="G20" i="181" s="1"/>
  <c r="E21" i="181"/>
  <c r="F21" i="181" s="1"/>
  <c r="G21" i="181" s="1"/>
  <c r="B4" i="187" l="1"/>
  <c r="K26" i="179" l="1"/>
  <c r="J26" i="179"/>
  <c r="H26" i="179"/>
  <c r="J21" i="179"/>
  <c r="H21" i="179"/>
  <c r="J16" i="179"/>
  <c r="H16" i="179"/>
  <c r="G21" i="179"/>
  <c r="G16" i="179"/>
  <c r="I24" i="183" l="1"/>
  <c r="E19" i="184"/>
  <c r="K24" i="183"/>
  <c r="J24" i="183"/>
  <c r="H24" i="183"/>
  <c r="G24" i="183"/>
  <c r="F24" i="183"/>
  <c r="E24" i="183"/>
  <c r="L22" i="183"/>
  <c r="L23" i="183"/>
  <c r="K22" i="185"/>
  <c r="J22" i="185"/>
  <c r="I22" i="185"/>
  <c r="H22" i="185"/>
  <c r="G22" i="185"/>
  <c r="F22" i="185"/>
  <c r="E22" i="185"/>
  <c r="L20" i="185"/>
  <c r="L24" i="183" l="1"/>
  <c r="F14" i="185"/>
  <c r="G14" i="185"/>
  <c r="H14" i="185"/>
  <c r="I14" i="185"/>
  <c r="J14" i="185"/>
  <c r="K14" i="185"/>
  <c r="E14" i="185"/>
  <c r="K24" i="184"/>
  <c r="J24" i="184"/>
  <c r="I24" i="184"/>
  <c r="H24" i="184"/>
  <c r="G24" i="184"/>
  <c r="F24" i="184"/>
  <c r="E24" i="184"/>
  <c r="K19" i="184"/>
  <c r="J19" i="184"/>
  <c r="I19" i="184"/>
  <c r="H19" i="184"/>
  <c r="G19" i="184"/>
  <c r="F19" i="184"/>
  <c r="H14" i="183"/>
  <c r="I14" i="183"/>
  <c r="J14" i="183"/>
  <c r="J19" i="183"/>
  <c r="H19" i="183"/>
  <c r="H26" i="183" s="1"/>
  <c r="K19" i="183"/>
  <c r="I19" i="183"/>
  <c r="G19" i="183"/>
  <c r="F19" i="183"/>
  <c r="E19" i="183"/>
  <c r="K14" i="183"/>
  <c r="G14" i="183"/>
  <c r="F14" i="183"/>
  <c r="E14" i="183"/>
  <c r="I26" i="179"/>
  <c r="G26" i="179"/>
  <c r="F26" i="179"/>
  <c r="E26" i="179"/>
  <c r="K21" i="179"/>
  <c r="I21" i="179"/>
  <c r="F21" i="179"/>
  <c r="E21" i="179"/>
  <c r="K16" i="179"/>
  <c r="I16" i="179"/>
  <c r="F16" i="179"/>
  <c r="E16" i="179"/>
  <c r="L22" i="185"/>
  <c r="L21" i="185"/>
  <c r="L13" i="185"/>
  <c r="L12" i="185"/>
  <c r="B4" i="185"/>
  <c r="L23" i="184"/>
  <c r="L22" i="184"/>
  <c r="L18" i="184"/>
  <c r="L17" i="184"/>
  <c r="L16" i="184"/>
  <c r="L14" i="184"/>
  <c r="B4" i="184"/>
  <c r="L18" i="183"/>
  <c r="L17" i="183"/>
  <c r="L13" i="183"/>
  <c r="L12" i="183"/>
  <c r="B4" i="183"/>
  <c r="F16" i="185" l="1"/>
  <c r="L24" i="184"/>
  <c r="K16" i="185"/>
  <c r="J26" i="183"/>
  <c r="G16" i="185"/>
  <c r="K26" i="183"/>
  <c r="K24" i="185" s="1"/>
  <c r="E26" i="183"/>
  <c r="F26" i="183"/>
  <c r="F24" i="185" s="1"/>
  <c r="L19" i="184"/>
  <c r="J16" i="185"/>
  <c r="J24" i="185" s="1"/>
  <c r="I26" i="183"/>
  <c r="L19" i="183"/>
  <c r="G26" i="183"/>
  <c r="G24" i="185" s="1"/>
  <c r="L14" i="185"/>
  <c r="E16" i="185"/>
  <c r="E24" i="185" s="1"/>
  <c r="H16" i="185"/>
  <c r="H24" i="185" s="1"/>
  <c r="I16" i="185"/>
  <c r="L14" i="183"/>
  <c r="I24" i="185" l="1"/>
  <c r="L24" i="185" s="1"/>
  <c r="L26" i="183"/>
  <c r="L16" i="185"/>
  <c r="F28" i="181" l="1"/>
  <c r="F2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8" i="181"/>
  <c r="G28" i="181" s="1"/>
  <c r="E27" i="181"/>
  <c r="G27" i="181" s="1"/>
  <c r="E26" i="181"/>
  <c r="E25" i="181"/>
  <c r="F25" i="181" s="1"/>
  <c r="E24" i="181"/>
  <c r="E23" i="181"/>
  <c r="F23" i="181" s="1"/>
  <c r="G23" i="181" s="1"/>
  <c r="E22" i="181"/>
  <c r="E19" i="181"/>
  <c r="F19" i="181" s="1"/>
  <c r="F26" i="181" l="1"/>
  <c r="G26" i="181" s="1"/>
  <c r="F24" i="181"/>
  <c r="G24" i="181" s="1"/>
  <c r="F22" i="181"/>
  <c r="G22" i="181" s="1"/>
  <c r="G25" i="181"/>
  <c r="G19" i="181"/>
  <c r="D29" i="181"/>
  <c r="D80" i="36" l="1"/>
  <c r="B7797" i="106"/>
  <c r="E29" i="181"/>
  <c r="E18" i="181"/>
  <c r="F18" i="181" s="1"/>
  <c r="E17" i="181"/>
  <c r="F17" i="181" s="1"/>
  <c r="G17" i="181" l="1"/>
  <c r="G18" i="181"/>
  <c r="G29" i="181" s="1"/>
  <c r="G40" i="108" l="1"/>
  <c r="B7799" i="106"/>
  <c r="F29" i="181"/>
  <c r="B7798" i="106" s="1"/>
  <c r="E40" i="108"/>
  <c r="B4" i="179" l="1"/>
  <c r="D17" i="171" l="1"/>
  <c r="L26" i="179" l="1"/>
  <c r="L25" i="179"/>
  <c r="L24" i="179"/>
  <c r="L21" i="179"/>
  <c r="L20" i="179"/>
  <c r="L19" i="179"/>
  <c r="L16" i="179"/>
  <c r="L15" i="179"/>
  <c r="L14" i="179"/>
  <c r="L13" i="179"/>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5"/>
  <c r="B2" i="179"/>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55" i="127"/>
  <c r="C56" i="127"/>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l="1"/>
  <c r="B4270" i="106" s="1"/>
  <c r="D4270" i="106" s="1"/>
  <c r="G14" i="4"/>
  <c r="B2609" i="106" s="1"/>
  <c r="D2609" i="106" s="1"/>
  <c r="L13" i="11"/>
  <c r="B2060" i="106" s="1"/>
  <c r="D2060" i="106" s="1"/>
  <c r="B7074" i="106"/>
  <c r="D7074" i="106" s="1"/>
  <c r="F69" i="34"/>
  <c r="L342" i="29"/>
  <c r="D6103" i="106"/>
  <c r="H44" i="4"/>
  <c r="B3296" i="106" s="1"/>
  <c r="D3296" i="106" s="1"/>
  <c r="F64" i="34"/>
  <c r="B2836" i="106"/>
  <c r="D2836" i="106" s="1"/>
  <c r="F50" i="34"/>
  <c r="B2724" i="106"/>
  <c r="D2724" i="106" s="1"/>
  <c r="E26" i="108"/>
  <c r="B1274" i="106"/>
  <c r="D1274" i="106" s="1"/>
  <c r="F34" i="34"/>
  <c r="B1126" i="106"/>
  <c r="D112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1266" i="106"/>
  <c r="D1266" i="106" s="1"/>
  <c r="J16" i="4"/>
  <c r="B6226" i="106" s="1"/>
  <c r="D6226" i="106" s="1"/>
  <c r="D7256" i="106"/>
  <c r="D7251" i="106"/>
  <c r="D7250" i="106"/>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<sst xmlns="http://schemas.openxmlformats.org/spreadsheetml/2006/main" count="5504" uniqueCount="2234">
  <si>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</si>
  <si>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</si>
  <si>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</si>
  <si>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</si>
  <si>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</si>
  <si>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</si>
  <si>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</si>
  <si>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</si>
  <si>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</si>
  <si>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</si>
  <si>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</si>
  <si>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</si>
  <si>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</si>
  <si>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</si>
  <si>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</si>
  <si>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</si>
  <si>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</si>
  <si>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</si>
  <si>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</si>
  <si>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</si>
  <si>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</si>
  <si>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</si>
  <si>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</si>
  <si>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</si>
  <si>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</si>
  <si>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</si>
  <si>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</si>
  <si>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</si>
  <si>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</si>
  <si>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</si>
  <si>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</si>
  <si>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</si>
  <si>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</si>
  <si>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</si>
  <si>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</si>
  <si>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</si>
  <si>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</si>
  <si>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</si>
  <si>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</si>
  <si>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</si>
  <si>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</si>
  <si>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</si>
  <si>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</si>
  <si>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</si>
  <si>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</si>
  <si>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</si>
  <si>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</si>
  <si>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</si>
  <si>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</si>
  <si>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</si>
  <si>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</si>
  <si>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</si>
  <si>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</si>
  <si>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</si>
  <si>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</si>
  <si>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</si>
  <si>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</si>
  <si>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</si>
  <si>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</si>
  <si>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</si>
  <si>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</si>
  <si>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</si>
  <si>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</si>
  <si>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</si>
  <si>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</si>
  <si>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</si>
  <si>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</si>
  <si>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</si>
  <si>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</si>
  <si>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</si>
  <si>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</si>
  <si>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</si>
  <si>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</si>
  <si>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</si>
  <si>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</si>
  <si>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</si>
  <si>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</si>
  <si>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</si>
  <si>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</si>
  <si>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</si>
  <si>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</si>
  <si>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</si>
  <si>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</si>
  <si>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</si>
  <si>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</si>
  <si>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</si>
  <si>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</si>
  <si>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</si>
  <si>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</si>
  <si>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</si>
  <si>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</si>
  <si>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</si>
  <si>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</si>
  <si>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</si>
  <si>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</si>
  <si>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</si>
  <si>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</si>
  <si>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</si>
  <si>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</si>
  <si>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</si>
  <si>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</si>
  <si>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</si>
  <si>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</si>
  <si>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</si>
  <si>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</si>
  <si>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</si>
  <si>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</si>
  <si>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</si>
  <si>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</si>
  <si>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</si>
  <si>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</si>
  <si>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</si>
  <si>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</si>
  <si>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</si>
  <si>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</si>
  <si>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</si>
  <si>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</si>
  <si>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</si>
  <si>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</si>
  <si>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</si>
  <si>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</si>
  <si>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</si>
  <si>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</si>
  <si>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</si>
  <si>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</si>
  <si>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</si>
  <si>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</si>
  <si>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</si>
  <si>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</si>
  <si>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</si>
  <si>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</si>
  <si>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</si>
  <si>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</si>
  <si>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</si>
  <si>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</si>
  <si>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</si>
  <si>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</si>
  <si>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</si>
  <si>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</si>
  <si>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</si>
  <si>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</si>
  <si>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</si>
  <si>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</si>
  <si>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</si>
  <si>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</si>
  <si>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</si>
  <si>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</si>
  <si>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</si>
  <si>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</si>
  <si>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</si>
  <si>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</si>
  <si>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</si>
  <si>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</si>
  <si>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</si>
  <si>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</si>
  <si>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</si>
  <si>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</si>
  <si>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</si>
  <si>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</si>
  <si>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</si>
  <si>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</si>
  <si>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</si>
  <si>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</si>
  <si>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</si>
  <si>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</si>
  <si>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</si>
  <si>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</si>
  <si>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</si>
  <si>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</si>
  <si>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</si>
  <si>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</si>
  <si>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</si>
  <si>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</si>
  <si>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</si>
  <si>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</si>
  <si>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</si>
  <si>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</si>
  <si>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</si>
  <si>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</si>
  <si>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</si>
  <si>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</si>
  <si>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</si>
  <si>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</si>
  <si>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</si>
  <si>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</si>
  <si>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</si>
  <si>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</si>
  <si>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</si>
  <si>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</si>
  <si>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</si>
  <si>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</si>
  <si>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</si>
  <si>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</si>
  <si>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</si>
  <si>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</si>
  <si>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</si>
  <si>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</si>
  <si>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</si>
  <si>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</si>
  <si>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</si>
  <si>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</si>
  <si>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</si>
  <si>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</si>
  <si>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</si>
  <si>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</si>
  <si>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</si>
  <si>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</si>
  <si>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</si>
  <si>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</si>
  <si>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</si>
  <si>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</si>
  <si>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</si>
  <si>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</si>
  <si>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</si>
  <si>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</si>
  <si>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</si>
  <si>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</si>
  <si>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</si>
  <si>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</si>
  <si>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</si>
  <si>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</si>
  <si>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</si>
  <si>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</si>
  <si>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</si>
  <si>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</si>
  <si>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</si>
  <si>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</si>
  <si>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</si>
  <si>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</si>
  <si>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</si>
  <si>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</si>
  <si>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</si>
  <si>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</si>
  <si>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</si>
  <si>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</si>
  <si>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</si>
  <si>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</si>
  <si>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</si>
  <si>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</si>
  <si>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</si>
  <si>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</si>
  <si>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</si>
  <si>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</si>
  <si>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</si>
  <si>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</si>
  <si>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</si>
  <si>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</si>
  <si>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</si>
  <si>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</si>
  <si>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</si>
  <si>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</si>
  <si>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</si>
  <si>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</si>
  <si>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</si>
  <si>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</si>
  <si>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</si>
  <si>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</si>
  <si>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</si>
  <si>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</si>
  <si>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</si>
  <si>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</si>
  <si>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</si>
  <si>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</si>
  <si>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</si>
  <si>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</si>
  <si>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</si>
  <si>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</si>
  <si>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</si>
  <si>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</si>
  <si>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</si>
  <si>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</si>
  <si>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</si>
  <si>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</si>
  <si>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</si>
  <si>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</si>
  <si>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</si>
  <si>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</si>
  <si>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</si>
  <si>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</si>
  <si>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</si>
  <si>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</si>
  <si>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</si>
  <si>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</si>
  <si>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</si>
  <si>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</si>
  <si>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</si>
  <si>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</si>
  <si>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</si>
  <si>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</si>
  <si>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</si>
  <si>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</si>
  <si>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</si>
  <si>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</si>
  <si>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</si>
  <si>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</si>
  <si>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</si>
  <si>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</si>
  <si>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</si>
  <si>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</si>
  <si>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</si>
  <si>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</si>
  <si>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</si>
  <si>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</si>
  <si>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</si>
  <si>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</si>
  <si>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</si>
  <si>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</si>
  <si>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</si>
  <si>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</si>
  <si>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</si>
  <si>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</si>
  <si>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</si>
  <si>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</si>
  <si>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</si>
  <si>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</si>
  <si>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</si>
  <si>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</si>
  <si>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</si>
  <si>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</si>
  <si>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</si>
  <si>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</si>
  <si>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</si>
  <si>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</si>
  <si>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</si>
  <si>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</si>
  <si>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</si>
  <si>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</si>
  <si>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</si>
  <si>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</si>
  <si>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</si>
  <si>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</si>
  <si>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</si>
  <si>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</si>
  <si>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</si>
  <si>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</si>
  <si>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</si>
  <si>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</si>
  <si>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</si>
  <si>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</si>
  <si>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</si>
  <si>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</si>
  <si>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</si>
  <si>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</si>
  <si>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</si>
  <si>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</si>
  <si>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</si>
  <si>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</si>
  <si>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</si>
  <si>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</si>
  <si>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</si>
  <si>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</si>
  <si>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</si>
  <si>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</si>
  <si>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</si>
  <si>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</si>
  <si>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</si>
  <si>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</si>
  <si>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</si>
  <si>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</si>
  <si>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</si>
  <si>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</si>
  <si>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</si>
  <si>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</si>
  <si>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</si>
  <si>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</si>
  <si>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</si>
  <si>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</si>
  <si>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</si>
  <si>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</si>
  <si>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</si>
  <si>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</si>
  <si>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</si>
  <si>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</si>
  <si>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</si>
  <si>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</si>
  <si>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</si>
  <si>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</si>
  <si>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</si>
  <si>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</si>
  <si>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</si>
  <si>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</si>
  <si>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</si>
  <si>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</si>
  <si>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</si>
  <si>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</si>
  <si>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</si>
  <si>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</si>
  <si>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</si>
  <si>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</si>
  <si>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</si>
  <si>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</si>
  <si>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</si>
  <si>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</si>
  <si>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</si>
  <si>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</si>
  <si>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</si>
  <si>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</si>
  <si>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</si>
  <si>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</si>
  <si>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</si>
  <si>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</si>
  <si>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</si>
  <si>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</si>
  <si>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</si>
  <si>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</si>
  <si>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</si>
  <si>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</si>
  <si>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</si>
  <si>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</si>
  <si>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</si>
  <si>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</si>
  <si>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</si>
  <si>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</si>
  <si>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</si>
  <si>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</si>
  <si>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</si>
  <si>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</si>
  <si>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</si>
  <si>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</si>
  <si>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</si>
  <si>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</si>
  <si>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</si>
  <si>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</si>
  <si>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</si>
  <si>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</si>
  <si>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</si>
  <si>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</si>
  <si>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</si>
  <si>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</si>
  <si>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</si>
  <si>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</si>
  <si>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</si>
  <si>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</si>
  <si>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</si>
  <si>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</si>
  <si>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</si>
  <si>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</si>
  <si>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</si>
  <si>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</si>
  <si>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</si>
  <si>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</si>
  <si>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</si>
  <si>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</si>
  <si>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</si>
  <si>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</si>
  <si>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</si>
  <si>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</si>
  <si>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</si>
  <si>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</si>
  <si>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</si>
  <si>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</si>
  <si>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</si>
  <si>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</si>
  <si>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</si>
  <si>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</si>
  <si>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</si>
  <si>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</si>
  <si>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</si>
  <si>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</si>
  <si>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</si>
  <si>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</si>
  <si>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</si>
  <si>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</si>
  <si>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</si>
  <si>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</si>
  <si>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</si>
  <si>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</si>
  <si>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</si>
  <si>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</si>
  <si>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</si>
  <si>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</si>
  <si>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</si>
  <si>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</si>
  <si>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</si>
  <si>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</si>
  <si>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</si>
  <si>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</si>
  <si>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</si>
  <si>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</si>
  <si>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</si>
  <si>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</si>
  <si>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</si>
  <si>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</si>
  <si>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</si>
  <si>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</si>
  <si>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</si>
  <si>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</si>
  <si>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</si>
  <si>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</si>
  <si>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</si>
  <si>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</si>
  <si>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</si>
  <si>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</si>
  <si>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</si>
  <si>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</si>
  <si>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</si>
  <si>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</si>
  <si>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</si>
  <si>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</si>
  <si>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</si>
  <si>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</si>
  <si>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</si>
  <si>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</si>
  <si>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</si>
  <si>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</si>
  <si>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</si>
  <si>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</si>
  <si>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</si>
  <si>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</si>
  <si>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</si>
  <si>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</si>
  <si>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</si>
  <si>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</si>
  <si>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</si>
  <si>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</si>
  <si>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</si>
  <si>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</si>
  <si>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</si>
  <si>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</si>
  <si>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</si>
  <si>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</si>
  <si>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</si>
  <si>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</si>
  <si>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</si>
  <si>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</si>
  <si>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</si>
  <si>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</si>
  <si>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</si>
  <si>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</si>
  <si>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</si>
  <si>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</si>
  <si>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</si>
  <si>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</si>
  <si>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</si>
  <si>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</si>
  <si>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</si>
  <si>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</si>
  <si>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</si>
  <si>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</si>
  <si>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</si>
  <si>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</si>
  <si>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</si>
  <si>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</si>
  <si>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</si>
  <si>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</si>
  <si>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</si>
  <si>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</si>
  <si>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</si>
  <si>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</si>
  <si>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</si>
  <si>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</si>
  <si>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</si>
  <si>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</si>
  <si>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</si>
  <si>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</si>
  <si>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</si>
  <si>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</si>
  <si>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</si>
  <si>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</si>
  <si>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</si>
  <si>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</si>
  <si>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</si>
  <si>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</si>
  <si>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</si>
  <si>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</si>
  <si>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</si>
  <si>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</si>
  <si>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</si>
  <si>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</si>
  <si>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</si>
  <si>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</si>
  <si>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</si>
  <si>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</si>
  <si>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</si>
  <si>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</si>
  <si>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</si>
  <si>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</si>
  <si>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</si>
  <si>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</si>
  <si>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</si>
  <si>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</si>
  <si>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</si>
  <si>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</si>
  <si>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</si>
  <si>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</si>
  <si>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</si>
  <si>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</si>
  <si>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</si>
  <si>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</si>
  <si>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</si>
  <si>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</si>
  <si>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</si>
  <si>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</si>
  <si>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</si>
  <si>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</si>
  <si>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</si>
  <si>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</si>
  <si>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</si>
  <si>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</si>
  <si>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</si>
  <si>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</si>
  <si>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</si>
  <si>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</si>
  <si>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</si>
  <si>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</si>
  <si>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</si>
  <si>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</si>
  <si>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</si>
  <si>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</si>
  <si>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</si>
  <si>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</si>
  <si>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</si>
  <si>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</si>
  <si>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</si>
  <si>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</si>
  <si>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</si>
  <si>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</si>
  <si>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</si>
  <si>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</si>
  <si>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</si>
  <si>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</si>
  <si>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</si>
  <si>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</si>
  <si>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</si>
  <si>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</si>
  <si>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</si>
  <si>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</si>
  <si>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</si>
  <si>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</si>
  <si>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</si>
  <si>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</si>
  <si>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</si>
  <si>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</si>
  <si>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</si>
  <si>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</si>
  <si>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</si>
  <si>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</si>
  <si>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</si>
  <si>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</si>
  <si>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</si>
  <si>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</si>
  <si>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</si>
  <si>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</si>
  <si>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</si>
  <si>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</si>
  <si>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</si>
  <si>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</si>
  <si>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</si>
  <si>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</si>
  <si>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</si>
  <si>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</si>
  <si>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</si>
  <si>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</si>
  <si>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</si>
  <si>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</si>
  <si>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</si>
  <si>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</si>
  <si>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</si>
  <si>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</si>
  <si>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</si>
  <si>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</si>
  <si>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</si>
  <si>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</si>
  <si>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</si>
  <si>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</si>
  <si>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</si>
  <si>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</si>
  <si>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</si>
  <si>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</si>
  <si>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</si>
  <si>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</si>
  <si>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</si>
  <si>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</si>
  <si>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</si>
  <si>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</si>
  <si>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</si>
  <si>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</si>
  <si>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</si>
  <si>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</si>
  <si>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</si>
  <si>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</si>
  <si>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</si>
  <si>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</si>
  <si>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</si>
  <si>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</si>
  <si>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</si>
  <si>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</si>
  <si>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</si>
  <si>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</si>
  <si>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</si>
  <si>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</si>
  <si>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</si>
  <si>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</si>
  <si>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</si>
  <si>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</si>
  <si>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</si>
  <si>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</si>
  <si>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</si>
  <si>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</si>
  <si>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</si>
  <si>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</si>
  <si>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</si>
  <si>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</si>
  <si>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</si>
  <si>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</si>
  <si>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</si>
  <si>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</si>
  <si>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</si>
  <si>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</si>
  <si>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</si>
  <si>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</si>
  <si>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</si>
  <si>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</si>
  <si>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</si>
  <si>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</si>
  <si>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</si>
  <si>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</si>
  <si>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</si>
  <si>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</si>
  <si>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</si>
  <si>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</si>
  <si>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</si>
  <si>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</si>
  <si>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</si>
  <si>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</si>
  <si>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</si>
  <si>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</si>
  <si>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</si>
  <si>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</si>
  <si>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</si>
  <si>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</si>
  <si>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</si>
  <si>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</si>
  <si>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</si>
  <si>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</si>
  <si>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</si>
  <si>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</si>
  <si>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</si>
  <si>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</si>
  <si>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</si>
  <si>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</si>
  <si>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</si>
  <si>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</si>
  <si>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</si>
  <si>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</si>
  <si>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</si>
  <si>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</si>
  <si>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</si>
  <si>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</si>
  <si>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</si>
  <si>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</si>
  <si>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</si>
  <si>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</si>
  <si>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</si>
  <si>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</si>
  <si>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</si>
  <si>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</si>
  <si>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</si>
  <si>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</si>
  <si>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</si>
  <si>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</si>
  <si>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</si>
  <si>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</si>
  <si>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</si>
  <si>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</si>
  <si>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</si>
  <si>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</si>
  <si>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</si>
  <si>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</si>
  <si>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</si>
  <si>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</si>
  <si>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</si>
  <si>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</si>
  <si>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</si>
  <si>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</si>
  <si>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</si>
  <si>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</si>
  <si>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</si>
  <si>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</si>
  <si>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</si>
  <si>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</si>
  <si>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</si>
  <si>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</si>
  <si>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</si>
  <si>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</si>
  <si>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</si>
  <si>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</si>
  <si>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</si>
  <si>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</si>
  <si>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</si>
  <si>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</si>
  <si>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</si>
  <si>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</si>
  <si>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</si>
  <si>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</si>
  <si>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</si>
  <si>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</si>
  <si>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</si>
  <si>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</si>
  <si>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</si>
  <si>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</si>
  <si>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</si>
  <si>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</si>
  <si>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</si>
  <si>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</si>
  <si>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</si>
  <si>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</si>
  <si>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</si>
  <si>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</si>
  <si>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</si>
  <si>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</si>
  <si>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</si>
  <si>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</si>
  <si>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</si>
  <si>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</si>
  <si>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</si>
  <si>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</si>
  <si>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</si>
  <si>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</si>
  <si>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</si>
  <si>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</si>
  <si>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</si>
  <si>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</si>
  <si>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</si>
  <si>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</si>
  <si>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</si>
  <si>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</si>
  <si>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</si>
  <si>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</si>
  <si>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</si>
  <si>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</si>
  <si>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</si>
  <si>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</si>
  <si>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</si>
  <si>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</si>
  <si>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</si>
  <si>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</si>
  <si>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</si>
  <si>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</si>
  <si>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</si>
  <si>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</si>
  <si>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</si>
  <si>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</si>
  <si>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</si>
  <si>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</si>
  <si>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</si>
  <si>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</si>
  <si>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</si>
  <si>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</si>
  <si>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</si>
  <si>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</si>
  <si>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</si>
  <si>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</si>
  <si>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</si>
  <si>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</si>
  <si>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</si>
  <si>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</si>
  <si>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</si>
  <si>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</si>
  <si>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</si>
  <si>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</si>
  <si>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</si>
  <si>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</si>
  <si>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</si>
  <si>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</si>
  <si>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</si>
  <si>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</si>
  <si>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</si>
  <si>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</si>
  <si>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</si>
  <si>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</si>
  <si>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</si>
  <si>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</si>
  <si>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</si>
  <si>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</si>
  <si>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</si>
  <si>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</si>
  <si>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</si>
  <si>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</si>
  <si>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</si>
  <si>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</si>
  <si>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</si>
  <si>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</si>
  <si>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</si>
  <si>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</si>
  <si>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</si>
  <si>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</si>
  <si>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</si>
  <si>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</si>
  <si>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</si>
  <si>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</si>
  <si>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</si>
  <si>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</si>
  <si>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</si>
  <si>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</si>
  <si>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</si>
  <si>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</si>
  <si>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</si>
  <si>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</si>
  <si>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</si>
  <si>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</si>
  <si>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</si>
  <si>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</si>
  <si>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</si>
  <si>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</si>
  <si>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</si>
  <si>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</si>
  <si>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</si>
  <si>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</si>
  <si>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</si>
  <si>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</si>
  <si>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</si>
  <si>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</si>
  <si>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</si>
  <si>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</si>
  <si>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</si>
  <si>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</si>
  <si>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</si>
  <si>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</si>
  <si>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</si>
  <si>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</si>
  <si>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</si>
  <si>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</si>
  <si>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</si>
  <si>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</si>
  <si>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</si>
  <si>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</si>
  <si>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</si>
  <si>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</si>
  <si>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</si>
  <si>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</si>
  <si>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</si>
  <si>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</si>
  <si>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</si>
  <si>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</si>
  <si>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</si>
  <si>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</si>
  <si>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</si>
  <si>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</si>
  <si>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</si>
  <si>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</si>
  <si>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</si>
  <si>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</si>
  <si>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</si>
  <si>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</si>
  <si>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</si>
  <si>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</si>
  <si>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</si>
  <si>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</si>
  <si>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</si>
  <si>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</si>
  <si>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</si>
  <si>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</si>
  <si>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</si>
  <si>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</si>
  <si>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</si>
  <si>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</si>
  <si>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</si>
  <si>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</si>
  <si>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</si>
  <si>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</si>
  <si>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</si>
  <si>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</si>
  <si>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</si>
  <si>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</si>
  <si>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</si>
  <si>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</si>
  <si>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</si>
  <si>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</si>
  <si>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</si>
  <si>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</si>
  <si>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</si>
  <si>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</si>
  <si>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</si>
  <si>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</si>
  <si>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</si>
  <si>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</si>
  <si>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</si>
  <si>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</si>
  <si>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</si>
  <si>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</si>
  <si>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</si>
  <si>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</si>
  <si>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</si>
  <si>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</si>
  <si>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</si>
  <si>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</si>
  <si>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</si>
  <si>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</si>
  <si>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</si>
  <si>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</si>
  <si>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</si>
  <si>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</si>
  <si>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</si>
  <si>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</si>
  <si>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</si>
  <si>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</si>
  <si>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</si>
  <si>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</si>
  <si>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</si>
  <si>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</si>
  <si>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</si>
  <si>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</si>
  <si>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</si>
  <si>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</si>
  <si>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</si>
  <si>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</si>
  <si>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</si>
  <si>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</si>
  <si>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</si>
  <si>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</si>
  <si>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</si>
  <si>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</si>
  <si>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</si>
  <si>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</si>
  <si>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</si>
  <si>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</si>
  <si>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</si>
  <si>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</si>
  <si>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</si>
  <si>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</si>
  <si>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</si>
  <si>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</si>
  <si>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</si>
  <si>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</si>
  <si>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</si>
  <si>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</si>
  <si>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</si>
  <si>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</si>
  <si>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</si>
  <si>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</si>
  <si>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</si>
  <si>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</si>
  <si>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</si>
  <si>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</si>
  <si>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</si>
  <si>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</si>
  <si>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</si>
  <si>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</si>
  <si>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</si>
  <si>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</si>
  <si>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</si>
  <si>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</si>
  <si>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</si>
  <si>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</si>
  <si>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</si>
  <si>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</si>
  <si>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</si>
  <si>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</si>
  <si>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</si>
  <si>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</si>
  <si>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</si>
  <si>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</si>
  <si>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</si>
  <si>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</si>
  <si>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</si>
  <si>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</si>
  <si>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</si>
  <si>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</si>
  <si>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</si>
  <si>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</si>
  <si>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</si>
  <si>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</si>
  <si>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</si>
  <si>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</si>
  <si>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</si>
  <si>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</si>
  <si>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</si>
  <si>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</si>
  <si>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</si>
  <si>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</si>
  <si>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</si>
  <si>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</si>
  <si>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</si>
  <si>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</si>
  <si>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</si>
  <si>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</si>
  <si>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</si>
  <si>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</si>
  <si>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</si>
  <si>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</si>
  <si>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</si>
  <si>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</si>
  <si>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</si>
  <si>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</si>
  <si>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</si>
  <si>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</si>
  <si>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</si>
  <si>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</si>
  <si>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</si>
  <si>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</si>
  <si>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</si>
  <si>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</si>
  <si>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</si>
  <si>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</si>
  <si>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</si>
  <si>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</si>
  <si>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</si>
  <si>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</si>
  <si>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</si>
  <si>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</si>
  <si>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</si>
  <si>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</si>
  <si>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</si>
  <si>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</si>
  <si>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</si>
  <si>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</si>
  <si>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</si>
  <si>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</si>
  <si>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</si>
  <si>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</si>
  <si>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</si>
  <si>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</si>
  <si>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</si>
  <si>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</si>
  <si>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</si>
  <si>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</si>
  <si>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</si>
  <si>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</si>
  <si>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</si>
  <si>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</si>
  <si>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</si>
  <si>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</si>
  <si>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</si>
  <si>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</si>
  <si>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</si>
  <si>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</si>
  <si>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</si>
  <si>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</si>
  <si>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</si>
  <si>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</si>
  <si>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</si>
  <si>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</si>
  <si>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</si>
  <si>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</si>
  <si>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</si>
  <si>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</si>
  <si>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</si>
  <si>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</si>
  <si>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</si>
  <si>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</si>
  <si>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</si>
  <si>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</si>
  <si>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</si>
  <si>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</si>
  <si>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</si>
  <si>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</si>
  <si>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</si>
  <si>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</si>
  <si>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</si>
  <si>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</si>
  <si>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</si>
  <si>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</si>
  <si>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</si>
  <si>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</si>
  <si>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</si>
  <si>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</si>
  <si>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</si>
  <si>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</si>
  <si>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</si>
  <si>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</si>
  <si>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</si>
  <si>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</si>
  <si>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</si>
  <si>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</si>
  <si>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</si>
  <si>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</si>
  <si>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</si>
  <si>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</si>
  <si>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</si>
  <si>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</si>
  <si>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</si>
  <si>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</si>
  <si>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</si>
  <si>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</si>
  <si>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</si>
  <si>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</si>
  <si>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</si>
  <si>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</si>
  <si>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</si>
  <si>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</si>
  <si>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</si>
  <si>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</si>
  <si>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</si>
  <si>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</si>
  <si>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</si>
  <si>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</si>
  <si>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</si>
  <si>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</si>
  <si>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</si>
  <si>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</si>
  <si>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</si>
  <si>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</si>
  <si>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</si>
  <si>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</si>
  <si>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</si>
  <si>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</si>
  <si>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</si>
  <si>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</si>
  <si>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</si>
  <si>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</si>
  <si>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</si>
  <si>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</si>
  <si>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</si>
  <si>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</si>
  <si>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</si>
  <si>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</si>
  <si>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</si>
  <si>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</si>
  <si>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</si>
  <si>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</si>
  <si>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</si>
  <si>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</si>
  <si>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</si>
  <si>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</si>
  <si>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</si>
  <si>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</si>
  <si>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</si>
  <si>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</si>
  <si>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</si>
  <si>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</si>
  <si>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</si>
  <si>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</si>
  <si>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</si>
  <si>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</si>
  <si>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</si>
  <si>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</si>
  <si>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</si>
  <si>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</si>
  <si>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</si>
  <si>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</si>
  <si>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</si>
  <si>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</si>
  <si>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</si>
  <si>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</si>
  <si>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</si>
  <si>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</si>
  <si>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</si>
  <si>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</si>
  <si>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</si>
  <si>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</si>
  <si>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</si>
  <si>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</si>
  <si>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</si>
  <si>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</si>
  <si>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</si>
  <si>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</si>
  <si>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</si>
  <si>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</si>
  <si>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</si>
  <si>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</si>
  <si>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</si>
  <si>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</si>
  <si>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</si>
  <si>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</si>
  <si>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</si>
  <si>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</si>
  <si>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</si>
  <si>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</si>
  <si>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</si>
  <si>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</si>
  <si>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</si>
  <si>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</si>
  <si>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</si>
  <si>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</si>
  <si>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</si>
  <si>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</si>
  <si>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</si>
  <si>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</si>
  <si>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</si>
  <si>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</si>
  <si>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</si>
  <si>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</si>
  <si>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</si>
  <si>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</si>
  <si>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</si>
  <si>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</si>
  <si>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</si>
  <si>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</si>
  <si>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</si>
  <si>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</si>
  <si>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</si>
  <si>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</si>
  <si>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</si>
  <si>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</si>
  <si>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</si>
  <si>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</si>
  <si>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</si>
  <si>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</si>
  <si>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</si>
  <si>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</si>
  <si>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</si>
  <si>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</si>
  <si>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</si>
  <si>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</si>
  <si>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</si>
  <si>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</si>
  <si>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</si>
  <si>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</si>
  <si>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</si>
  <si>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</si>
  <si>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</si>
  <si>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</si>
  <si>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</si>
  <si>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</si>
  <si>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</si>
  <si>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</si>
  <si>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</si>
  <si>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</si>
  <si>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</si>
  <si>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</si>
  <si>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</si>
  <si>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</si>
  <si>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</si>
  <si>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</si>
  <si>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</si>
  <si>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</si>
  <si>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</si>
  <si>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</si>
  <si>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</si>
  <si>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</si>
  <si>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</si>
  <si>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</si>
  <si>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</si>
  <si>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</si>
  <si>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</si>
  <si>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</si>
  <si>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</si>
  <si>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</si>
  <si>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</si>
  <si>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</si>
  <si>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</si>
  <si>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</si>
  <si>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</si>
  <si>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</si>
  <si>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</si>
  <si>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</si>
  <si>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</si>
  <si>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</si>
  <si>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</si>
  <si>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</si>
  <si>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</si>
  <si>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</si>
  <si>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</si>
  <si>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</si>
  <si>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</si>
  <si>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</si>
  <si>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</si>
  <si>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</si>
  <si>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</si>
  <si>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</si>
  <si>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</si>
  <si>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</si>
  <si>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</si>
  <si>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</si>
  <si>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</si>
  <si>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</si>
  <si>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</si>
  <si>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</si>
  <si>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</si>
  <si>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</si>
  <si>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</si>
  <si>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</si>
  <si>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</si>
  <si>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</si>
  <si>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</si>
  <si>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</si>
  <si>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</si>
  <si>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</si>
  <si>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</si>
  <si>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</si>
  <si>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</si>
  <si>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</si>
  <si>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</si>
  <si>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</si>
  <si>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</si>
  <si>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</si>
  <si>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</si>
  <si>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</si>
  <si>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</si>
  <si>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</si>
  <si>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</si>
  <si>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</si>
  <si>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</si>
  <si>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</si>
  <si>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</si>
  <si>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</si>
  <si>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</si>
  <si>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</si>
  <si>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</si>
  <si>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</si>
  <si>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</si>
  <si>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</si>
  <si>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</si>
  <si>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</si>
  <si>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</si>
  <si>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</si>
  <si>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</si>
  <si>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</si>
  <si>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</si>
  <si>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</si>
  <si>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</si>
  <si>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</si>
  <si>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</si>
  <si>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</si>
  <si>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</si>
  <si>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</si>
  <si>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</si>
  <si>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</si>
  <si>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</si>
  <si>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</si>
  <si>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</si>
  <si>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</si>
  <si>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</si>
  <si>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</si>
  <si>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</si>
  <si>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</si>
  <si>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</si>
  <si>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</si>
  <si>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</si>
  <si>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</si>
  <si>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</si>
  <si>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</si>
  <si>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</si>
  <si>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</si>
  <si>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</si>
  <si>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</si>
  <si>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</si>
  <si>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</si>
  <si>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</si>
  <si>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</si>
  <si>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</si>
  <si>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</si>
  <si>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</si>
  <si>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</si>
  <si>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</si>
  <si>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</si>
  <si>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</si>
  <si>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</si>
  <si>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</si>
  <si>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</si>
  <si>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</si>
  <si>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</si>
  <si>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</si>
  <si>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</si>
  <si>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</si>
  <si>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</si>
  <si>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</si>
  <si>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</si>
  <si>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</si>
  <si>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</si>
  <si>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</si>
  <si>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</si>
  <si>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</si>
  <si>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</si>
  <si>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</si>
  <si>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</si>
  <si>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</si>
  <si>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</si>
  <si>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</si>
  <si>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</si>
  <si>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</si>
  <si>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</si>
  <si>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</si>
  <si>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</si>
  <si>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</si>
  <si>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</si>
  <si>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</si>
  <si>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</si>
  <si>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</si>
  <si>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</si>
  <si>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</si>
  <si>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</si>
  <si>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</si>
  <si>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</si>
  <si>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</si>
  <si>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</si>
  <si>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</si>
  <si>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</si>
  <si>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</si>
  <si>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</si>
  <si>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</si>
  <si>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</si>
  <si>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</si>
  <si>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</si>
  <si>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</si>
  <si>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</si>
  <si>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</si>
  <si>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</si>
  <si>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</si>
  <si>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</si>
  <si>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</si>
  <si>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</si>
  <si>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</si>
  <si>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</si>
  <si>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</si>
  <si>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</si>
  <si>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</si>
  <si>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</si>
  <si>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</si>
  <si>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</si>
  <si>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</si>
  <si>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</si>
  <si>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</si>
  <si>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</si>
  <si>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</si>
  <si>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</si>
  <si>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</si>
  <si>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</si>
  <si>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</si>
  <si>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</si>
  <si>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</si>
  <si>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</si>
  <si>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</si>
  <si>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</si>
  <si>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</si>
  <si>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</si>
  <si>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</si>
  <si>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</si>
  <si>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</si>
  <si>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</si>
  <si>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</si>
  <si>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</si>
  <si>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</si>
  <si>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</si>
  <si>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</si>
  <si>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</si>
  <si>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</si>
  <si>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</si>
  <si>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</si>
  <si>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</si>
  <si>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</si>
  <si>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</si>
  <si>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</si>
  <si>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</si>
  <si>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</si>
  <si>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</si>
  <si>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</si>
  <si>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</si>
  <si>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</si>
  <si>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</si>
  <si>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</si>
  <si>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</si>
  <si>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</si>
  <si>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</si>
  <si>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</si>
  <si>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</si>
  <si>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</si>
  <si>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</si>
  <si>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</si>
  <si>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</si>
  <si>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</si>
  <si>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</si>
  <si>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</si>
  <si>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</si>
  <si>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</si>
  <si>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</si>
  <si>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</si>
  <si>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</si>
  <si>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</si>
  <si>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</si>
  <si>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</si>
  <si>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</si>
  <si>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</si>
  <si>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</si>
  <si>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</si>
  <si>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</si>
  <si>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</si>
  <si>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</si>
  <si>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</si>
  <si>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</si>
  <si>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</si>
  <si>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</si>
  <si>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</si>
  <si>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</si>
  <si>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</si>
  <si>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</si>
  <si>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</si>
  <si>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</si>
  <si>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</si>
  <si>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</si>
  <si>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</si>
  <si>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</si>
  <si>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</si>
  <si>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</si>
  <si>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</si>
  <si>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</si>
  <si>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</si>
  <si>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</si>
  <si>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</si>
  <si>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</si>
  <si>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</si>
  <si>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</si>
  <si>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</si>
  <si>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</si>
  <si>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</si>
  <si>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</si>
  <si>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</si>
  <si>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</si>
  <si>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</si>
  <si>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</si>
  <si>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</si>
  <si>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</si>
  <si>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</si>
  <si>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</si>
  <si>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</si>
  <si>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</si>
  <si>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</si>
  <si>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</si>
  <si>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</si>
  <si>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</si>
  <si>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</si>
  <si>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</si>
  <si>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</si>
  <si>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</si>
  <si>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</si>
  <si>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</si>
  <si>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</si>
  <si>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</si>
  <si>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</si>
  <si>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</si>
  <si>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</si>
  <si>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</si>
  <si>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</si>
  <si>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</si>
  <si>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</si>
  <si>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</si>
  <si>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</si>
  <si>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</si>
  <si>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</si>
  <si>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</si>
  <si>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</si>
  <si>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</si>
  <si>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</si>
  <si>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</si>
  <si>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</si>
  <si>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</si>
  <si>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</si>
  <si>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</si>
  <si>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</si>
  <si>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</si>
  <si>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</si>
  <si>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</si>
  <si>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</si>
  <si>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</si>
  <si>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</si>
  <si>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</si>
  <si>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</si>
  <si>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</si>
  <si>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</si>
  <si>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</si>
  <si>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</si>
  <si>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</si>
  <si>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</si>
  <si>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</si>
  <si>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</si>
  <si>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</si>
  <si>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</si>
  <si>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</si>
  <si>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</si>
  <si>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</si>
  <si>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</si>
  <si>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</si>
  <si>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</si>
  <si>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</si>
  <si>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</si>
  <si>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</si>
  <si>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</si>
  <si>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</si>
  <si>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</si>
  <si>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</si>
  <si>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</si>
  <si>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</si>
  <si>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</si>
  <si>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</si>
  <si>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</si>
  <si>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</si>
  <si>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</si>
  <si>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</si>
  <si>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</si>
  <si>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</si>
  <si>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</si>
  <si>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</si>
  <si>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</si>
  <si>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</si>
  <si>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</si>
  <si>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</si>
  <si>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</si>
  <si>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</si>
  <si>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</si>
  <si>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</si>
  <si>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</si>
  <si>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</si>
  <si>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</si>
  <si>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</si>
  <si>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</si>
  <si>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</si>
  <si>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</si>
  <si>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</si>
  <si>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</si>
  <si>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</si>
  <si>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</si>
  <si>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</si>
  <si>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</si>
  <si>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</si>
  <si>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</si>
  <si>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</si>
  <si>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</si>
  <si>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</si>
  <si>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</si>
  <si>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</si>
  <si>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</si>
  <si>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</si>
  <si>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</si>
  <si>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</si>
  <si>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</si>
  <si>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</si>
  <si>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</si>
  <si>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</si>
  <si>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</si>
  <si>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</si>
  <si>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</si>
  <si>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</si>
  <si>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</si>
  <si>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</si>
  <si>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</si>
  <si>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</si>
  <si>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</si>
  <si>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</si>
  <si>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</si>
  <si>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</si>
  <si>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</si>
  <si>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</si>
  <si>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</si>
  <si>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</si>
  <si>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</si>
  <si>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</si>
  <si>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</si>
  <si>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</si>
  <si>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</si>
  <si>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</si>
  <si>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</si>
  <si>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</si>
  <si>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</si>
  <si>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</si>
  <si>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</si>
  <si>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</si>
  <si>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</si>
  <si>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</si>
  <si>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</si>
  <si>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</si>
  <si>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</si>
  <si>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</si>
  <si>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</si>
  <si>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</si>
  <si>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</si>
  <si>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</si>
  <si>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</si>
  <si>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</si>
  <si>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</si>
  <si>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</si>
  <si>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</si>
  <si>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</si>
  <si>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</si>
  <si>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</si>
  <si>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</si>
  <si>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</si>
  <si>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</si>
  <si>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</si>
  <si>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</si>
  <si>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</si>
  <si>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</si>
  <si>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</si>
  <si>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</si>
  <si>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</si>
  <si>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</si>
  <si>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</si>
  <si>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</si>
  <si>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</si>
  <si>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</si>
  <si>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</si>
  <si>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</si>
  <si>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</si>
  <si>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</si>
  <si>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</si>
  <si>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</si>
  <si>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</si>
  <si>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</si>
  <si>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</si>
  <si>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</si>
  <si>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</si>
  <si>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</si>
  <si>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</si>
  <si>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</si>
  <si>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</si>
  <si>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</si>
  <si>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</si>
  <si>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</si>
  <si>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</si>
  <si>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</si>
  <si>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</si>
  <si>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</si>
  <si>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</si>
  <si>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</si>
  <si>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</si>
  <si>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</si>
  <si>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</si>
  <si>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</si>
  <si>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</si>
  <si>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</si>
  <si>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</si>
  <si>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</si>
  <si>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</si>
  <si>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</si>
  <si>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</si>
  <si>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</si>
  <si>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</si>
  <si>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</si>
  <si>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</si>
  <si>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</si>
  <si>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</si>
  <si>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</si>
  <si>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</si>
  <si>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</si>
  <si>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</si>
  <si>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</si>
  <si>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</si>
  <si>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</si>
  <si>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</si>
  <si>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</si>
  <si>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</si>
  <si>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</si>
  <si>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</si>
  <si>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</si>
  <si>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</si>
  <si>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</si>
  <si>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</si>
  <si>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</si>
  <si>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</si>
  <si>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</si>
  <si>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</si>
  <si>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</si>
  <si>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</si>
  <si>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</si>
  <si>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</si>
  <si>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</si>
  <si>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</si>
  <si>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</si>
  <si>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</si>
  <si>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</si>
  <si>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</si>
  <si>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</si>
  <si>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</si>
  <si>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</si>
  <si>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</si>
  <si>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</si>
  <si>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</si>
  <si>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</si>
  <si>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</si>
  <si>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</si>
  <si>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</si>
  <si>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</si>
  <si>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</si>
  <si>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</si>
  <si>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</si>
  <si>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</si>
  <si>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</si>
  <si>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</si>
  <si>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</si>
  <si>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</si>
  <si>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</si>
  <si>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</si>
  <si>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</si>
  <si>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</si>
  <si>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</si>
  <si>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</si>
  <si>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</si>
  <si>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</si>
  <si>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</si>
  <si>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</si>
  <si>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</si>
  <si>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</si>
  <si>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</si>
  <si>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</si>
  <si>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</si>
  <si>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</si>
  <si>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</si>
  <si>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</si>
  <si>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</si>
  <si>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</si>
  <si>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</si>
  <si>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</si>
  <si>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</si>
  <si>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</si>
  <si>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</si>
  <si>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</si>
  <si>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</si>
  <si>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</si>
  <si>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</si>
  <si>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</si>
  <si>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</si>
  <si>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</si>
  <si>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</si>
  <si>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</si>
  <si>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</si>
  <si>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</si>
  <si>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</si>
  <si>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</si>
  <si>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</si>
  <si>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</si>
  <si>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</si>
  <si>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</si>
  <si>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</si>
  <si>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</si>
  <si>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</si>
  <si>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</si>
  <si>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</si>
  <si>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</si>
  <si>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</si>
  <si>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</si>
  <si>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</si>
  <si>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</si>
  <si>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</si>
  <si>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</si>
  <si>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</si>
  <si>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</si>
  <si>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</si>
  <si>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</si>
  <si>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</si>
  <si>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</si>
  <si>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</si>
  <si>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</si>
  <si>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</si>
  <si>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</si>
  <si>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</si>
  <si>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</si>
  <si>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</si>
  <si>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</si>
  <si>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</si>
  <si>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</si>
  <si>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</si>
  <si>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</si>
  <si>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</si>
  <si>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</si>
  <si>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</si>
  <si>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</si>
  <si>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</si>
  <si>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</si>
  <si>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</si>
  <si>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</si>
  <si>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</si>
  <si>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</si>
  <si>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</si>
  <si>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</si>
  <si>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</si>
  <si>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</si>
  <si>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</si>
  <si>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</si>
  <si>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</si>
  <si>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</si>
  <si>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</si>
  <si>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</si>
  <si>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</si>
  <si>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</si>
  <si>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</si>
  <si>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</si>
  <si>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</si>
  <si>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</si>
  <si>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</si>
  <si>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</si>
  <si>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</si>
  <si>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</si>
  <si>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</si>
  <si>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</si>
  <si>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</si>
  <si>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</si>
  <si>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</si>
  <si>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</si>
  <si>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</si>
  <si>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</si>
  <si>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</si>
  <si>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</si>
  <si>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</si>
  <si>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</si>
  <si>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</si>
  <si>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</si>
  <si>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</si>
  <si>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</si>
  <si>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</si>
  <si>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</si>
  <si>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</si>
  <si>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</si>
  <si>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</si>
  <si>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</si>
  <si>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</si>
  <si>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</si>
  <si>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</si>
  <si>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</si>
  <si>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</si>
  <si>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</si>
  <si>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</si>
  <si>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</si>
  <si>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</si>
  <si>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</si>
  <si>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</si>
  <si>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</si>
  <si>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</si>
  <si>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</si>
  <si>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</si>
  <si>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</si>
  <si>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</si>
  <si>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</si>
  <si>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</si>
  <si>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</si>
  <si>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</si>
  <si>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</si>
  <si>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</si>
  <si>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</si>
  <si>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</si>
  <si>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</si>
  <si>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</si>
  <si>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</si>
  <si>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</si>
  <si>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</si>
  <si>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</si>
  <si>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</si>
  <si>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</si>
  <si>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</si>
  <si>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</si>
  <si>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</si>
  <si>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</si>
  <si>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</si>
  <si>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</si>
  <si>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</si>
  <si>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</si>
  <si>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</si>
  <si>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</si>
  <si>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</si>
  <si>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</si>
  <si>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</si>
  <si>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</si>
  <si>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</si>
  <si>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</si>
  <si>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</si>
  <si>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</si>
  <si>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</si>
  <si>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</si>
  <si>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</si>
  <si>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</si>
  <si>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</si>
  <si>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</si>
  <si>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</si>
  <si>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</si>
  <si>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</si>
  <si>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</si>
  <si>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</si>
  <si>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</si>
  <si>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</si>
  <si>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</si>
  <si>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</si>
  <si>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</si>
  <si>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</si>
  <si>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</si>
  <si>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</si>
  <si>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</si>
  <si>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</si>
  <si>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</si>
  <si>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</si>
  <si>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</si>
  <si>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</si>
  <si>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</si>
  <si>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</si>
  <si>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x</t>
  </si>
  <si>
    <t>FAYETTE</t>
  </si>
  <si>
    <t>1109 N. 8TH ST</t>
  </si>
  <si>
    <t>VANDALIA</t>
  </si>
  <si>
    <t>jgarrison@vandals203.org</t>
  </si>
  <si>
    <t>DR. JENNIFER GARRISON</t>
  </si>
  <si>
    <t>618-283-4525</t>
  </si>
  <si>
    <t>618-283-4107</t>
  </si>
  <si>
    <t>JULIE WOLLERMAN</t>
  </si>
  <si>
    <t>juliewollerman@roe3.org</t>
  </si>
  <si>
    <t>618-283-5011</t>
  </si>
  <si>
    <t>618-283-5013</t>
  </si>
  <si>
    <t>GO Refunding School Bonds, Series 2014B</t>
  </si>
  <si>
    <t>GO School Bonds, Series 2015B</t>
  </si>
  <si>
    <t>GO Refunding School Bonds, Series 2015C</t>
  </si>
  <si>
    <t>GO School Bonds, Series 2016C</t>
  </si>
  <si>
    <t>GO School Bonds, Series 2016D</t>
  </si>
  <si>
    <t>GO School Bonds, Series 2017A</t>
  </si>
  <si>
    <t>Bond County, Mulberry Grove, Ramsey &amp; St. Elmo CUSD's</t>
  </si>
  <si>
    <t>ROE 3</t>
  </si>
  <si>
    <t>Mid-State Special Education</t>
  </si>
  <si>
    <t>Brownstown, Ramsey CUSD's</t>
  </si>
  <si>
    <t>Okaw Area Vocational Center</t>
  </si>
  <si>
    <t>Page 10, Line 72  "Sales to Pupils - Other"</t>
  </si>
  <si>
    <t xml:space="preserve">   Snacks  $3,000</t>
  </si>
  <si>
    <t>Page 10, Line 74  "Other Food Service"</t>
  </si>
  <si>
    <t xml:space="preserve">   Miscellaneous Food Sales  $24,357</t>
  </si>
  <si>
    <t>Page 11, Line 107  "Other Local Revenues"</t>
  </si>
  <si>
    <t xml:space="preserve">   Reimbursements  $7,952</t>
  </si>
  <si>
    <t xml:space="preserve">   Reimbursements  $2,336</t>
  </si>
  <si>
    <t>Tort Fund</t>
  </si>
  <si>
    <t xml:space="preserve">   Reimbursements  $18,557</t>
  </si>
  <si>
    <t>Page 12, Line 168  "Other Restricted Revenue from State Sources"</t>
  </si>
  <si>
    <t xml:space="preserve">   Per Capita Library Grant  $750</t>
  </si>
  <si>
    <t>Page 13, Line 203  "Title I - Other"</t>
  </si>
  <si>
    <t xml:space="preserve">   School Improvement &amp; Accountability  $13,057</t>
  </si>
  <si>
    <t>Page 14, Line 265  "Other Restricted Revenue from Federal Sources"</t>
  </si>
  <si>
    <t xml:space="preserve">   GEAR UP Grant  $8,309</t>
  </si>
  <si>
    <t>Page 15, Line 41  "Other Support Servcies - Pupils"</t>
  </si>
  <si>
    <t xml:space="preserve">   Miscellaneous  $351</t>
  </si>
  <si>
    <t>Page 16, Line 83  "Other Payments to In-State Governments"</t>
  </si>
  <si>
    <t xml:space="preserve">    Refunds to Other Districts  $6,456</t>
  </si>
  <si>
    <t>Page 18, Line 171  "Debt Service - Other"</t>
  </si>
  <si>
    <t>Debt Services Fund</t>
  </si>
  <si>
    <t xml:space="preserve">   Purchased Services - Paying Agent Fees  $1,250</t>
  </si>
  <si>
    <t>U.S. Department of Education</t>
  </si>
  <si>
    <t>Passed through Illinois State Board of Education</t>
  </si>
  <si>
    <t xml:space="preserve">  (M) Title I - Low Income</t>
  </si>
  <si>
    <t xml:space="preserve">  Title I - School Improvement and Accountability</t>
  </si>
  <si>
    <t xml:space="preserve">    Total Title I </t>
  </si>
  <si>
    <t>84.010A</t>
  </si>
  <si>
    <t>2018-4300</t>
  </si>
  <si>
    <t>2019-4300</t>
  </si>
  <si>
    <t>2019-4331</t>
  </si>
  <si>
    <t xml:space="preserve">  Title II - Teacher Quality</t>
  </si>
  <si>
    <t xml:space="preserve">    Total Title II - Teacher Quality</t>
  </si>
  <si>
    <t>84.367A</t>
  </si>
  <si>
    <t>2018-4932</t>
  </si>
  <si>
    <t>2019-4932</t>
  </si>
  <si>
    <t>Passed through Mid-State Special Education</t>
  </si>
  <si>
    <t>84.027A</t>
  </si>
  <si>
    <t>2018-4620</t>
  </si>
  <si>
    <t>2019-4620</t>
  </si>
  <si>
    <t>84.358B</t>
  </si>
  <si>
    <t>2018-4107</t>
  </si>
  <si>
    <t>2019-4107</t>
  </si>
  <si>
    <t xml:space="preserve">  Title IVA Student Support &amp; Academic Enrich</t>
  </si>
  <si>
    <t xml:space="preserve">    Total Title IVA Student Support &amp; Academic Enrich</t>
  </si>
  <si>
    <t>84.424A</t>
  </si>
  <si>
    <t>2018-4400</t>
  </si>
  <si>
    <t>2019-4400</t>
  </si>
  <si>
    <t>Total U.S. Department of Education</t>
  </si>
  <si>
    <t>U.S. Department of Health and Human Services</t>
  </si>
  <si>
    <t>Passed through Illinois Department of  Healthcare and Family Services</t>
  </si>
  <si>
    <t xml:space="preserve">  Medicaid Matching Administrative Outreach</t>
  </si>
  <si>
    <t>Total U.S. Department of Health and Human Services</t>
  </si>
  <si>
    <t>U.S. Department of Agriculture</t>
  </si>
  <si>
    <t>Child Nutrition Cluster</t>
  </si>
  <si>
    <t>Passed through Department of Defense</t>
  </si>
  <si>
    <t xml:space="preserve">    Total National School Lunch Program</t>
  </si>
  <si>
    <t xml:space="preserve">    Total School Breakfast Program</t>
  </si>
  <si>
    <t>2019-4250</t>
  </si>
  <si>
    <t>2018-4210</t>
  </si>
  <si>
    <t>2019-4210</t>
  </si>
  <si>
    <t>2018-4220</t>
  </si>
  <si>
    <t>2019-4220</t>
  </si>
  <si>
    <t xml:space="preserve">    Total Special Milk Program</t>
  </si>
  <si>
    <t>2018-4215</t>
  </si>
  <si>
    <t>2019-4215</t>
  </si>
  <si>
    <t>Total U. S. Department of Agriculture/Child Nutrition Cluster</t>
  </si>
  <si>
    <t>Total Federal Financial Assistance</t>
  </si>
  <si>
    <t>Passed through Illinois Student Assistance Commission</t>
  </si>
  <si>
    <t xml:space="preserve">  Gaining Early Awareness and Readiness for Undergraduate Programs</t>
  </si>
  <si>
    <t>2019-4999</t>
  </si>
  <si>
    <t xml:space="preserve">    Total Gaining Early Awareness and Readiness for Undergraduate Programs</t>
  </si>
  <si>
    <t>N/A</t>
  </si>
  <si>
    <t xml:space="preserve">  Title V - Rural Education Initiative Program</t>
  </si>
  <si>
    <t xml:space="preserve">    Total Title V - Rural Education Initiative Program</t>
  </si>
  <si>
    <t>The accompanying Schedule of Expenditures of Federal Awards includes the federal grant activity of Vandalia Community Unit School District 203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</si>
  <si>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</si>
  <si>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Vandalia Community Unit School District 203 and </t>
    </r>
    <r>
      <rPr>
        <b/>
        <sz val="9"/>
        <rFont val="Calibri"/>
        <family val="2"/>
        <scheme val="minor"/>
      </rPr>
      <t>should be</t>
    </r>
    <r>
      <rPr>
        <sz val="9"/>
        <rFont val="Calibri"/>
        <family val="2"/>
        <scheme val="minor"/>
      </rPr>
      <t xml:space="preserve"> included in the Schedule of Expenditures of Federal Awards:</t>
    </r>
  </si>
  <si>
    <t>Cornerstone/Christmont RSSP</t>
  </si>
  <si>
    <t>ED-Instruction-Other</t>
  </si>
  <si>
    <t>80-2300-300</t>
  </si>
  <si>
    <t>TF-Support Services General Admin-Purchased Services</t>
  </si>
  <si>
    <t>Illinois Center for Austism</t>
  </si>
  <si>
    <t>Illinois Public Risk Fund</t>
  </si>
  <si>
    <t>Wright Specialty Ins Agency</t>
  </si>
  <si>
    <t>ED-Instruction-Supplies and Materials</t>
  </si>
  <si>
    <t>10-1000-400</t>
  </si>
  <si>
    <t>Origo Education</t>
  </si>
  <si>
    <t>TR-Business Pupil Transportation-Purchased Services</t>
  </si>
  <si>
    <t>40-2550-300</t>
  </si>
  <si>
    <t>Special Education Systems Inc.</t>
  </si>
  <si>
    <t>The Hope School</t>
  </si>
  <si>
    <t>TwoTrees</t>
  </si>
  <si>
    <t>Writing by Design</t>
  </si>
  <si>
    <t>Restricted Municipal Retirement levies have been used to finance Social Security expenditures.</t>
  </si>
  <si>
    <t>At June 30, 2019, the fund balance attributable to Municipal Retirement was, $147,797 and the fund balance attributable to Social Security was ($53,502).</t>
  </si>
  <si>
    <t>The fund balance allocation in the Municipal Retirement/ Social Security Fund should be monitored by District management.</t>
  </si>
  <si>
    <t>Illinois Department of Defense &amp; Illinois State Board of Education</t>
  </si>
  <si>
    <t>No analysis of the profitability of the food  service program is being prepared.</t>
  </si>
  <si>
    <t>Neither monthly nor annual food service program profitability analyses are being prepared.</t>
  </si>
  <si>
    <t>Formal profitability analyses of the food service program should be periodically prepared to ensure compliance with Federal cash management requirements.</t>
  </si>
  <si>
    <t xml:space="preserve">Profitability analyses will be periodically prepared for review for compliance with  Federal cash management requirements. </t>
  </si>
  <si>
    <t>Internal controls over compliance with cash management require the District to have controls or procedures in place to monitor the program income of the food service program to ensure that annual profit does not exceed three months of operating expenses.</t>
  </si>
  <si>
    <t>Noncompliance with cash management requirements could occur and not be detected.</t>
  </si>
  <si>
    <t>Food service costs and lunch revenues are monitored on an ongoing basis; however, no formal analysis is prepared for review by management or for compliance with the cash management requirements.</t>
  </si>
  <si>
    <t xml:space="preserve">Restricted funds have been used for purposes other than for which they were levied. </t>
  </si>
  <si>
    <t xml:space="preserve">The District has established separate funds to account for the  Municipal Retirement and Social Security levies. The balances are being monitored by District management. </t>
  </si>
  <si>
    <t xml:space="preserve">Prior to fiscal year 2019, the general ledger fund balance did not separate the restricted amounts for Municipal Retirement and Social Security/Medicare. </t>
  </si>
  <si>
    <t>2018-4210, 2019-4210, 2019-4250, 2018-4220, 2019-4220, 2018-4215 &amp; 2019-4215</t>
  </si>
  <si>
    <t>10.555, 10.553 &amp; 10.556</t>
  </si>
  <si>
    <t>Of the federal expenditures presented in the schedule, Vandalia Community Unit School District 203 provided federal awards to subrecipients as follows:</t>
  </si>
  <si>
    <t xml:space="preserve">  (M) Federal - Special Education - IDEA - Flow Through</t>
  </si>
  <si>
    <t xml:space="preserve">  (M) Fresh Fruits and Vegetables (Non-Cash)</t>
  </si>
  <si>
    <t xml:space="preserve">  (M) Commodity Credit (Non-Cash)</t>
  </si>
  <si>
    <t xml:space="preserve">  (M) National School Lunch</t>
  </si>
  <si>
    <t xml:space="preserve">  (M) School Breakfast Program</t>
  </si>
  <si>
    <t xml:space="preserve">  (M) Special Milk Program</t>
  </si>
  <si>
    <t>2018-4991</t>
  </si>
  <si>
    <t>2019-4991</t>
  </si>
  <si>
    <t xml:space="preserve">  Total Federal - Special Education - IDEA - Flow Through</t>
  </si>
  <si>
    <t xml:space="preserve">   (M) Federal - Special Education - IDEA - Flow Through</t>
  </si>
  <si>
    <t>Unmodified</t>
  </si>
  <si>
    <t>Special Education-IDEA</t>
  </si>
  <si>
    <t>10.553, 110.555 &amp; 10.556</t>
  </si>
  <si>
    <t xml:space="preserve">   Reimbursement from Illinois Association for Supervision and Curriculum Development, Reimbursements &amp; Credit Card Fees $205,640</t>
  </si>
  <si>
    <t xml:space="preserve">   Reimbursement from Illinois Association for Supervision and Curriculum Development &amp; OAVC Reimbursements 24,489</t>
  </si>
  <si>
    <t>Refunding Bonds, Series 2006</t>
  </si>
  <si>
    <t>Page 25, Line 10 "Other Receipts"</t>
  </si>
  <si>
    <t xml:space="preserve">Special Education </t>
  </si>
  <si>
    <t>Mobile Tax Receipts $90</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</si>
  <si>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</si>
  <si>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notice of availability for public inspection and public hearing for the annual budget was not published prior to the hearing.</t>
  </si>
  <si>
    <t xml:space="preserve">This finding applies to the original budget. </t>
  </si>
  <si>
    <t>The district is not in compliance with 105 ILCS 5/17-1.</t>
  </si>
  <si>
    <t>The budget adoption process should be reviewed to ensure that procedures are established to meet publication requirements.</t>
  </si>
  <si>
    <t>The superintendent will insure that proper public notice of the availability of the budget for public inspection will be placed in the local paper in a timely manner.</t>
  </si>
  <si>
    <t>The lack of publication prior to the original budget hearing was an oversight by district personnel.</t>
  </si>
  <si>
    <t>20.  See accompanying Schedules of Findings and Questioned Costs</t>
  </si>
  <si>
    <t>Vandalia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</si>
</sst>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54" fillId="0" borderId="125"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 fontId="63" fillId="0" borderId="22" xfId="3" applyNumberFormat="1" applyFont="1" applyBorder="1" applyAlignment="1" applyProtection="1">
      <alignment horizontal="left" vertical="center" wrapText="1"/>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165"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45"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53" fillId="0" borderId="0" xfId="3" applyFont="1" applyAlignment="1" applyProtection="1">
      <alignment horizontal="center" vertical="center"/>
    </xf>
    <xf numFmtId="0" fontId="56" fillId="0" borderId="0" xfId="0" applyFont="1" applyAlignment="1">
      <alignment horizontal="left" indent="1"/>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indent="1"/>
      <protection locked="0"/>
    </xf>
    <xf numFmtId="180" fontId="12" fillId="0" borderId="128" xfId="0"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5"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protection locked="0"/>
    </xf>
    <xf numFmtId="180" fontId="12" fillId="0" borderId="128"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43" fillId="0" borderId="125" xfId="2" applyNumberFormat="1" applyFont="1" applyBorder="1" applyAlignment="1" applyProtection="1">
      <alignment horizontal="left" vertical="center"/>
      <protection locked="0"/>
    </xf>
    <xf numFmtId="0" fontId="43" fillId="0" borderId="128" xfId="2" applyNumberFormat="1" applyFont="1" applyBorder="1" applyAlignment="1" applyProtection="1">
      <alignment horizontal="left" vertical="center"/>
      <protection locked="0"/>
    </xf>
    <xf numFmtId="0" fontId="43" fillId="0" borderId="128" xfId="2"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wrapText="1"/>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2952750</xdr:colOff>
          <xdr:row>0</xdr:row>
          <xdr:rowOff>95250</xdr:rowOff>
        </xdr:from>
        <xdr:to>
          <xdr:col>1</xdr:col>
          <xdr:colOff>3867150</xdr:colOff>
          <xdr:row>4</xdr:row>
          <xdr:rowOff>133350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28575</xdr:rowOff>
        </xdr:from>
        <xdr:to>
          <xdr:col>1</xdr:col>
          <xdr:colOff>866775</xdr:colOff>
          <xdr:row>9</xdr:row>
          <xdr:rowOff>57150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47625</xdr:rowOff>
        </xdr:from>
        <xdr:to>
          <xdr:col>1</xdr:col>
          <xdr:colOff>1876425</xdr:colOff>
          <xdr:row>9</xdr:row>
          <xdr:rowOff>85725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1</xdr:col>
          <xdr:colOff>857250</xdr:colOff>
          <xdr:row>4</xdr:row>
          <xdr:rowOff>95250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66675</xdr:rowOff>
        </xdr:from>
        <xdr:to>
          <xdr:col>1</xdr:col>
          <xdr:colOff>1876425</xdr:colOff>
          <xdr:row>4</xdr:row>
          <xdr:rowOff>104775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0</xdr:row>
          <xdr:rowOff>76200</xdr:rowOff>
        </xdr:from>
        <xdr:to>
          <xdr:col>1</xdr:col>
          <xdr:colOff>2847975</xdr:colOff>
          <xdr:row>4</xdr:row>
          <xdr:rowOff>114300</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28575</xdr:rowOff>
        </xdr:from>
        <xdr:to>
          <xdr:col>1</xdr:col>
          <xdr:colOff>2867025</xdr:colOff>
          <xdr:row>9</xdr:row>
          <xdr:rowOff>66675</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5</xdr:row>
          <xdr:rowOff>47625</xdr:rowOff>
        </xdr:from>
        <xdr:to>
          <xdr:col>1</xdr:col>
          <xdr:colOff>3857625</xdr:colOff>
          <xdr:row>9</xdr:row>
          <xdr:rowOff>85725</xdr:rowOff>
        </xdr:to>
        <xdr:sp macro="" textlink="">
          <xdr:nvSpPr>
            <xdr:cNvPr id="36872" name="Object 8" hidden="1">
              <a:extLst>
                <a:ext uri="{63B3BB69-23CF-44E3-9099-C40C66FF867C}">
                  <a14:compatExt spid="_x0000_s36872"/>
                </a:ext>
                <a:ext uri="{FF2B5EF4-FFF2-40B4-BE49-F238E27FC236}">
                  <a16:creationId xmlns:a16="http://schemas.microsoft.com/office/drawing/2014/main" id="{00000000-0008-0000-1400-000008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47625</xdr:rowOff>
    </xdr:to>
    <xdr:sp macro="" textlink="">
      <xdr:nvSpPr>
        <xdr:cNvPr id="4" name="Text 1">
          <a:extLst>
            <a:ext uri="{FF2B5EF4-FFF2-40B4-BE49-F238E27FC236}">
              <a16:creationId xmlns:a16="http://schemas.microsoft.com/office/drawing/2014/main" id="{00000000-0008-0000-2200-000004000000}"/>
            </a:ext>
          </a:extLst>
        </xdr:cNvPr>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H14" sqref="AH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2" t="s">
        <v>405</v>
      </c>
      <c r="J1" s="1993"/>
      <c r="K1" s="1993"/>
      <c r="L1" s="1993"/>
      <c r="M1" s="1993"/>
      <c r="N1" s="1993"/>
      <c r="O1" s="1993"/>
      <c r="P1" s="1993"/>
      <c r="Q1" s="1993"/>
      <c r="R1" s="1993"/>
      <c r="S1" s="1993"/>
    </row>
    <row r="2" spans="1:28" ht="12" customHeight="1" x14ac:dyDescent="0.2">
      <c r="A2" s="47" t="s">
        <v>1987</v>
      </c>
      <c r="D2" s="48"/>
      <c r="I2" s="1994" t="s">
        <v>979</v>
      </c>
      <c r="J2" s="1993"/>
      <c r="K2" s="1993"/>
      <c r="L2" s="1993"/>
      <c r="M2" s="1993"/>
      <c r="N2" s="1993"/>
      <c r="O2" s="1993"/>
      <c r="P2" s="1993"/>
      <c r="Q2" s="1993"/>
      <c r="R2" s="1993"/>
      <c r="S2" s="1993"/>
    </row>
    <row r="3" spans="1:28" ht="12" customHeight="1" x14ac:dyDescent="0.2">
      <c r="A3" s="155" t="s">
        <v>1939</v>
      </c>
      <c r="B3" s="156"/>
      <c r="C3" s="156"/>
      <c r="D3" s="157"/>
      <c r="I3" s="1994" t="s">
        <v>52</v>
      </c>
      <c r="J3" s="1993"/>
      <c r="K3" s="1993"/>
      <c r="L3" s="1993"/>
      <c r="M3" s="1993"/>
      <c r="N3" s="1993"/>
      <c r="O3" s="1993"/>
      <c r="P3" s="1993"/>
      <c r="Q3" s="1993"/>
      <c r="R3" s="1993"/>
      <c r="S3" s="1993"/>
    </row>
    <row r="4" spans="1:28" ht="12" customHeight="1" x14ac:dyDescent="0.2">
      <c r="A4" s="37"/>
      <c r="I4" s="1994" t="s">
        <v>524</v>
      </c>
      <c r="J4" s="1993"/>
      <c r="K4" s="1993"/>
      <c r="L4" s="1993"/>
      <c r="M4" s="1993"/>
      <c r="N4" s="1993"/>
      <c r="O4" s="1993"/>
      <c r="P4" s="1993"/>
      <c r="Q4" s="1993"/>
      <c r="R4" s="1993"/>
      <c r="S4" s="1993"/>
    </row>
    <row r="5" spans="1:28" ht="14.1" customHeight="1" x14ac:dyDescent="0.2">
      <c r="B5" s="104" t="s">
        <v>2061</v>
      </c>
      <c r="C5" s="26" t="s">
        <v>910</v>
      </c>
      <c r="D5" s="84"/>
      <c r="E5" s="84"/>
      <c r="H5" s="38"/>
      <c r="I5" s="2002" t="s">
        <v>680</v>
      </c>
      <c r="J5" s="2001"/>
      <c r="K5" s="2001"/>
      <c r="L5" s="2001"/>
      <c r="M5" s="2001"/>
      <c r="N5" s="2001"/>
      <c r="O5" s="2001"/>
      <c r="P5" s="2001"/>
      <c r="Q5" s="2001"/>
      <c r="R5" s="2001"/>
      <c r="S5" s="2001"/>
    </row>
    <row r="6" spans="1:28" ht="14.1" customHeight="1" x14ac:dyDescent="0.2">
      <c r="B6" s="104"/>
      <c r="C6" s="26" t="s">
        <v>911</v>
      </c>
      <c r="D6" s="84"/>
      <c r="E6" s="84"/>
      <c r="I6" s="2000" t="s">
        <v>883</v>
      </c>
      <c r="J6" s="2001"/>
      <c r="K6" s="2001"/>
      <c r="L6" s="2001"/>
      <c r="M6" s="2001"/>
      <c r="N6" s="2001"/>
      <c r="O6" s="2001"/>
      <c r="P6" s="2001"/>
      <c r="Q6" s="2001"/>
      <c r="R6" s="2001"/>
      <c r="S6" s="2001"/>
    </row>
    <row r="7" spans="1:28" ht="12.2" customHeight="1" x14ac:dyDescent="0.2">
      <c r="I7" s="1995">
        <v>43646</v>
      </c>
      <c r="J7" s="1996"/>
      <c r="K7" s="1996"/>
      <c r="L7" s="1996"/>
      <c r="M7" s="1996"/>
      <c r="N7" s="1996"/>
      <c r="O7" s="1996"/>
      <c r="P7" s="1996"/>
      <c r="Q7" s="1996"/>
      <c r="R7" s="1996"/>
      <c r="S7" s="19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7" t="s">
        <v>674</v>
      </c>
      <c r="J9" s="1998"/>
      <c r="K9" s="1998"/>
      <c r="L9" s="1998"/>
      <c r="M9" s="1998"/>
      <c r="N9" s="1998"/>
      <c r="O9" s="1998"/>
      <c r="P9" s="1998"/>
      <c r="Q9" s="1998"/>
      <c r="R9" s="1998"/>
      <c r="S9" s="1999"/>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1"/>
      <c r="V10" s="2001"/>
      <c r="W10" s="2001"/>
      <c r="X10" s="2001"/>
      <c r="Y10" s="2001"/>
      <c r="Z10" s="2001"/>
      <c r="AA10" s="2007"/>
    </row>
    <row r="11" spans="1:28" ht="14.25" customHeight="1" x14ac:dyDescent="0.2">
      <c r="A11" s="2023" t="s">
        <v>955</v>
      </c>
      <c r="B11" s="2024"/>
      <c r="C11" s="2024"/>
      <c r="D11" s="2024"/>
      <c r="E11" s="2024"/>
      <c r="F11" s="2024"/>
      <c r="G11" s="2024"/>
      <c r="H11" s="2025"/>
      <c r="I11" s="27"/>
      <c r="J11" s="74"/>
      <c r="K11" s="27"/>
      <c r="O11" s="148" t="s">
        <v>2061</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3026203026</v>
      </c>
      <c r="B13" s="2029"/>
      <c r="C13" s="2029"/>
      <c r="D13" s="2029"/>
      <c r="E13" s="2029"/>
      <c r="F13" s="2029"/>
      <c r="G13" s="2029"/>
      <c r="H13" s="2030"/>
      <c r="I13" s="31"/>
      <c r="J13" s="30"/>
      <c r="K13" s="28"/>
      <c r="L13" s="30"/>
      <c r="M13" s="30"/>
      <c r="N13" s="30"/>
      <c r="O13" s="30"/>
      <c r="P13" s="30"/>
      <c r="Q13" s="30"/>
      <c r="R13" s="30"/>
      <c r="S13" s="30"/>
      <c r="T13" s="2033" t="s">
        <v>2062</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2073</v>
      </c>
      <c r="B15" s="2031"/>
      <c r="C15" s="2031"/>
      <c r="D15" s="2031"/>
      <c r="E15" s="2031"/>
      <c r="F15" s="2031"/>
      <c r="G15" s="2031"/>
      <c r="H15" s="2032"/>
      <c r="T15" s="2037" t="s">
        <v>2063</v>
      </c>
      <c r="U15" s="2038"/>
      <c r="V15" s="2038"/>
      <c r="W15" s="2038"/>
      <c r="X15" s="2038"/>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6" t="s">
        <v>2233</v>
      </c>
      <c r="B17" s="1987"/>
      <c r="C17" s="1987"/>
      <c r="D17" s="1987"/>
      <c r="E17" s="1987"/>
      <c r="F17" s="1987"/>
      <c r="G17" s="1987"/>
      <c r="H17" s="2012"/>
      <c r="T17" s="2043" t="s">
        <v>2064</v>
      </c>
      <c r="U17" s="2044"/>
      <c r="V17" s="2044"/>
      <c r="W17" s="2044"/>
      <c r="X17" s="2044"/>
      <c r="Y17" s="2044"/>
      <c r="Z17" s="2044"/>
      <c r="AA17" s="2045"/>
    </row>
    <row r="18" spans="1:27" ht="13.5" customHeight="1" x14ac:dyDescent="0.2">
      <c r="A18" s="85" t="s">
        <v>530</v>
      </c>
      <c r="B18" s="76"/>
      <c r="C18" s="72"/>
      <c r="D18" s="76"/>
      <c r="E18" s="76"/>
      <c r="F18" s="76"/>
      <c r="G18" s="76"/>
      <c r="H18" s="56"/>
      <c r="I18" s="2011"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6" t="s">
        <v>2074</v>
      </c>
      <c r="B19" s="2027"/>
      <c r="C19" s="2027"/>
      <c r="D19" s="2027"/>
      <c r="E19" s="2027"/>
      <c r="F19" s="2027"/>
      <c r="G19" s="2027"/>
      <c r="H19" s="1951"/>
      <c r="I19" s="30"/>
      <c r="J19" s="99"/>
      <c r="K19" s="40"/>
      <c r="L19" s="38"/>
      <c r="M19" s="112" t="s">
        <v>315</v>
      </c>
      <c r="P19" s="27"/>
      <c r="Q19" s="27"/>
      <c r="R19" s="27"/>
      <c r="S19" s="31"/>
      <c r="T19" s="2026" t="s">
        <v>2065</v>
      </c>
      <c r="U19" s="1950"/>
      <c r="V19" s="1950"/>
      <c r="W19" s="1951"/>
      <c r="X19" s="2042" t="s">
        <v>2066</v>
      </c>
      <c r="Y19" s="1950"/>
      <c r="Z19" s="2041">
        <v>62565</v>
      </c>
      <c r="AA19" s="195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2075</v>
      </c>
      <c r="B21" s="1950"/>
      <c r="C21" s="1950"/>
      <c r="D21" s="1950"/>
      <c r="E21" s="1950"/>
      <c r="F21" s="1950"/>
      <c r="G21" s="1950"/>
      <c r="H21" s="1951"/>
      <c r="I21" s="2006" t="s">
        <v>678</v>
      </c>
      <c r="J21" s="2001"/>
      <c r="K21" s="2001"/>
      <c r="L21" s="2001"/>
      <c r="M21" s="2001"/>
      <c r="N21" s="2001"/>
      <c r="O21" s="2001"/>
      <c r="P21" s="2001"/>
      <c r="Q21" s="2001"/>
      <c r="R21" s="2001"/>
      <c r="S21" s="2007"/>
      <c r="T21" s="2053" t="s">
        <v>2067</v>
      </c>
      <c r="U21" s="2054"/>
      <c r="V21" s="2054"/>
      <c r="W21" s="2054"/>
      <c r="X21" s="1978" t="s">
        <v>2068</v>
      </c>
      <c r="Y21" s="2063"/>
      <c r="Z21" s="2063"/>
      <c r="AA21" s="2064"/>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3" t="s">
        <v>2076</v>
      </c>
      <c r="B23" s="2004"/>
      <c r="C23" s="2004"/>
      <c r="D23" s="2004"/>
      <c r="E23" s="2004"/>
      <c r="F23" s="2004"/>
      <c r="G23" s="2004"/>
      <c r="H23" s="2005"/>
      <c r="T23" s="1986" t="s">
        <v>2069</v>
      </c>
      <c r="U23" s="2049"/>
      <c r="V23" s="2049"/>
      <c r="W23" s="2049"/>
      <c r="X23" s="2062">
        <v>44530</v>
      </c>
      <c r="Y23" s="2031"/>
      <c r="Z23" s="2031"/>
      <c r="AA23" s="2032"/>
    </row>
    <row r="24" spans="1:27" ht="14.1" customHeight="1" x14ac:dyDescent="0.2">
      <c r="A24" s="88" t="s">
        <v>677</v>
      </c>
      <c r="B24" s="49"/>
      <c r="C24" s="49"/>
      <c r="D24" s="49"/>
      <c r="E24" s="49"/>
      <c r="F24" s="49"/>
      <c r="G24" s="49"/>
      <c r="H24" s="61"/>
      <c r="J24" s="1973">
        <f>IF(B5="x",IF(AUDITCHECK!D29="AFR form Incomplete.","",IF(AUDITCHECK!D29="Deficit reduction plan is required.","School District must complete a deficit reduction plan in the 2019-2020 Budget",)),"")</f>
        <v>0</v>
      </c>
      <c r="K24" s="1973"/>
      <c r="L24" s="1973"/>
      <c r="M24" s="1973"/>
      <c r="N24" s="1973"/>
      <c r="O24" s="1973"/>
      <c r="P24" s="1973"/>
      <c r="Q24" s="1973"/>
      <c r="R24" s="1973"/>
      <c r="S24" s="1974"/>
      <c r="T24" s="105" t="s">
        <v>531</v>
      </c>
      <c r="U24" s="106"/>
      <c r="V24" s="106"/>
      <c r="W24" s="106"/>
      <c r="X24" s="107"/>
      <c r="Y24" s="107"/>
      <c r="Z24" s="107"/>
      <c r="AA24" s="108"/>
    </row>
    <row r="25" spans="1:27" ht="14.1" customHeight="1" x14ac:dyDescent="0.2">
      <c r="A25" s="1949">
        <v>62471</v>
      </c>
      <c r="B25" s="1950"/>
      <c r="C25" s="1950"/>
      <c r="D25" s="1950"/>
      <c r="E25" s="1950"/>
      <c r="F25" s="1950"/>
      <c r="G25" s="1950"/>
      <c r="H25" s="1951"/>
      <c r="I25" s="113"/>
      <c r="J25" s="1975"/>
      <c r="K25" s="1975"/>
      <c r="L25" s="1975"/>
      <c r="M25" s="1975"/>
      <c r="N25" s="1975"/>
      <c r="O25" s="1975"/>
      <c r="P25" s="1975"/>
      <c r="Q25" s="1975"/>
      <c r="R25" s="1975"/>
      <c r="S25" s="1976"/>
      <c r="T25" s="2046" t="s">
        <v>2070</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6" t="s">
        <v>2077</v>
      </c>
      <c r="B38" s="1987"/>
      <c r="C38" s="1987"/>
      <c r="D38" s="1987"/>
      <c r="E38" s="1987"/>
      <c r="F38" s="1950"/>
      <c r="G38" s="1950"/>
      <c r="H38" s="1951"/>
      <c r="I38" s="1979"/>
      <c r="J38" s="1980"/>
      <c r="K38" s="1980"/>
      <c r="L38" s="1980"/>
      <c r="M38" s="1980"/>
      <c r="N38" s="1980"/>
      <c r="O38" s="1980"/>
      <c r="P38" s="1981"/>
      <c r="Q38" s="1981"/>
      <c r="R38" s="1981"/>
      <c r="S38" s="1982"/>
      <c r="T38" s="2037" t="s">
        <v>2080</v>
      </c>
      <c r="U38" s="2038"/>
      <c r="V38" s="2038"/>
      <c r="W38" s="2038"/>
      <c r="X38" s="2056"/>
      <c r="Y38" s="2056"/>
      <c r="Z38" s="2056"/>
      <c r="AA38" s="2057"/>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2076</v>
      </c>
      <c r="B40" s="1964"/>
      <c r="C40" s="1965"/>
      <c r="D40" s="1965"/>
      <c r="E40" s="1965"/>
      <c r="F40" s="1966"/>
      <c r="G40" s="1966"/>
      <c r="H40" s="1967"/>
      <c r="I40" s="1989"/>
      <c r="J40" s="1990"/>
      <c r="K40" s="1990"/>
      <c r="L40" s="1990"/>
      <c r="M40" s="1990"/>
      <c r="N40" s="1990"/>
      <c r="O40" s="1990"/>
      <c r="P40" s="1990"/>
      <c r="Q40" s="1990"/>
      <c r="R40" s="1990"/>
      <c r="S40" s="1991"/>
      <c r="T40" s="2058" t="s">
        <v>2081</v>
      </c>
      <c r="U40" s="2059"/>
      <c r="V40" s="2060"/>
      <c r="W40" s="2060"/>
      <c r="X40" s="2060"/>
      <c r="Y40" s="2060"/>
      <c r="Z40" s="2060"/>
      <c r="AA40" s="20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8" t="s">
        <v>2078</v>
      </c>
      <c r="B42" s="1969"/>
      <c r="C42" s="1970"/>
      <c r="D42" s="1968" t="s">
        <v>2079</v>
      </c>
      <c r="E42" s="1969"/>
      <c r="F42" s="1969"/>
      <c r="G42" s="1969"/>
      <c r="H42" s="1970"/>
      <c r="I42" s="1952"/>
      <c r="J42" s="1953"/>
      <c r="K42" s="1953"/>
      <c r="L42" s="1953"/>
      <c r="M42" s="1953"/>
      <c r="N42" s="1953"/>
      <c r="O42" s="1954"/>
      <c r="P42" s="1988"/>
      <c r="Q42" s="1953"/>
      <c r="R42" s="1953"/>
      <c r="S42" s="1954"/>
      <c r="T42" s="2055" t="s">
        <v>2082</v>
      </c>
      <c r="U42" s="2051"/>
      <c r="V42" s="2051"/>
      <c r="W42" s="2052"/>
      <c r="X42" s="2050" t="s">
        <v>2083</v>
      </c>
      <c r="Y42" s="2051"/>
      <c r="Z42" s="2051"/>
      <c r="AA42" s="20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3"/>
      <c r="B44" s="1984"/>
      <c r="C44" s="1984"/>
      <c r="D44" s="1984"/>
      <c r="E44" s="1984"/>
      <c r="F44" s="1984"/>
      <c r="G44" s="1984"/>
      <c r="H44" s="1985"/>
      <c r="I44" s="1957"/>
      <c r="J44" s="1958"/>
      <c r="K44" s="1958"/>
      <c r="L44" s="1958"/>
      <c r="M44" s="1958"/>
      <c r="N44" s="1958"/>
      <c r="O44" s="1958"/>
      <c r="P44" s="1958"/>
      <c r="Q44" s="1958"/>
      <c r="R44" s="1958"/>
      <c r="S44" s="1959"/>
      <c r="T44" s="1957"/>
      <c r="U44" s="1977"/>
      <c r="V44" s="1977"/>
      <c r="W44" s="1977"/>
      <c r="X44" s="1977"/>
      <c r="Y44" s="1977"/>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8" t="s">
        <v>1798</v>
      </c>
      <c r="B2" s="1526" t="s">
        <v>1945</v>
      </c>
      <c r="C2" s="712" t="s">
        <v>1946</v>
      </c>
      <c r="D2" s="712" t="s">
        <v>1947</v>
      </c>
      <c r="E2" s="712" t="s">
        <v>1948</v>
      </c>
      <c r="F2" s="712" t="s">
        <v>1949</v>
      </c>
    </row>
    <row r="3" spans="1:6" ht="12" customHeight="1" x14ac:dyDescent="0.2">
      <c r="A3" s="2199"/>
      <c r="B3" s="1523"/>
      <c r="C3" s="1524"/>
      <c r="D3" s="1525" t="s">
        <v>256</v>
      </c>
      <c r="E3" s="1524"/>
      <c r="F3" s="1525" t="s">
        <v>257</v>
      </c>
    </row>
    <row r="4" spans="1:6" ht="13.7" customHeight="1" x14ac:dyDescent="0.2">
      <c r="A4" s="713" t="s">
        <v>1155</v>
      </c>
      <c r="B4" s="1743">
        <f>'Revenues 9-14'!C5</f>
        <v>2161125</v>
      </c>
      <c r="C4" s="1522"/>
      <c r="D4" s="1746">
        <f>B4-C4</f>
        <v>2161125</v>
      </c>
      <c r="E4" s="1522">
        <v>2235363</v>
      </c>
      <c r="F4" s="1746">
        <f>E4-C4</f>
        <v>2235363</v>
      </c>
    </row>
    <row r="5" spans="1:6" ht="13.7" customHeight="1" x14ac:dyDescent="0.2">
      <c r="A5" s="713" t="s">
        <v>870</v>
      </c>
      <c r="B5" s="1744">
        <f>'Revenues 9-14'!D5</f>
        <v>587398</v>
      </c>
      <c r="C5" s="584"/>
      <c r="D5" s="1747">
        <f t="shared" ref="D5:D18" si="0">B5-C5</f>
        <v>587398</v>
      </c>
      <c r="E5" s="584">
        <v>309888</v>
      </c>
      <c r="F5" s="1747">
        <f>E5-C5</f>
        <v>309888</v>
      </c>
    </row>
    <row r="6" spans="1:6" ht="13.7" customHeight="1" x14ac:dyDescent="0.2">
      <c r="A6" s="713" t="s">
        <v>411</v>
      </c>
      <c r="B6" s="1744">
        <f>'Revenues 9-14'!E5</f>
        <v>1505278</v>
      </c>
      <c r="C6" s="584"/>
      <c r="D6" s="1747">
        <f t="shared" si="0"/>
        <v>1505278</v>
      </c>
      <c r="E6" s="584">
        <v>1510145</v>
      </c>
      <c r="F6" s="1747">
        <f t="shared" ref="F6:F18" si="1">E6-C6</f>
        <v>1510145</v>
      </c>
    </row>
    <row r="7" spans="1:6" ht="13.7" customHeight="1" x14ac:dyDescent="0.2">
      <c r="A7" s="713" t="s">
        <v>155</v>
      </c>
      <c r="B7" s="1744">
        <f>'Revenues 9-14'!F5</f>
        <v>234906</v>
      </c>
      <c r="C7" s="584"/>
      <c r="D7" s="1747">
        <f t="shared" si="0"/>
        <v>234906</v>
      </c>
      <c r="E7" s="584">
        <v>242974</v>
      </c>
      <c r="F7" s="1747">
        <f t="shared" si="1"/>
        <v>242974</v>
      </c>
    </row>
    <row r="8" spans="1:6" ht="13.7" customHeight="1" x14ac:dyDescent="0.2">
      <c r="A8" s="713" t="s">
        <v>1179</v>
      </c>
      <c r="B8" s="1744">
        <f>'Revenues 9-14'!G5</f>
        <v>219987</v>
      </c>
      <c r="C8" s="584"/>
      <c r="D8" s="1747">
        <f t="shared" si="0"/>
        <v>219987</v>
      </c>
      <c r="E8" s="584">
        <v>250123</v>
      </c>
      <c r="F8" s="1747">
        <f t="shared" si="1"/>
        <v>250123</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58729</v>
      </c>
      <c r="C10" s="584"/>
      <c r="D10" s="1747">
        <f t="shared" si="0"/>
        <v>58729</v>
      </c>
      <c r="E10" s="584">
        <v>60743</v>
      </c>
      <c r="F10" s="1747">
        <f t="shared" si="1"/>
        <v>60743</v>
      </c>
    </row>
    <row r="11" spans="1:6" x14ac:dyDescent="0.2">
      <c r="A11" s="713" t="s">
        <v>409</v>
      </c>
      <c r="B11" s="1744">
        <f>'Revenues 9-14'!J5</f>
        <v>895852</v>
      </c>
      <c r="C11" s="584"/>
      <c r="D11" s="1747">
        <f t="shared" si="0"/>
        <v>895852</v>
      </c>
      <c r="E11" s="584">
        <v>875442</v>
      </c>
      <c r="F11" s="1747">
        <f t="shared" si="1"/>
        <v>875442</v>
      </c>
    </row>
    <row r="12" spans="1:6" ht="13.7" customHeight="1" x14ac:dyDescent="0.2">
      <c r="A12" s="713" t="s">
        <v>157</v>
      </c>
      <c r="B12" s="1744">
        <f>'Revenues 9-14'!K5</f>
        <v>58729</v>
      </c>
      <c r="C12" s="584"/>
      <c r="D12" s="1747">
        <f t="shared" si="0"/>
        <v>58729</v>
      </c>
      <c r="E12" s="584">
        <v>60743</v>
      </c>
      <c r="F12" s="1747">
        <f t="shared" si="1"/>
        <v>60743</v>
      </c>
    </row>
    <row r="13" spans="1:6" ht="13.7" customHeight="1" x14ac:dyDescent="0.2">
      <c r="A13" s="713" t="s">
        <v>936</v>
      </c>
      <c r="B13" s="1744">
        <f>SUM('Revenues 9-14'!C6:D6)</f>
        <v>58590</v>
      </c>
      <c r="C13" s="584"/>
      <c r="D13" s="1747">
        <f t="shared" si="0"/>
        <v>58590</v>
      </c>
      <c r="E13" s="584">
        <v>60744</v>
      </c>
      <c r="F13" s="1747">
        <f t="shared" si="1"/>
        <v>60744</v>
      </c>
    </row>
    <row r="14" spans="1:6" ht="13.7" customHeight="1" x14ac:dyDescent="0.2">
      <c r="A14" s="713" t="s">
        <v>410</v>
      </c>
      <c r="B14" s="1744">
        <f>SUM('Revenues 9-14'!C7:D7,'Revenues 9-14'!F7:H7)</f>
        <v>46984</v>
      </c>
      <c r="C14" s="584"/>
      <c r="D14" s="1747">
        <f t="shared" si="0"/>
        <v>46984</v>
      </c>
      <c r="E14" s="584">
        <v>48595</v>
      </c>
      <c r="F14" s="1747">
        <f t="shared" si="1"/>
        <v>48595</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219987</v>
      </c>
      <c r="C16" s="584"/>
      <c r="D16" s="1747">
        <f t="shared" si="0"/>
        <v>219987</v>
      </c>
      <c r="E16" s="584">
        <v>275138</v>
      </c>
      <c r="F16" s="1747">
        <f t="shared" si="1"/>
        <v>275138</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6047565</v>
      </c>
      <c r="C19" s="1745">
        <f>SUM(C4:C18)</f>
        <v>0</v>
      </c>
      <c r="D19" s="1745">
        <f>SUM(D4:D18)</f>
        <v>6047565</v>
      </c>
      <c r="E19" s="1745">
        <f>SUM(E4:E18)</f>
        <v>5929898</v>
      </c>
      <c r="F19" s="1745">
        <f>SUM(F4:F18)</f>
        <v>5929898</v>
      </c>
    </row>
    <row r="20" spans="1:6" ht="13.5" thickTop="1" x14ac:dyDescent="0.2">
      <c r="B20" s="711"/>
      <c r="F20" s="714"/>
    </row>
    <row r="21" spans="1:6" x14ac:dyDescent="0.2">
      <c r="A21" s="715" t="s">
        <v>1804</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90" zoomScaleNormal="90" workbookViewId="0">
      <selection activeCell="A32" sqref="A32"/>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629</v>
      </c>
      <c r="B1" s="2218"/>
      <c r="C1" s="719"/>
    </row>
    <row r="2" spans="1:7" ht="33.75" x14ac:dyDescent="0.2">
      <c r="A2" s="2225" t="s">
        <v>1798</v>
      </c>
      <c r="B2" s="2226"/>
      <c r="C2" s="1877" t="s">
        <v>1950</v>
      </c>
      <c r="D2" s="721" t="s">
        <v>1951</v>
      </c>
      <c r="E2" s="721" t="s">
        <v>1952</v>
      </c>
      <c r="F2" s="1877" t="s">
        <v>1953</v>
      </c>
    </row>
    <row r="3" spans="1:7" ht="15.75" customHeight="1" x14ac:dyDescent="0.2">
      <c r="A3" s="2227" t="s">
        <v>1114</v>
      </c>
      <c r="B3" s="2228"/>
      <c r="C3" s="2221"/>
      <c r="D3" s="2222"/>
      <c r="E3" s="2222"/>
      <c r="F3" s="2223"/>
    </row>
    <row r="4" spans="1:7" ht="12.75" customHeight="1" thickBot="1" x14ac:dyDescent="0.25">
      <c r="A4" s="2215" t="s">
        <v>630</v>
      </c>
      <c r="B4" s="2216"/>
      <c r="C4" s="580"/>
      <c r="D4" s="580"/>
      <c r="E4" s="580"/>
      <c r="F4" s="1749">
        <f>SUM(C4+D4)-E4</f>
        <v>0</v>
      </c>
    </row>
    <row r="5" spans="1:7" ht="15.75" customHeight="1" thickTop="1" x14ac:dyDescent="0.2">
      <c r="A5" s="2219" t="s">
        <v>1110</v>
      </c>
      <c r="B5" s="2214"/>
      <c r="C5" s="2208"/>
      <c r="D5" s="2209"/>
      <c r="E5" s="2209"/>
      <c r="F5" s="2210"/>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11" t="s">
        <v>631</v>
      </c>
      <c r="B15" s="2212"/>
      <c r="C15" s="1749">
        <f>SUM(C6:C14)</f>
        <v>0</v>
      </c>
      <c r="D15" s="1749">
        <f>SUM(D6:D14)</f>
        <v>0</v>
      </c>
      <c r="E15" s="1749">
        <f>SUM(E6:E14)</f>
        <v>0</v>
      </c>
      <c r="F15" s="1749">
        <f>SUM(F6:F14)</f>
        <v>0</v>
      </c>
      <c r="G15" s="552"/>
    </row>
    <row r="16" spans="1:7" s="202" customFormat="1" ht="15.75" customHeight="1" thickTop="1" x14ac:dyDescent="0.2">
      <c r="A16" s="2224" t="s">
        <v>1111</v>
      </c>
      <c r="B16" s="2214"/>
      <c r="C16" s="2208"/>
      <c r="D16" s="2209"/>
      <c r="E16" s="2209"/>
      <c r="F16" s="2210"/>
    </row>
    <row r="17" spans="1:11" ht="12.75" customHeight="1" thickBot="1" x14ac:dyDescent="0.25">
      <c r="A17" s="2206" t="s">
        <v>64</v>
      </c>
      <c r="B17" s="2207"/>
      <c r="C17" s="724"/>
      <c r="D17" s="584"/>
      <c r="E17" s="724"/>
      <c r="F17" s="1749">
        <f>SUM(C17+D17)-E17</f>
        <v>0</v>
      </c>
    </row>
    <row r="18" spans="1:11" ht="12.75" customHeight="1" thickTop="1" thickBot="1" x14ac:dyDescent="0.25">
      <c r="A18" s="2206" t="s">
        <v>6</v>
      </c>
      <c r="B18" s="2207"/>
      <c r="C18" s="724"/>
      <c r="D18" s="584"/>
      <c r="E18" s="724"/>
      <c r="F18" s="1749">
        <f>SUM(C18+D18)-E18</f>
        <v>0</v>
      </c>
    </row>
    <row r="19" spans="1:11" ht="12.75" customHeight="1" thickTop="1" thickBot="1" x14ac:dyDescent="0.25">
      <c r="A19" s="2206" t="s">
        <v>388</v>
      </c>
      <c r="B19" s="2207"/>
      <c r="C19" s="724"/>
      <c r="D19" s="584"/>
      <c r="E19" s="724"/>
      <c r="F19" s="1749">
        <f>SUM(C19+D19)-E19</f>
        <v>0</v>
      </c>
    </row>
    <row r="20" spans="1:11" ht="12.75" customHeight="1" thickTop="1" thickBot="1" x14ac:dyDescent="0.25">
      <c r="A20" s="2206" t="s">
        <v>448</v>
      </c>
      <c r="B20" s="2207"/>
      <c r="C20" s="724"/>
      <c r="D20" s="584"/>
      <c r="E20" s="724"/>
      <c r="F20" s="1749">
        <f>SUM(C20+D20)-E20</f>
        <v>0</v>
      </c>
    </row>
    <row r="21" spans="1:11" ht="14.25" thickTop="1" thickBot="1" x14ac:dyDescent="0.25">
      <c r="A21" s="2211" t="s">
        <v>632</v>
      </c>
      <c r="B21" s="2212"/>
      <c r="C21" s="1749">
        <f>SUM(C17:C20)</f>
        <v>0</v>
      </c>
      <c r="D21" s="1749">
        <f>SUM(D17:D20)</f>
        <v>0</v>
      </c>
      <c r="E21" s="1749">
        <f>SUM(E17:E20)</f>
        <v>0</v>
      </c>
      <c r="F21" s="1749">
        <f>SUM(F17:F20)</f>
        <v>0</v>
      </c>
      <c r="G21" s="552"/>
    </row>
    <row r="22" spans="1:11" ht="15.75" customHeight="1" thickTop="1" x14ac:dyDescent="0.2">
      <c r="A22" s="2213" t="s">
        <v>1112</v>
      </c>
      <c r="B22" s="2214"/>
      <c r="C22" s="2208"/>
      <c r="D22" s="2209"/>
      <c r="E22" s="2209"/>
      <c r="F22" s="2210"/>
    </row>
    <row r="23" spans="1:11" ht="13.5" thickBot="1" x14ac:dyDescent="0.25">
      <c r="A23" s="2215" t="s">
        <v>633</v>
      </c>
      <c r="B23" s="2216"/>
      <c r="C23" s="580"/>
      <c r="D23" s="580"/>
      <c r="E23" s="580"/>
      <c r="F23" s="1749">
        <f>SUM(C23+D23)-E23</f>
        <v>0</v>
      </c>
      <c r="G23" s="552"/>
    </row>
    <row r="24" spans="1:11" ht="15.75" customHeight="1" thickTop="1" x14ac:dyDescent="0.2">
      <c r="A24" s="2213" t="s">
        <v>1113</v>
      </c>
      <c r="B24" s="2214"/>
      <c r="C24" s="2208"/>
      <c r="D24" s="2209"/>
      <c r="E24" s="2209"/>
      <c r="F24" s="2210"/>
    </row>
    <row r="25" spans="1:11" ht="13.5" thickBot="1" x14ac:dyDescent="0.25">
      <c r="A25" s="2215" t="s">
        <v>634</v>
      </c>
      <c r="B25" s="2216"/>
      <c r="C25" s="580"/>
      <c r="D25" s="580"/>
      <c r="E25" s="580"/>
      <c r="F25" s="1749">
        <f>SUM(C25+D25)-E25</f>
        <v>0</v>
      </c>
      <c r="G25" s="552"/>
    </row>
    <row r="26" spans="1:11" ht="15.75" customHeight="1" thickTop="1" x14ac:dyDescent="0.2">
      <c r="A26" s="2219" t="s">
        <v>657</v>
      </c>
      <c r="B26" s="2214"/>
      <c r="C26" s="725"/>
      <c r="D26" s="725"/>
      <c r="E26" s="725"/>
      <c r="F26" s="726"/>
    </row>
    <row r="27" spans="1:11" ht="13.5" thickBot="1" x14ac:dyDescent="0.25">
      <c r="A27" s="2211" t="s">
        <v>1070</v>
      </c>
      <c r="B27" s="2212"/>
      <c r="C27" s="584"/>
      <c r="D27" s="584"/>
      <c r="E27" s="584"/>
      <c r="F27" s="1749">
        <f>SUM(C27+D27)-E27</f>
        <v>0</v>
      </c>
      <c r="G27" s="552"/>
    </row>
    <row r="28" spans="1:11" ht="7.5" customHeight="1" thickTop="1" x14ac:dyDescent="0.2">
      <c r="A28" s="592"/>
    </row>
    <row r="29" spans="1:11" ht="23.25" customHeight="1" x14ac:dyDescent="0.2">
      <c r="A29" s="2217" t="s">
        <v>582</v>
      </c>
      <c r="B29" s="2218"/>
      <c r="C29" s="727"/>
      <c r="D29" s="727"/>
      <c r="E29" s="727"/>
      <c r="F29" s="727"/>
      <c r="G29" s="727"/>
      <c r="H29" s="727"/>
      <c r="I29" s="727"/>
      <c r="J29" s="727"/>
    </row>
    <row r="30" spans="1:11" ht="33.75" x14ac:dyDescent="0.2">
      <c r="A30" s="1527" t="s">
        <v>1071</v>
      </c>
      <c r="B30" s="728" t="s">
        <v>1124</v>
      </c>
      <c r="C30" s="1878" t="s">
        <v>583</v>
      </c>
      <c r="D30" s="1878" t="s">
        <v>1673</v>
      </c>
      <c r="E30" s="1878" t="s">
        <v>1954</v>
      </c>
      <c r="F30" s="1878" t="s">
        <v>1955</v>
      </c>
      <c r="G30" s="1878" t="s">
        <v>1906</v>
      </c>
      <c r="H30" s="1878" t="s">
        <v>1956</v>
      </c>
      <c r="I30" s="1878" t="s">
        <v>1957</v>
      </c>
      <c r="J30" s="1879" t="s">
        <v>2</v>
      </c>
      <c r="K30" s="729"/>
    </row>
    <row r="31" spans="1:11" ht="12" customHeight="1" x14ac:dyDescent="0.2">
      <c r="A31" s="730" t="s">
        <v>2221</v>
      </c>
      <c r="B31" s="731">
        <v>39066</v>
      </c>
      <c r="C31" s="732">
        <v>7185000</v>
      </c>
      <c r="D31" s="733">
        <v>3</v>
      </c>
      <c r="E31" s="732">
        <v>560000</v>
      </c>
      <c r="F31" s="732"/>
      <c r="G31" s="732"/>
      <c r="H31" s="732">
        <v>560000</v>
      </c>
      <c r="I31" s="1750">
        <f>((E31+F31)-H31)+G31</f>
        <v>0</v>
      </c>
      <c r="J31" s="732">
        <v>0</v>
      </c>
      <c r="K31" s="734"/>
    </row>
    <row r="32" spans="1:11" ht="12" customHeight="1" x14ac:dyDescent="0.2">
      <c r="A32" s="730" t="s">
        <v>2084</v>
      </c>
      <c r="B32" s="731">
        <v>41885</v>
      </c>
      <c r="C32" s="732">
        <v>1230000</v>
      </c>
      <c r="D32" s="733">
        <v>3</v>
      </c>
      <c r="E32" s="732">
        <v>1075000</v>
      </c>
      <c r="F32" s="732"/>
      <c r="G32" s="732"/>
      <c r="H32" s="732"/>
      <c r="I32" s="1750">
        <f>((E32+F32)-H32)+G32</f>
        <v>1075000</v>
      </c>
      <c r="J32" s="732">
        <v>1024798</v>
      </c>
      <c r="K32" s="734"/>
    </row>
    <row r="33" spans="1:11" ht="12" customHeight="1" x14ac:dyDescent="0.2">
      <c r="A33" s="730" t="s">
        <v>2085</v>
      </c>
      <c r="B33" s="731">
        <v>42164</v>
      </c>
      <c r="C33" s="732">
        <v>560400</v>
      </c>
      <c r="D33" s="733">
        <v>4</v>
      </c>
      <c r="E33" s="732">
        <v>266400</v>
      </c>
      <c r="F33" s="732"/>
      <c r="G33" s="732"/>
      <c r="H33" s="732">
        <v>148900</v>
      </c>
      <c r="I33" s="1750">
        <f t="shared" ref="I33:I48" si="1">((E33+F33)-H33)+G33</f>
        <v>117500</v>
      </c>
      <c r="J33" s="732">
        <v>117500</v>
      </c>
      <c r="K33" s="734"/>
    </row>
    <row r="34" spans="1:11" ht="12" customHeight="1" x14ac:dyDescent="0.2">
      <c r="A34" s="730" t="s">
        <v>2086</v>
      </c>
      <c r="B34" s="731">
        <v>42256</v>
      </c>
      <c r="C34" s="732">
        <v>1852700</v>
      </c>
      <c r="D34" s="733">
        <v>3</v>
      </c>
      <c r="E34" s="732">
        <v>1852700</v>
      </c>
      <c r="F34" s="732"/>
      <c r="G34" s="732"/>
      <c r="H34" s="732"/>
      <c r="I34" s="1750">
        <f t="shared" si="1"/>
        <v>1852700</v>
      </c>
      <c r="J34" s="732">
        <v>1852700</v>
      </c>
      <c r="K34" s="735"/>
    </row>
    <row r="35" spans="1:11" ht="12" customHeight="1" x14ac:dyDescent="0.2">
      <c r="A35" s="730" t="s">
        <v>2087</v>
      </c>
      <c r="B35" s="731">
        <v>42620</v>
      </c>
      <c r="C35" s="736">
        <v>1925000</v>
      </c>
      <c r="D35" s="733">
        <v>2</v>
      </c>
      <c r="E35" s="736">
        <v>1020000</v>
      </c>
      <c r="F35" s="736"/>
      <c r="G35" s="736"/>
      <c r="H35" s="736">
        <v>370000</v>
      </c>
      <c r="I35" s="1750">
        <f t="shared" si="1"/>
        <v>650000</v>
      </c>
      <c r="J35" s="736">
        <v>650000</v>
      </c>
      <c r="K35" s="735"/>
    </row>
    <row r="36" spans="1:11" ht="12" customHeight="1" x14ac:dyDescent="0.2">
      <c r="A36" s="730" t="s">
        <v>2088</v>
      </c>
      <c r="B36" s="731">
        <v>42620</v>
      </c>
      <c r="C36" s="732">
        <v>9615000</v>
      </c>
      <c r="D36" s="733">
        <v>3</v>
      </c>
      <c r="E36" s="732">
        <v>9615000</v>
      </c>
      <c r="F36" s="732"/>
      <c r="G36" s="732"/>
      <c r="H36" s="732"/>
      <c r="I36" s="1750">
        <f t="shared" si="1"/>
        <v>9615000</v>
      </c>
      <c r="J36" s="732">
        <v>9615000</v>
      </c>
      <c r="K36" s="737"/>
    </row>
    <row r="37" spans="1:11" ht="12" customHeight="1" x14ac:dyDescent="0.2">
      <c r="A37" s="730" t="s">
        <v>2089</v>
      </c>
      <c r="B37" s="731">
        <v>42948</v>
      </c>
      <c r="C37" s="467">
        <v>226800</v>
      </c>
      <c r="D37" s="738">
        <v>1</v>
      </c>
      <c r="E37" s="467">
        <v>226800</v>
      </c>
      <c r="F37" s="467"/>
      <c r="G37" s="467"/>
      <c r="H37" s="467">
        <v>36500</v>
      </c>
      <c r="I37" s="1750">
        <f t="shared" si="1"/>
        <v>190300</v>
      </c>
      <c r="J37" s="467">
        <v>190300</v>
      </c>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22594900</v>
      </c>
      <c r="D49" s="743"/>
      <c r="E49" s="1750">
        <f t="shared" ref="E49:J49" si="2">SUM(E31:E48)</f>
        <v>14615900</v>
      </c>
      <c r="F49" s="1750">
        <f t="shared" si="2"/>
        <v>0</v>
      </c>
      <c r="G49" s="1750">
        <f t="shared" si="2"/>
        <v>0</v>
      </c>
      <c r="H49" s="1750">
        <f t="shared" si="2"/>
        <v>1115400</v>
      </c>
      <c r="I49" s="1750">
        <f t="shared" si="2"/>
        <v>13500500</v>
      </c>
      <c r="J49" s="1750">
        <f t="shared" si="2"/>
        <v>13450298</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912</v>
      </c>
      <c r="B52" s="2200" t="s">
        <v>584</v>
      </c>
      <c r="C52" s="2201"/>
      <c r="D52" s="2201"/>
      <c r="E52" s="747" t="s">
        <v>845</v>
      </c>
      <c r="F52" s="2202"/>
      <c r="G52" s="2203"/>
      <c r="H52" s="734"/>
      <c r="I52" s="734"/>
      <c r="J52" s="744"/>
    </row>
    <row r="53" spans="1:11" ht="11.25" customHeight="1" x14ac:dyDescent="0.2">
      <c r="A53" s="748" t="s">
        <v>913</v>
      </c>
      <c r="B53" s="749" t="s">
        <v>951</v>
      </c>
      <c r="C53" s="744"/>
      <c r="D53" s="735"/>
      <c r="E53" s="747" t="s">
        <v>497</v>
      </c>
      <c r="F53" s="2204"/>
      <c r="G53" s="2205"/>
      <c r="H53" s="734"/>
      <c r="I53" s="734"/>
      <c r="J53" s="744"/>
    </row>
    <row r="54" spans="1:11" ht="11.25" customHeight="1" x14ac:dyDescent="0.2">
      <c r="A54" s="750" t="s">
        <v>914</v>
      </c>
      <c r="B54" s="745" t="s">
        <v>952</v>
      </c>
      <c r="C54" s="744"/>
      <c r="D54" s="735"/>
      <c r="E54" s="747" t="s">
        <v>498</v>
      </c>
      <c r="F54" s="2204"/>
      <c r="G54" s="2205"/>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N13" sqref="N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856</v>
      </c>
      <c r="B1" s="2230"/>
      <c r="C1" s="2230"/>
      <c r="D1" s="2230"/>
      <c r="E1" s="2230"/>
      <c r="F1" s="2230"/>
      <c r="G1" s="2231"/>
      <c r="H1" s="1528"/>
      <c r="I1" s="758"/>
      <c r="J1" s="433"/>
    </row>
    <row r="2" spans="1:11" ht="26.25" x14ac:dyDescent="0.2">
      <c r="A2" s="2248" t="s">
        <v>1677</v>
      </c>
      <c r="B2" s="2249"/>
      <c r="C2" s="2249"/>
      <c r="D2" s="2249"/>
      <c r="E2" s="2250"/>
      <c r="F2" s="759" t="s">
        <v>904</v>
      </c>
      <c r="G2" s="760" t="s">
        <v>1674</v>
      </c>
      <c r="H2" s="760" t="s">
        <v>410</v>
      </c>
      <c r="I2" s="760" t="s">
        <v>1158</v>
      </c>
      <c r="J2" s="760" t="s">
        <v>1808</v>
      </c>
      <c r="K2" s="760" t="s">
        <v>138</v>
      </c>
    </row>
    <row r="3" spans="1:11" x14ac:dyDescent="0.2">
      <c r="A3" s="2251" t="s">
        <v>1958</v>
      </c>
      <c r="B3" s="2252"/>
      <c r="C3" s="2252"/>
      <c r="D3" s="2252"/>
      <c r="E3" s="2253"/>
      <c r="F3" s="761"/>
      <c r="G3" s="762"/>
      <c r="H3" s="762">
        <v>0</v>
      </c>
      <c r="I3" s="762"/>
      <c r="J3" s="763">
        <v>6180</v>
      </c>
      <c r="K3" s="763">
        <v>0</v>
      </c>
    </row>
    <row r="4" spans="1:11" x14ac:dyDescent="0.2">
      <c r="A4" s="2254" t="s">
        <v>369</v>
      </c>
      <c r="B4" s="2255"/>
      <c r="C4" s="2255"/>
      <c r="D4" s="2255"/>
      <c r="E4" s="2201"/>
      <c r="F4" s="764"/>
      <c r="G4" s="765"/>
      <c r="H4" s="766"/>
      <c r="I4" s="765"/>
      <c r="J4" s="767"/>
      <c r="K4" s="767"/>
    </row>
    <row r="5" spans="1:11" x14ac:dyDescent="0.2">
      <c r="A5" s="2232" t="s">
        <v>1069</v>
      </c>
      <c r="B5" s="2233"/>
      <c r="C5" s="2233"/>
      <c r="D5" s="2233"/>
      <c r="E5" s="2234"/>
      <c r="F5" s="768" t="s">
        <v>848</v>
      </c>
      <c r="G5" s="769"/>
      <c r="H5" s="762">
        <v>46984</v>
      </c>
      <c r="I5" s="770"/>
      <c r="J5" s="771"/>
      <c r="K5" s="771"/>
    </row>
    <row r="6" spans="1:11" x14ac:dyDescent="0.2">
      <c r="A6" s="772" t="s">
        <v>720</v>
      </c>
      <c r="B6" s="773"/>
      <c r="C6" s="773"/>
      <c r="D6" s="773"/>
      <c r="E6" s="774"/>
      <c r="F6" s="775" t="s">
        <v>849</v>
      </c>
      <c r="G6" s="762"/>
      <c r="H6" s="762"/>
      <c r="I6" s="762"/>
      <c r="J6" s="763">
        <v>152</v>
      </c>
      <c r="K6" s="763"/>
    </row>
    <row r="7" spans="1:11" x14ac:dyDescent="0.2">
      <c r="A7" s="776" t="s">
        <v>246</v>
      </c>
      <c r="B7" s="777"/>
      <c r="C7" s="777"/>
      <c r="D7" s="777"/>
      <c r="E7" s="778"/>
      <c r="F7" s="768" t="s">
        <v>850</v>
      </c>
      <c r="G7" s="765"/>
      <c r="H7" s="765"/>
      <c r="I7" s="765"/>
      <c r="J7" s="779"/>
      <c r="K7" s="763">
        <v>1387</v>
      </c>
    </row>
    <row r="8" spans="1:11" x14ac:dyDescent="0.2">
      <c r="A8" s="776" t="s">
        <v>345</v>
      </c>
      <c r="B8" s="777"/>
      <c r="C8" s="777"/>
      <c r="D8" s="777"/>
      <c r="E8" s="778"/>
      <c r="F8" s="768" t="s">
        <v>851</v>
      </c>
      <c r="G8" s="780"/>
      <c r="H8" s="780"/>
      <c r="I8" s="780"/>
      <c r="J8" s="763">
        <v>10557</v>
      </c>
      <c r="K8" s="767"/>
    </row>
    <row r="9" spans="1:11" x14ac:dyDescent="0.2">
      <c r="A9" s="776" t="s">
        <v>138</v>
      </c>
      <c r="B9" s="777"/>
      <c r="C9" s="777"/>
      <c r="D9" s="777"/>
      <c r="E9" s="778"/>
      <c r="F9" s="775" t="s">
        <v>853</v>
      </c>
      <c r="G9" s="780"/>
      <c r="H9" s="769"/>
      <c r="I9" s="769"/>
      <c r="J9" s="779"/>
      <c r="K9" s="763">
        <v>19487</v>
      </c>
    </row>
    <row r="10" spans="1:11" x14ac:dyDescent="0.2">
      <c r="A10" s="2232" t="s">
        <v>1809</v>
      </c>
      <c r="B10" s="2233"/>
      <c r="C10" s="2233"/>
      <c r="D10" s="2233"/>
      <c r="E10" s="2235"/>
      <c r="F10" s="781" t="s">
        <v>862</v>
      </c>
      <c r="G10" s="780"/>
      <c r="H10" s="782">
        <v>90</v>
      </c>
      <c r="I10" s="762"/>
      <c r="J10" s="763"/>
      <c r="K10" s="763"/>
    </row>
    <row r="11" spans="1:11" x14ac:dyDescent="0.2">
      <c r="A11" s="2232" t="s">
        <v>160</v>
      </c>
      <c r="B11" s="2233"/>
      <c r="C11" s="2233"/>
      <c r="D11" s="2233"/>
      <c r="E11" s="2234"/>
      <c r="F11" s="768" t="s">
        <v>852</v>
      </c>
      <c r="G11" s="769"/>
      <c r="H11" s="762"/>
      <c r="I11" s="762"/>
      <c r="J11" s="763"/>
      <c r="K11" s="771"/>
    </row>
    <row r="12" spans="1:11" ht="13.5" thickBot="1" x14ac:dyDescent="0.25">
      <c r="A12" s="2259" t="s">
        <v>905</v>
      </c>
      <c r="B12" s="2260"/>
      <c r="C12" s="2260"/>
      <c r="D12" s="2260"/>
      <c r="E12" s="2261"/>
      <c r="F12" s="1751"/>
      <c r="G12" s="1752">
        <f>SUM(G5:G11)</f>
        <v>0</v>
      </c>
      <c r="H12" s="1752">
        <f>SUM(H5:H11)</f>
        <v>47074</v>
      </c>
      <c r="I12" s="1752">
        <f>SUM(I5:I11)</f>
        <v>0</v>
      </c>
      <c r="J12" s="1752">
        <f>SUM(J5:J11)</f>
        <v>10709</v>
      </c>
      <c r="K12" s="1752">
        <f>SUM(K5:K11)</f>
        <v>20874</v>
      </c>
    </row>
    <row r="13" spans="1:11" ht="13.5" thickTop="1" x14ac:dyDescent="0.2">
      <c r="A13" s="2256" t="s">
        <v>370</v>
      </c>
      <c r="B13" s="2257"/>
      <c r="C13" s="2257"/>
      <c r="D13" s="2257"/>
      <c r="E13" s="2258"/>
      <c r="F13" s="783"/>
      <c r="G13" s="784"/>
      <c r="H13" s="785"/>
      <c r="I13" s="786"/>
      <c r="J13" s="786"/>
      <c r="K13" s="786"/>
    </row>
    <row r="14" spans="1:11" x14ac:dyDescent="0.2">
      <c r="A14" s="2239" t="s">
        <v>456</v>
      </c>
      <c r="B14" s="2239"/>
      <c r="C14" s="2239"/>
      <c r="D14" s="2239"/>
      <c r="E14" s="2240"/>
      <c r="F14" s="787" t="s">
        <v>854</v>
      </c>
      <c r="G14" s="780"/>
      <c r="H14" s="762">
        <v>47074</v>
      </c>
      <c r="I14" s="769"/>
      <c r="J14" s="771"/>
      <c r="K14" s="763">
        <v>20874</v>
      </c>
    </row>
    <row r="15" spans="1:11" x14ac:dyDescent="0.2">
      <c r="A15" s="2233" t="s">
        <v>4</v>
      </c>
      <c r="B15" s="2233"/>
      <c r="C15" s="2233"/>
      <c r="D15" s="2233"/>
      <c r="E15" s="2234"/>
      <c r="F15" s="787" t="s">
        <v>855</v>
      </c>
      <c r="G15" s="769"/>
      <c r="H15" s="762"/>
      <c r="I15" s="762"/>
      <c r="J15" s="763"/>
      <c r="K15" s="763"/>
    </row>
    <row r="16" spans="1:11" x14ac:dyDescent="0.2">
      <c r="A16" s="2233" t="s">
        <v>298</v>
      </c>
      <c r="B16" s="2233"/>
      <c r="C16" s="2233"/>
      <c r="D16" s="2233"/>
      <c r="E16" s="2234"/>
      <c r="F16" s="787" t="s">
        <v>923</v>
      </c>
      <c r="G16" s="770"/>
      <c r="H16" s="765"/>
      <c r="I16" s="765"/>
      <c r="J16" s="767"/>
      <c r="K16" s="767"/>
    </row>
    <row r="17" spans="1:11" x14ac:dyDescent="0.2">
      <c r="A17" s="2264" t="s">
        <v>935</v>
      </c>
      <c r="B17" s="2264"/>
      <c r="C17" s="2264"/>
      <c r="D17" s="2264"/>
      <c r="E17" s="2265"/>
      <c r="F17" s="788"/>
      <c r="G17" s="789"/>
      <c r="H17" s="790"/>
      <c r="I17" s="790"/>
      <c r="J17" s="791"/>
      <c r="K17" s="792"/>
    </row>
    <row r="18" spans="1:11" x14ac:dyDescent="0.2">
      <c r="A18" s="2243" t="s">
        <v>368</v>
      </c>
      <c r="B18" s="2244"/>
      <c r="C18" s="2244"/>
      <c r="D18" s="2244"/>
      <c r="E18" s="2245"/>
      <c r="F18" s="787" t="s">
        <v>932</v>
      </c>
      <c r="G18" s="780"/>
      <c r="H18" s="780"/>
      <c r="I18" s="780"/>
      <c r="J18" s="763"/>
      <c r="K18" s="793"/>
    </row>
    <row r="19" spans="1:11" ht="21.75" customHeight="1" x14ac:dyDescent="0.2">
      <c r="A19" s="2241" t="s">
        <v>1805</v>
      </c>
      <c r="B19" s="2241"/>
      <c r="C19" s="2241"/>
      <c r="D19" s="2241"/>
      <c r="E19" s="2242"/>
      <c r="F19" s="787" t="s">
        <v>933</v>
      </c>
      <c r="G19" s="780"/>
      <c r="H19" s="780"/>
      <c r="I19" s="780"/>
      <c r="J19" s="763"/>
      <c r="K19" s="793"/>
    </row>
    <row r="20" spans="1:11" x14ac:dyDescent="0.2">
      <c r="A20" s="2243" t="s">
        <v>1810</v>
      </c>
      <c r="B20" s="2244"/>
      <c r="C20" s="2244"/>
      <c r="D20" s="2244"/>
      <c r="E20" s="2245"/>
      <c r="F20" s="787" t="s">
        <v>934</v>
      </c>
      <c r="G20" s="780"/>
      <c r="H20" s="780"/>
      <c r="I20" s="780"/>
      <c r="J20" s="763"/>
      <c r="K20" s="793"/>
    </row>
    <row r="21" spans="1:11" ht="13.5" thickBot="1" x14ac:dyDescent="0.25">
      <c r="A21" s="2262" t="s">
        <v>638</v>
      </c>
      <c r="B21" s="2262"/>
      <c r="C21" s="2262"/>
      <c r="D21" s="2262"/>
      <c r="E21" s="2262"/>
      <c r="F21" s="1753"/>
      <c r="G21" s="790"/>
      <c r="H21" s="794"/>
      <c r="I21" s="794"/>
      <c r="J21" s="1754">
        <f>SUM(J18:J20)</f>
        <v>0</v>
      </c>
      <c r="K21" s="791"/>
    </row>
    <row r="22" spans="1:11" ht="13.5" thickTop="1" x14ac:dyDescent="0.2">
      <c r="A22" s="2233" t="s">
        <v>1811</v>
      </c>
      <c r="B22" s="2233"/>
      <c r="C22" s="2233"/>
      <c r="D22" s="2233"/>
      <c r="E22" s="2234"/>
      <c r="F22" s="787" t="s">
        <v>862</v>
      </c>
      <c r="G22" s="780"/>
      <c r="H22" s="762"/>
      <c r="I22" s="762"/>
      <c r="J22" s="795"/>
      <c r="K22" s="763"/>
    </row>
    <row r="23" spans="1:11" ht="13.5" thickBot="1" x14ac:dyDescent="0.25">
      <c r="A23" s="2263" t="s">
        <v>906</v>
      </c>
      <c r="B23" s="2262"/>
      <c r="C23" s="2262"/>
      <c r="D23" s="2262"/>
      <c r="E23" s="2262"/>
      <c r="F23" s="1755"/>
      <c r="G23" s="1752">
        <f>SUM(G14:G16,G21,G22)</f>
        <v>0</v>
      </c>
      <c r="H23" s="1752">
        <f>SUM(H14:H16,H21,H22)</f>
        <v>47074</v>
      </c>
      <c r="I23" s="1752">
        <f>SUM(I14:I16,I21,I22)</f>
        <v>0</v>
      </c>
      <c r="J23" s="1752">
        <f>SUM(J14:J16,J21,J22)</f>
        <v>0</v>
      </c>
      <c r="K23" s="1752">
        <f>SUM(K14:K16,K21,K22)</f>
        <v>20874</v>
      </c>
    </row>
    <row r="24" spans="1:11" ht="14.25" thickTop="1" thickBot="1" x14ac:dyDescent="0.25">
      <c r="A24" s="2263" t="s">
        <v>1959</v>
      </c>
      <c r="B24" s="2262"/>
      <c r="C24" s="2262"/>
      <c r="D24" s="2262"/>
      <c r="E24" s="2262"/>
      <c r="F24" s="1756"/>
      <c r="G24" s="1757">
        <f>SUM(G3,G12)-G23</f>
        <v>0</v>
      </c>
      <c r="H24" s="1757">
        <f>SUM(H3,H12)-H23</f>
        <v>0</v>
      </c>
      <c r="I24" s="1757">
        <f>SUM(I3,I12)-I23</f>
        <v>0</v>
      </c>
      <c r="J24" s="1757">
        <f>SUM(J3,J12)-J23</f>
        <v>16889</v>
      </c>
      <c r="K24" s="1757">
        <f>SUM(K3,K12)-K23</f>
        <v>0</v>
      </c>
    </row>
    <row r="25" spans="1:11" ht="13.5" thickTop="1" x14ac:dyDescent="0.2">
      <c r="A25" s="796" t="s">
        <v>420</v>
      </c>
      <c r="B25" s="797"/>
      <c r="C25" s="797"/>
      <c r="D25" s="797"/>
      <c r="E25" s="798"/>
      <c r="F25" s="799">
        <v>714</v>
      </c>
      <c r="G25" s="800"/>
      <c r="H25" s="800"/>
      <c r="I25" s="800"/>
      <c r="J25" s="795">
        <v>16889</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1905</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36"/>
      <c r="I31" s="2237"/>
      <c r="J31" s="2237"/>
      <c r="K31" s="2237"/>
    </row>
    <row r="32" spans="1:11" x14ac:dyDescent="0.2">
      <c r="A32" s="807"/>
      <c r="B32" s="237"/>
      <c r="C32" s="237"/>
      <c r="D32" s="237"/>
      <c r="E32" s="803"/>
      <c r="F32" s="809" t="s">
        <v>540</v>
      </c>
      <c r="G32" s="762"/>
      <c r="H32" s="2238"/>
      <c r="I32" s="2237"/>
      <c r="J32" s="2237"/>
      <c r="K32" s="2237"/>
    </row>
    <row r="33" spans="1:11" ht="1.5" customHeight="1" x14ac:dyDescent="0.2">
      <c r="A33" s="810" t="s">
        <v>1169</v>
      </c>
      <c r="B33" s="364"/>
      <c r="C33" s="364"/>
      <c r="D33" s="364"/>
      <c r="E33" s="364"/>
      <c r="F33" s="364"/>
      <c r="G33" s="811"/>
      <c r="H33" s="2238"/>
      <c r="I33" s="2237"/>
      <c r="J33" s="2237"/>
      <c r="K33" s="2237"/>
    </row>
    <row r="34" spans="1:11" x14ac:dyDescent="0.2">
      <c r="A34" s="812" t="s">
        <v>1812</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33" t="s">
        <v>541</v>
      </c>
      <c r="B41" s="2246"/>
      <c r="C41" s="2246"/>
      <c r="D41" s="2246"/>
      <c r="E41" s="2246"/>
      <c r="F41" s="224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1806</v>
      </c>
      <c r="B46" s="408" t="s">
        <v>1675</v>
      </c>
    </row>
    <row r="47" spans="1:11" s="821" customFormat="1" ht="12.75" customHeight="1" x14ac:dyDescent="0.2">
      <c r="A47" s="819"/>
      <c r="B47" s="820" t="s">
        <v>1676</v>
      </c>
      <c r="E47" s="820"/>
      <c r="K47" s="822"/>
    </row>
    <row r="48" spans="1:11" ht="12.75" customHeight="1" x14ac:dyDescent="0.2">
      <c r="A48" s="1530"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F29" sqref="F29"/>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1904</v>
      </c>
      <c r="B1" s="2269"/>
      <c r="C1" s="2270"/>
      <c r="D1" s="824"/>
      <c r="E1" s="825"/>
      <c r="F1" s="825"/>
      <c r="G1" s="826"/>
      <c r="H1" s="827"/>
      <c r="I1" s="828"/>
      <c r="J1" s="2266"/>
      <c r="K1" s="2267"/>
      <c r="L1" s="2267"/>
    </row>
    <row r="2" spans="1:14" ht="69.75" customHeight="1" x14ac:dyDescent="0.2">
      <c r="A2" s="829" t="s">
        <v>1678</v>
      </c>
      <c r="B2" s="830" t="s">
        <v>378</v>
      </c>
      <c r="C2" s="831" t="s">
        <v>1960</v>
      </c>
      <c r="D2" s="831" t="s">
        <v>1961</v>
      </c>
      <c r="E2" s="831" t="s">
        <v>1962</v>
      </c>
      <c r="F2" s="831" t="s">
        <v>1963</v>
      </c>
      <c r="G2" s="831" t="s">
        <v>605</v>
      </c>
      <c r="H2" s="831" t="s">
        <v>1964</v>
      </c>
      <c r="I2" s="831" t="s">
        <v>1965</v>
      </c>
      <c r="J2" s="831" t="s">
        <v>1966</v>
      </c>
      <c r="K2" s="831" t="s">
        <v>1967</v>
      </c>
      <c r="L2" s="831" t="s">
        <v>1968</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143601</v>
      </c>
      <c r="D5" s="839"/>
      <c r="E5" s="839"/>
      <c r="F5" s="1754">
        <f>(C5+D5)-E5</f>
        <v>143601</v>
      </c>
      <c r="G5" s="835"/>
      <c r="H5" s="840"/>
      <c r="I5" s="840"/>
      <c r="J5" s="840"/>
      <c r="K5" s="791"/>
      <c r="L5" s="1763">
        <f>F5-K5</f>
        <v>143601</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26762862</v>
      </c>
      <c r="D8" s="842">
        <v>93100</v>
      </c>
      <c r="E8" s="842"/>
      <c r="F8" s="1754">
        <f>(C8+D8)-E8</f>
        <v>26855962</v>
      </c>
      <c r="G8" s="841">
        <v>50</v>
      </c>
      <c r="H8" s="763">
        <v>10631938</v>
      </c>
      <c r="I8" s="763">
        <v>475253</v>
      </c>
      <c r="J8" s="763"/>
      <c r="K8" s="1763">
        <f>(H8+I8)-J8</f>
        <v>11107191</v>
      </c>
      <c r="L8" s="1763">
        <f>F8-K8</f>
        <v>15748771</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2545958</v>
      </c>
      <c r="D10" s="844">
        <v>128970</v>
      </c>
      <c r="E10" s="844"/>
      <c r="F10" s="1758">
        <f>(C10+D10)-E10</f>
        <v>2674928</v>
      </c>
      <c r="G10" s="841">
        <v>20</v>
      </c>
      <c r="H10" s="845">
        <v>1668973</v>
      </c>
      <c r="I10" s="845">
        <v>105229</v>
      </c>
      <c r="J10" s="845"/>
      <c r="K10" s="1763">
        <f>(H10+I10)-J10</f>
        <v>1774202</v>
      </c>
      <c r="L10" s="1763">
        <f>F10-K10</f>
        <v>900726</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2118938</v>
      </c>
      <c r="D12" s="842">
        <v>145771</v>
      </c>
      <c r="E12" s="842"/>
      <c r="F12" s="1754">
        <f>(C12+D12)-E12</f>
        <v>2264709</v>
      </c>
      <c r="G12" s="841">
        <v>10</v>
      </c>
      <c r="H12" s="763">
        <v>965482</v>
      </c>
      <c r="I12" s="763">
        <v>226471</v>
      </c>
      <c r="J12" s="763"/>
      <c r="K12" s="1763">
        <f>(H12+I12)-J12</f>
        <v>1191953</v>
      </c>
      <c r="L12" s="1763">
        <f>F12-K12</f>
        <v>1072756</v>
      </c>
    </row>
    <row r="13" spans="1:14" ht="14.25" thickTop="1" thickBot="1" x14ac:dyDescent="0.25">
      <c r="A13" s="846" t="s">
        <v>1122</v>
      </c>
      <c r="B13" s="838">
        <v>252</v>
      </c>
      <c r="C13" s="842">
        <v>1551061</v>
      </c>
      <c r="D13" s="842">
        <v>95267</v>
      </c>
      <c r="E13" s="842"/>
      <c r="F13" s="1754">
        <f>(C13+D13)-E13</f>
        <v>1646328</v>
      </c>
      <c r="G13" s="841">
        <v>5</v>
      </c>
      <c r="H13" s="763">
        <v>1373038</v>
      </c>
      <c r="I13" s="763">
        <v>104919</v>
      </c>
      <c r="J13" s="763"/>
      <c r="K13" s="1763">
        <f>(H13+I13)-J13</f>
        <v>1477957</v>
      </c>
      <c r="L13" s="1763">
        <f>F13-K13</f>
        <v>168371</v>
      </c>
    </row>
    <row r="14" spans="1:14" ht="14.25" thickTop="1" thickBot="1" x14ac:dyDescent="0.25">
      <c r="A14" s="846" t="s">
        <v>1123</v>
      </c>
      <c r="B14" s="838">
        <v>253</v>
      </c>
      <c r="C14" s="763">
        <v>53345</v>
      </c>
      <c r="D14" s="763"/>
      <c r="E14" s="763"/>
      <c r="F14" s="1754">
        <f>(C14+D14)-E14</f>
        <v>53345</v>
      </c>
      <c r="G14" s="841">
        <v>3</v>
      </c>
      <c r="H14" s="763">
        <v>52200</v>
      </c>
      <c r="I14" s="763">
        <v>1098</v>
      </c>
      <c r="J14" s="763"/>
      <c r="K14" s="1763">
        <f>(H14+I14)-J14</f>
        <v>53298</v>
      </c>
      <c r="L14" s="1763">
        <f>F14-K14</f>
        <v>47</v>
      </c>
    </row>
    <row r="15" spans="1:14" ht="15" customHeight="1" thickTop="1" thickBot="1" x14ac:dyDescent="0.25">
      <c r="A15" s="1629" t="s">
        <v>528</v>
      </c>
      <c r="B15" s="1628">
        <v>260</v>
      </c>
      <c r="C15" s="842"/>
      <c r="D15" s="842">
        <v>468654.35</v>
      </c>
      <c r="E15" s="842"/>
      <c r="F15" s="1754">
        <f>(C15+D15)-E15</f>
        <v>468654.35</v>
      </c>
      <c r="G15" s="847" t="s">
        <v>862</v>
      </c>
      <c r="H15" s="779"/>
      <c r="I15" s="779"/>
      <c r="J15" s="779"/>
      <c r="K15" s="779"/>
      <c r="L15" s="1763">
        <f>F15-K15</f>
        <v>468654.35</v>
      </c>
    </row>
    <row r="16" spans="1:14" ht="15" customHeight="1" thickTop="1" thickBot="1" x14ac:dyDescent="0.25">
      <c r="A16" s="1759" t="s">
        <v>643</v>
      </c>
      <c r="B16" s="1760">
        <v>200</v>
      </c>
      <c r="C16" s="1754">
        <f>SUM(C3,C5:C6,C8:C10,C12:C15)</f>
        <v>33175765</v>
      </c>
      <c r="D16" s="1754">
        <f>SUM(D3,D5:D6,D8:D10,D12:D15)</f>
        <v>931762.35</v>
      </c>
      <c r="E16" s="1754">
        <f>SUM(E3,E5:E6,E8:E10,E12:E15)</f>
        <v>0</v>
      </c>
      <c r="F16" s="1754">
        <f>SUM(F3,F5:F6,F8:F10,F12:F15)</f>
        <v>34107527.350000001</v>
      </c>
      <c r="G16" s="841"/>
      <c r="H16" s="1754">
        <f>SUM(H3,H6,H8:H10,H12:H14,)</f>
        <v>14691631</v>
      </c>
      <c r="I16" s="1754">
        <f>SUM(I3,I6,I8:I10,I12:I14,)</f>
        <v>912970</v>
      </c>
      <c r="J16" s="1754">
        <f>SUM(J3,J6,J8:J10,J12:J14,)</f>
        <v>0</v>
      </c>
      <c r="K16" s="1754">
        <f>(H16+I16)-J16</f>
        <v>15604601</v>
      </c>
      <c r="L16" s="1754">
        <f>F16-K16</f>
        <v>18502926.350000001</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912970</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C1" colorId="8" zoomScale="110" zoomScaleNormal="110" workbookViewId="0">
      <pane ySplit="5" topLeftCell="A163" activePane="bottomLeft" state="frozen"/>
      <selection activeCell="A47" sqref="A47"/>
      <selection pane="bottomLeft" activeCell="D196" sqref="D196"/>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4" t="s">
        <v>1969</v>
      </c>
      <c r="B1" s="2275"/>
      <c r="C1" s="2275"/>
      <c r="D1" s="2275"/>
      <c r="E1" s="2275"/>
      <c r="F1" s="2276"/>
      <c r="G1" s="853"/>
    </row>
    <row r="2" spans="1:7" ht="15" customHeight="1" thickBot="1" x14ac:dyDescent="0.25">
      <c r="A2" s="2277" t="s">
        <v>477</v>
      </c>
      <c r="B2" s="2278"/>
      <c r="C2" s="2278"/>
      <c r="D2" s="2278"/>
      <c r="E2" s="2278"/>
      <c r="F2" s="2279"/>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12647795</v>
      </c>
      <c r="G8" s="863"/>
    </row>
    <row r="9" spans="1:7" x14ac:dyDescent="0.2">
      <c r="A9" s="867" t="s">
        <v>460</v>
      </c>
      <c r="B9" s="868" t="s">
        <v>1872</v>
      </c>
      <c r="C9" s="869"/>
      <c r="D9" s="867" t="s">
        <v>501</v>
      </c>
      <c r="E9" s="866"/>
      <c r="F9" s="1902">
        <f>'Expenditures 15-22'!K151</f>
        <v>1270718</v>
      </c>
      <c r="G9" s="870"/>
    </row>
    <row r="10" spans="1:7" x14ac:dyDescent="0.2">
      <c r="A10" s="867" t="s">
        <v>499</v>
      </c>
      <c r="B10" s="868" t="s">
        <v>1873</v>
      </c>
      <c r="C10" s="869"/>
      <c r="D10" s="867" t="s">
        <v>501</v>
      </c>
      <c r="E10" s="866"/>
      <c r="F10" s="1902">
        <f>'Expenditures 15-22'!K174</f>
        <v>1510437</v>
      </c>
      <c r="G10" s="870"/>
    </row>
    <row r="11" spans="1:7" x14ac:dyDescent="0.2">
      <c r="A11" s="867" t="s">
        <v>461</v>
      </c>
      <c r="B11" s="868" t="s">
        <v>1874</v>
      </c>
      <c r="C11" s="869"/>
      <c r="D11" s="867" t="s">
        <v>501</v>
      </c>
      <c r="E11" s="866"/>
      <c r="F11" s="1902">
        <f>'Expenditures 15-22'!K210</f>
        <v>720112</v>
      </c>
      <c r="G11" s="870"/>
    </row>
    <row r="12" spans="1:7" x14ac:dyDescent="0.2">
      <c r="A12" s="867" t="s">
        <v>462</v>
      </c>
      <c r="B12" s="868" t="s">
        <v>1875</v>
      </c>
      <c r="C12" s="869"/>
      <c r="D12" s="867" t="s">
        <v>501</v>
      </c>
      <c r="E12" s="866"/>
      <c r="F12" s="1902">
        <f>'Expenditures 15-22'!K295</f>
        <v>542152</v>
      </c>
      <c r="G12" s="870"/>
    </row>
    <row r="13" spans="1:7" x14ac:dyDescent="0.2">
      <c r="A13" s="867" t="s">
        <v>106</v>
      </c>
      <c r="B13" s="868" t="s">
        <v>1876</v>
      </c>
      <c r="C13" s="869"/>
      <c r="D13" s="867" t="s">
        <v>501</v>
      </c>
      <c r="E13" s="866"/>
      <c r="F13" s="1902">
        <f>'Expenditures 15-22'!K342</f>
        <v>1007335</v>
      </c>
      <c r="G13" s="871"/>
    </row>
    <row r="14" spans="1:7" ht="12" customHeight="1" thickBot="1" x14ac:dyDescent="0.25">
      <c r="A14" s="1764"/>
      <c r="B14" s="1765"/>
      <c r="C14" s="1766"/>
      <c r="D14" s="1767" t="s">
        <v>501</v>
      </c>
      <c r="E14" s="1768" t="s">
        <v>958</v>
      </c>
      <c r="F14" s="1769">
        <f>SUM(F8:F13)</f>
        <v>17698549</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6628</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13389</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1993</v>
      </c>
      <c r="C30" s="878">
        <f>'Revenues 9-14'!B150</f>
        <v>3499</v>
      </c>
      <c r="D30" s="879" t="str">
        <f>'Revenues 9-14'!A150</f>
        <v>Adult Ed - Other (Describe &amp; Itemize)</v>
      </c>
      <c r="E30" s="866"/>
      <c r="F30" s="1907">
        <f>('Revenues 9-14'!D150+'Revenues 9-14'!F150)</f>
        <v>0</v>
      </c>
      <c r="G30" s="863"/>
    </row>
    <row r="31" spans="1:7" x14ac:dyDescent="0.2">
      <c r="A31" s="867" t="s">
        <v>1097</v>
      </c>
      <c r="B31" s="868" t="s">
        <v>1994</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1995</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1996</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213388</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424165</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25786</v>
      </c>
      <c r="G52" s="863"/>
    </row>
    <row r="53" spans="1:7" x14ac:dyDescent="0.2">
      <c r="A53" s="867" t="s">
        <v>459</v>
      </c>
      <c r="B53" s="867" t="s">
        <v>1475</v>
      </c>
      <c r="C53" s="887">
        <f>'Expenditures 15-22'!B102</f>
        <v>4000</v>
      </c>
      <c r="D53" s="886" t="str">
        <f>'Expenditures 15-22'!A102</f>
        <v>Total Payments to Other Govt Units</v>
      </c>
      <c r="E53" s="866"/>
      <c r="F53" s="1906">
        <f>'Expenditures 15-22'!K102</f>
        <v>409831</v>
      </c>
      <c r="G53" s="863"/>
    </row>
    <row r="54" spans="1:7" x14ac:dyDescent="0.2">
      <c r="A54" s="867" t="s">
        <v>459</v>
      </c>
      <c r="B54" s="867" t="s">
        <v>1476</v>
      </c>
      <c r="C54" s="887" t="s">
        <v>982</v>
      </c>
      <c r="D54" s="883" t="s">
        <v>1095</v>
      </c>
      <c r="E54" s="866"/>
      <c r="F54" s="1906">
        <f>'Expenditures 15-22'!G114</f>
        <v>122832</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1877</v>
      </c>
      <c r="C57" s="887">
        <f>'Expenditures 15-22'!B139</f>
        <v>4000</v>
      </c>
      <c r="D57" s="885" t="str">
        <f>'Expenditures 15-22'!A139</f>
        <v>Total Payments to Other Govt Units</v>
      </c>
      <c r="E57" s="866"/>
      <c r="F57" s="1906">
        <f>'Expenditures 15-22'!K139</f>
        <v>0</v>
      </c>
      <c r="G57" s="863"/>
    </row>
    <row r="58" spans="1:7" x14ac:dyDescent="0.2">
      <c r="A58" s="867" t="s">
        <v>460</v>
      </c>
      <c r="B58" s="867" t="s">
        <v>1878</v>
      </c>
      <c r="C58" s="884" t="s">
        <v>982</v>
      </c>
      <c r="D58" s="883" t="s">
        <v>1095</v>
      </c>
      <c r="E58" s="866"/>
      <c r="F58" s="1908">
        <f>'Expenditures 15-22'!G151</f>
        <v>712023</v>
      </c>
      <c r="G58" s="863"/>
    </row>
    <row r="59" spans="1:7" x14ac:dyDescent="0.2">
      <c r="A59" s="891" t="s">
        <v>460</v>
      </c>
      <c r="B59" s="854" t="s">
        <v>1879</v>
      </c>
      <c r="C59" s="892" t="s">
        <v>982</v>
      </c>
      <c r="D59" s="854" t="s">
        <v>291</v>
      </c>
      <c r="F59" s="1909">
        <f>'Expenditures 15-22'!I151</f>
        <v>0</v>
      </c>
      <c r="G59" s="863"/>
    </row>
    <row r="60" spans="1:7" x14ac:dyDescent="0.2">
      <c r="A60" s="891" t="s">
        <v>499</v>
      </c>
      <c r="B60" s="854" t="s">
        <v>1880</v>
      </c>
      <c r="C60" s="892">
        <v>4000</v>
      </c>
      <c r="D60" s="854" t="s">
        <v>312</v>
      </c>
      <c r="F60" s="1907">
        <f>'Expenditures 15-22'!K160</f>
        <v>0</v>
      </c>
      <c r="G60" s="863"/>
    </row>
    <row r="61" spans="1:7" x14ac:dyDescent="0.2">
      <c r="A61" s="893" t="s">
        <v>499</v>
      </c>
      <c r="B61" s="893" t="s">
        <v>1881</v>
      </c>
      <c r="C61" s="894" t="str">
        <f>'Expenditures 15-22'!B170</f>
        <v>5300</v>
      </c>
      <c r="D61" s="895" t="s">
        <v>311</v>
      </c>
      <c r="E61" s="877"/>
      <c r="F61" s="1906">
        <f>'Expenditures 15-22'!K170</f>
        <v>1115400</v>
      </c>
      <c r="G61" s="863"/>
    </row>
    <row r="62" spans="1:7" x14ac:dyDescent="0.2">
      <c r="A62" s="867" t="s">
        <v>461</v>
      </c>
      <c r="B62" s="867" t="s">
        <v>1882</v>
      </c>
      <c r="C62" s="884">
        <f>'Expenditures 15-22'!B185</f>
        <v>3000</v>
      </c>
      <c r="D62" s="874" t="s">
        <v>449</v>
      </c>
      <c r="E62" s="866"/>
      <c r="F62" s="1906">
        <f>'Expenditures 15-22'!K185-SUM('Expenditures 15-22'!G185,'Expenditures 15-22'!I185)</f>
        <v>0</v>
      </c>
      <c r="G62" s="863"/>
    </row>
    <row r="63" spans="1:7" x14ac:dyDescent="0.2">
      <c r="A63" s="867" t="s">
        <v>461</v>
      </c>
      <c r="B63" s="867" t="s">
        <v>1883</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1884</v>
      </c>
      <c r="C64" s="894" t="str">
        <f>'Expenditures 15-22'!B206</f>
        <v>5300</v>
      </c>
      <c r="D64" s="890" t="s">
        <v>311</v>
      </c>
      <c r="E64" s="866"/>
      <c r="F64" s="1906">
        <f>'Expenditures 15-22'!K206</f>
        <v>0</v>
      </c>
      <c r="G64" s="863"/>
    </row>
    <row r="65" spans="1:8" x14ac:dyDescent="0.2">
      <c r="A65" s="867" t="s">
        <v>461</v>
      </c>
      <c r="B65" s="867" t="s">
        <v>1885</v>
      </c>
      <c r="C65" s="884" t="s">
        <v>982</v>
      </c>
      <c r="D65" s="883" t="s">
        <v>1095</v>
      </c>
      <c r="E65" s="866"/>
      <c r="F65" s="1906">
        <f>'Expenditures 15-22'!G210</f>
        <v>95267</v>
      </c>
      <c r="G65" s="863"/>
    </row>
    <row r="66" spans="1:8" x14ac:dyDescent="0.2">
      <c r="A66" s="867" t="s">
        <v>461</v>
      </c>
      <c r="B66" s="867" t="s">
        <v>1886</v>
      </c>
      <c r="C66" s="884" t="s">
        <v>982</v>
      </c>
      <c r="D66" s="883" t="s">
        <v>291</v>
      </c>
      <c r="E66" s="866"/>
      <c r="F66" s="1906">
        <f>'Expenditures 15-22'!I210</f>
        <v>0</v>
      </c>
      <c r="G66" s="863"/>
    </row>
    <row r="67" spans="1:8" x14ac:dyDescent="0.2">
      <c r="A67" s="867" t="s">
        <v>462</v>
      </c>
      <c r="B67" s="867" t="s">
        <v>1887</v>
      </c>
      <c r="C67" s="884" t="str">
        <f>'Expenditures 15-22'!B216</f>
        <v>1125</v>
      </c>
      <c r="D67" s="890" t="str">
        <f>'Expenditures 15-22'!A216</f>
        <v>Pre-K Programs</v>
      </c>
      <c r="E67" s="866"/>
      <c r="F67" s="1906">
        <f>'Expenditures 15-22'!K216</f>
        <v>11749</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1888</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1889</v>
      </c>
      <c r="C70" s="884">
        <f>'Expenditures 15-22'!B221</f>
        <v>1300</v>
      </c>
      <c r="D70" s="885" t="str">
        <f>'Expenditures 15-22'!A221</f>
        <v>Adult/Continuing Education Programs</v>
      </c>
      <c r="E70" s="866"/>
      <c r="F70" s="1906">
        <f>'Expenditures 15-22'!K221</f>
        <v>0</v>
      </c>
      <c r="G70" s="863"/>
    </row>
    <row r="71" spans="1:8" x14ac:dyDescent="0.2">
      <c r="A71" s="867" t="s">
        <v>462</v>
      </c>
      <c r="B71" s="867" t="s">
        <v>1890</v>
      </c>
      <c r="C71" s="884">
        <f>'Expenditures 15-22'!B224</f>
        <v>1600</v>
      </c>
      <c r="D71" s="885" t="str">
        <f>'Expenditures 15-22'!A224</f>
        <v>Summer School Programs</v>
      </c>
      <c r="E71" s="866"/>
      <c r="F71" s="1906">
        <f>'Expenditures 15-22'!K224</f>
        <v>0</v>
      </c>
      <c r="G71" s="863"/>
    </row>
    <row r="72" spans="1:8" x14ac:dyDescent="0.2">
      <c r="A72" s="867" t="s">
        <v>462</v>
      </c>
      <c r="B72" s="867" t="s">
        <v>1891</v>
      </c>
      <c r="C72" s="884">
        <f>'Expenditures 15-22'!B280</f>
        <v>3000</v>
      </c>
      <c r="D72" s="874" t="s">
        <v>449</v>
      </c>
      <c r="E72" s="866"/>
      <c r="F72" s="1906">
        <f>'Expenditures 15-22'!K280</f>
        <v>252</v>
      </c>
      <c r="G72" s="863"/>
    </row>
    <row r="73" spans="1:8" x14ac:dyDescent="0.2">
      <c r="A73" s="867" t="s">
        <v>462</v>
      </c>
      <c r="B73" s="867" t="s">
        <v>1892</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1893</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1894</v>
      </c>
      <c r="E76" s="1768" t="s">
        <v>958</v>
      </c>
      <c r="F76" s="1772">
        <f>SUM(F18:F74)</f>
        <v>3150710</v>
      </c>
      <c r="G76" s="863"/>
    </row>
    <row r="77" spans="1:8" s="891" customFormat="1" ht="12" customHeight="1" thickTop="1" thickBot="1" x14ac:dyDescent="0.25">
      <c r="A77" s="1773"/>
      <c r="B77" s="1770"/>
      <c r="C77" s="1766"/>
      <c r="D77" s="1771" t="s">
        <v>1895</v>
      </c>
      <c r="E77" s="1768"/>
      <c r="F77" s="1774">
        <f>(F14-F76)</f>
        <v>14547839</v>
      </c>
      <c r="G77" s="867"/>
    </row>
    <row r="78" spans="1:8" s="891" customFormat="1" ht="12" customHeight="1" thickTop="1" x14ac:dyDescent="0.2">
      <c r="A78" s="1775"/>
      <c r="B78" s="1770"/>
      <c r="C78" s="1766"/>
      <c r="D78" s="1771" t="s">
        <v>2056</v>
      </c>
      <c r="E78" s="1768"/>
      <c r="F78" s="896">
        <v>1242.3</v>
      </c>
      <c r="G78" s="897"/>
      <c r="H78" s="867"/>
    </row>
    <row r="79" spans="1:8" s="891" customFormat="1" ht="12" customHeight="1" thickBot="1" x14ac:dyDescent="0.25">
      <c r="A79" s="1776"/>
      <c r="B79" s="1770"/>
      <c r="C79" s="1766"/>
      <c r="D79" s="1771" t="s">
        <v>1896</v>
      </c>
      <c r="E79" s="1768" t="s">
        <v>958</v>
      </c>
      <c r="F79" s="1777">
        <f>IF(F78&gt;0,F77/F78," Complete Line 78")</f>
        <v>11710.407309023585</v>
      </c>
      <c r="G79" s="867"/>
    </row>
    <row r="80" spans="1:8" s="891" customFormat="1" ht="8.25" customHeight="1" thickTop="1" x14ac:dyDescent="0.2">
      <c r="A80" s="898"/>
      <c r="B80" s="867"/>
      <c r="C80" s="869"/>
      <c r="D80" s="899"/>
      <c r="E80" s="866"/>
      <c r="F80" s="900"/>
      <c r="G80" s="867"/>
    </row>
    <row r="81" spans="1:7" s="891" customFormat="1" ht="12" thickBot="1" x14ac:dyDescent="0.25">
      <c r="A81" s="2271" t="s">
        <v>1105</v>
      </c>
      <c r="B81" s="2272"/>
      <c r="C81" s="2272"/>
      <c r="D81" s="2272"/>
      <c r="E81" s="2272"/>
      <c r="F81" s="2273"/>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17573</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264472</v>
      </c>
      <c r="G94" s="910"/>
    </row>
    <row r="95" spans="1:7" x14ac:dyDescent="0.2">
      <c r="A95" s="906" t="s">
        <v>140</v>
      </c>
      <c r="B95" s="906" t="s">
        <v>175</v>
      </c>
      <c r="C95" s="908">
        <v>1700</v>
      </c>
      <c r="D95" s="916" t="str">
        <f>'Revenues 9-14'!A82</f>
        <v>Total District/School Activity Income</v>
      </c>
      <c r="E95" s="904"/>
      <c r="F95" s="1783">
        <f>SUM('Revenues 9-14'!C82,'Revenues 9-14'!D82)</f>
        <v>204401</v>
      </c>
      <c r="G95" s="910"/>
    </row>
    <row r="96" spans="1:7" x14ac:dyDescent="0.2">
      <c r="A96" s="906" t="s">
        <v>459</v>
      </c>
      <c r="B96" s="906" t="s">
        <v>176</v>
      </c>
      <c r="C96" s="908">
        <f>'Revenues 9-14'!B84</f>
        <v>1811</v>
      </c>
      <c r="D96" s="909" t="str">
        <f>'Revenues 9-14'!A84</f>
        <v>Rentals - Regular Textbooks</v>
      </c>
      <c r="E96" s="904"/>
      <c r="F96" s="1783">
        <f>'Revenues 9-14'!C84</f>
        <v>33303</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201525</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703743</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8638</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1997</v>
      </c>
      <c r="C105" s="911">
        <v>3100</v>
      </c>
      <c r="D105" s="917" t="str">
        <f>'Revenues 9-14'!A132</f>
        <v>Total Special Education</v>
      </c>
      <c r="E105" s="904"/>
      <c r="F105" s="1783">
        <f>SUM('Revenues 9-14'!C132:D132,'Revenues 9-14'!F132)</f>
        <v>241301</v>
      </c>
      <c r="G105" s="910"/>
    </row>
    <row r="106" spans="1:7" x14ac:dyDescent="0.2">
      <c r="A106" s="906" t="s">
        <v>673</v>
      </c>
      <c r="B106" s="906" t="s">
        <v>1998</v>
      </c>
      <c r="C106" s="918">
        <v>3200</v>
      </c>
      <c r="D106" s="909" t="str">
        <f>'Revenues 9-14'!A141</f>
        <v>Total Career and Technical Education</v>
      </c>
      <c r="E106" s="904"/>
      <c r="F106" s="1783">
        <f>SUM('Revenues 9-14'!C141,'Revenues 9-14'!D141,'Revenues 9-14'!G141)</f>
        <v>16373</v>
      </c>
      <c r="G106" s="910"/>
    </row>
    <row r="107" spans="1:7" x14ac:dyDescent="0.2">
      <c r="A107" s="919" t="s">
        <v>664</v>
      </c>
      <c r="B107" s="906" t="s">
        <v>1999</v>
      </c>
      <c r="C107" s="918">
        <v>3300</v>
      </c>
      <c r="D107" s="909" t="str">
        <f>'Revenues 9-14'!A145</f>
        <v>Total Bilingual Ed</v>
      </c>
      <c r="E107" s="904"/>
      <c r="F107" s="1783">
        <f>SUM('Revenues 9-14'!C145,'Revenues 9-14'!G145)</f>
        <v>0</v>
      </c>
      <c r="G107" s="910"/>
    </row>
    <row r="108" spans="1:7" x14ac:dyDescent="0.2">
      <c r="A108" s="906" t="s">
        <v>459</v>
      </c>
      <c r="B108" s="906" t="s">
        <v>2000</v>
      </c>
      <c r="C108" s="918">
        <f>'Revenues 9-14'!B146</f>
        <v>3360</v>
      </c>
      <c r="D108" s="909" t="str">
        <f>'Revenues 9-14'!A146</f>
        <v>State Free Lunch &amp; Breakfast</v>
      </c>
      <c r="E108" s="904"/>
      <c r="F108" s="1783">
        <f>'Revenues 9-14'!C146</f>
        <v>8817</v>
      </c>
      <c r="G108" s="910"/>
    </row>
    <row r="109" spans="1:7" x14ac:dyDescent="0.2">
      <c r="A109" s="906" t="s">
        <v>673</v>
      </c>
      <c r="B109" s="906" t="s">
        <v>2001</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3">
        <f>SUM('Revenues 9-14'!C148,'Revenues 9-14'!D148)</f>
        <v>19487</v>
      </c>
      <c r="G110" s="910"/>
    </row>
    <row r="111" spans="1:7" x14ac:dyDescent="0.2">
      <c r="A111" s="906" t="s">
        <v>668</v>
      </c>
      <c r="B111" s="906" t="s">
        <v>2003</v>
      </c>
      <c r="C111" s="920">
        <v>3500</v>
      </c>
      <c r="D111" s="909" t="str">
        <f>'Revenues 9-14'!A155</f>
        <v>Total Transportation</v>
      </c>
      <c r="E111" s="904"/>
      <c r="F111" s="1783">
        <f>SUM('Revenues 9-14'!C155,'Revenues 9-14'!D155,'Revenues 9-14'!F155,'Revenues 9-14'!G155)</f>
        <v>458660</v>
      </c>
      <c r="G111" s="910"/>
    </row>
    <row r="112" spans="1:7" x14ac:dyDescent="0.2">
      <c r="A112" s="906" t="s">
        <v>459</v>
      </c>
      <c r="B112" s="906" t="s">
        <v>2004</v>
      </c>
      <c r="C112" s="918">
        <f>'Revenues 9-14'!B156</f>
        <v>3610</v>
      </c>
      <c r="D112" s="909" t="str">
        <f>'Revenues 9-14'!A156</f>
        <v>Learning Improvement - Change Grants</v>
      </c>
      <c r="E112" s="904"/>
      <c r="F112" s="1783">
        <f>'Revenues 9-14'!C156</f>
        <v>0</v>
      </c>
      <c r="G112" s="910"/>
    </row>
    <row r="113" spans="1:7" x14ac:dyDescent="0.2">
      <c r="A113" s="906" t="s">
        <v>668</v>
      </c>
      <c r="B113" s="906" t="s">
        <v>2005</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2007</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2008</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2009</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2010</v>
      </c>
      <c r="C118" s="922">
        <f>'Revenues 9-14'!B163</f>
        <v>3780</v>
      </c>
      <c r="D118" s="923" t="str">
        <f>'Revenues 9-14'!A163</f>
        <v>Technology - Technology for Success</v>
      </c>
      <c r="E118" s="904"/>
      <c r="F118" s="1900">
        <f>SUM('Revenues 9-14'!C163:G163)</f>
        <v>0</v>
      </c>
      <c r="G118" s="910"/>
    </row>
    <row r="119" spans="1:7" x14ac:dyDescent="0.2">
      <c r="A119" s="921" t="s">
        <v>504</v>
      </c>
      <c r="B119" s="921" t="s">
        <v>2011</v>
      </c>
      <c r="C119" s="922">
        <f>'Revenues 9-14'!B164</f>
        <v>3815</v>
      </c>
      <c r="D119" s="923" t="str">
        <f>'Revenues 9-14'!A164</f>
        <v>State Charter Schools</v>
      </c>
      <c r="E119" s="904"/>
      <c r="F119" s="1900">
        <f>SUM('Revenues 9-14'!C164,'Revenues 9-14'!F164)</f>
        <v>0</v>
      </c>
      <c r="G119" s="910"/>
    </row>
    <row r="120" spans="1:7" x14ac:dyDescent="0.2">
      <c r="A120" s="925" t="s">
        <v>460</v>
      </c>
      <c r="B120" s="925" t="s">
        <v>2012</v>
      </c>
      <c r="C120" s="926">
        <f>'Revenues 9-14'!B167</f>
        <v>3925</v>
      </c>
      <c r="D120" s="927" t="str">
        <f>'Revenues 9-14'!A167</f>
        <v>School Infrastructure - Maintenance Projects</v>
      </c>
      <c r="E120" s="904"/>
      <c r="F120" s="1783">
        <f>'Revenues 9-14'!D167</f>
        <v>0</v>
      </c>
      <c r="G120" s="928"/>
    </row>
    <row r="121" spans="1:7" x14ac:dyDescent="0.2">
      <c r="A121" s="925" t="s">
        <v>500</v>
      </c>
      <c r="B121" s="925" t="s">
        <v>2013</v>
      </c>
      <c r="C121" s="926">
        <f>'Revenues 9-14'!B168</f>
        <v>3999</v>
      </c>
      <c r="D121" s="927" t="s">
        <v>543</v>
      </c>
      <c r="E121" s="929"/>
      <c r="F121" s="1783">
        <f>SUM('Revenues 9-14'!C168:G168,'Revenues 9-14'!J168)</f>
        <v>750</v>
      </c>
      <c r="G121" s="928"/>
    </row>
    <row r="122" spans="1:7" x14ac:dyDescent="0.2">
      <c r="A122" s="925" t="s">
        <v>459</v>
      </c>
      <c r="B122" s="925" t="s">
        <v>2014</v>
      </c>
      <c r="C122" s="930">
        <f>'Revenues 9-14'!B177</f>
        <v>4045</v>
      </c>
      <c r="D122" s="927" t="str">
        <f>'Revenues 9-14'!A177 &amp; " (Subtract)"</f>
        <v>Head Start (Subtract)</v>
      </c>
      <c r="E122" s="904"/>
      <c r="F122" s="1783">
        <f>SUM(-'Revenues 9-14'!C177)</f>
        <v>0</v>
      </c>
      <c r="G122" s="928"/>
    </row>
    <row r="123" spans="1:7" x14ac:dyDescent="0.2">
      <c r="A123" s="925" t="s">
        <v>668</v>
      </c>
      <c r="B123" s="925" t="s">
        <v>2015</v>
      </c>
      <c r="C123" s="930" t="s">
        <v>982</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668</v>
      </c>
      <c r="B124" s="925" t="s">
        <v>2016</v>
      </c>
      <c r="C124" s="930">
        <v>4100</v>
      </c>
      <c r="D124" s="931" t="str">
        <f>'Revenues 9-14'!A188</f>
        <v>Total Title V</v>
      </c>
      <c r="E124" s="904"/>
      <c r="F124" s="1783">
        <f>SUM('Revenues 9-14'!C188,'Revenues 9-14'!D188,'Revenues 9-14'!F188,'Revenues 9-14'!G188)</f>
        <v>27333</v>
      </c>
      <c r="G124" s="928"/>
    </row>
    <row r="125" spans="1:7" x14ac:dyDescent="0.2">
      <c r="A125" s="925" t="s">
        <v>664</v>
      </c>
      <c r="B125" s="925" t="s">
        <v>2017</v>
      </c>
      <c r="C125" s="930">
        <v>4200</v>
      </c>
      <c r="D125" s="927" t="str">
        <f>'Revenues 9-14'!A198</f>
        <v>Total Food Service</v>
      </c>
      <c r="E125" s="904"/>
      <c r="F125" s="1783">
        <f>SUM('Revenues 9-14'!C198,'Revenues 9-14'!G198)</f>
        <v>502509</v>
      </c>
      <c r="G125" s="928"/>
    </row>
    <row r="126" spans="1:7" x14ac:dyDescent="0.2">
      <c r="A126" s="925" t="s">
        <v>668</v>
      </c>
      <c r="B126" s="925" t="s">
        <v>2018</v>
      </c>
      <c r="C126" s="930">
        <v>4300</v>
      </c>
      <c r="D126" s="931" t="str">
        <f>'Revenues 9-14'!A204</f>
        <v>Total Title I</v>
      </c>
      <c r="E126" s="904"/>
      <c r="F126" s="1783">
        <f>SUM('Revenues 9-14'!C204,'Revenues 9-14'!D204,'Revenues 9-14'!F204,'Revenues 9-14'!G204)</f>
        <v>510911</v>
      </c>
      <c r="G126" s="928"/>
    </row>
    <row r="127" spans="1:7" x14ac:dyDescent="0.2">
      <c r="A127" s="925" t="s">
        <v>668</v>
      </c>
      <c r="B127" s="925" t="s">
        <v>2019</v>
      </c>
      <c r="C127" s="930">
        <v>4400</v>
      </c>
      <c r="D127" s="931" t="str">
        <f>'Revenues 9-14'!A209</f>
        <v>Total Title IV</v>
      </c>
      <c r="E127" s="904"/>
      <c r="F127" s="1783">
        <f>SUM('Revenues 9-14'!C209,'Revenues 9-14'!D209,'Revenues 9-14'!F209,'Revenues 9-14'!G209)</f>
        <v>14118</v>
      </c>
      <c r="G127" s="928"/>
    </row>
    <row r="128" spans="1:7" x14ac:dyDescent="0.2">
      <c r="A128" s="925" t="s">
        <v>668</v>
      </c>
      <c r="B128" s="925" t="s">
        <v>2020</v>
      </c>
      <c r="C128" s="930">
        <f>'Revenues 9-14'!B213</f>
        <v>4620</v>
      </c>
      <c r="D128" s="931" t="str">
        <f>'Revenues 9-14'!A213</f>
        <v>Fed - Spec Education - IDEA - Flow Through</v>
      </c>
      <c r="E128" s="904"/>
      <c r="F128" s="1783">
        <f>SUM('Revenues 9-14'!C213:D213,'Revenues 9-14'!F213:G213)</f>
        <v>265066</v>
      </c>
      <c r="G128" s="928"/>
    </row>
    <row r="129" spans="1:7" x14ac:dyDescent="0.2">
      <c r="A129" s="925" t="s">
        <v>668</v>
      </c>
      <c r="B129" s="925" t="s">
        <v>2021</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2022</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2023</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2024</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3">
        <v>0</v>
      </c>
      <c r="G138" s="903"/>
    </row>
    <row r="139" spans="1:7" s="865" customFormat="1" hidden="1" x14ac:dyDescent="0.2">
      <c r="A139" s="932" t="s">
        <v>206</v>
      </c>
      <c r="B139" s="932" t="s">
        <v>2030</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2033</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2038</v>
      </c>
      <c r="C157" s="938" t="s">
        <v>841</v>
      </c>
      <c r="D157" s="939" t="s">
        <v>777</v>
      </c>
      <c r="E157" s="940"/>
      <c r="F157" s="1783">
        <f>SUM(F133:F156)</f>
        <v>0</v>
      </c>
      <c r="G157" s="903"/>
    </row>
    <row r="158" spans="1:7" s="865" customFormat="1" x14ac:dyDescent="0.2">
      <c r="A158" s="936" t="s">
        <v>459</v>
      </c>
      <c r="B158" s="937" t="s">
        <v>2039</v>
      </c>
      <c r="C158" s="938" t="s">
        <v>1427</v>
      </c>
      <c r="D158" s="939" t="s">
        <v>1428</v>
      </c>
      <c r="E158" s="940"/>
      <c r="F158" s="1783">
        <f>SUM('Revenues 9-14'!C253)</f>
        <v>0</v>
      </c>
      <c r="G158" s="903"/>
    </row>
    <row r="159" spans="1:7" s="865" customFormat="1" x14ac:dyDescent="0.2">
      <c r="A159" s="936" t="s">
        <v>500</v>
      </c>
      <c r="B159" s="937" t="s">
        <v>2040</v>
      </c>
      <c r="C159" s="938" t="s">
        <v>1466</v>
      </c>
      <c r="D159" s="939" t="s">
        <v>1467</v>
      </c>
      <c r="E159" s="940"/>
      <c r="F159" s="1783">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2043</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2044</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2045</v>
      </c>
      <c r="C164" s="930">
        <f>'Revenues 9-14'!B259</f>
        <v>4932</v>
      </c>
      <c r="D164" s="931" t="str">
        <f>'Revenues 9-14'!A259</f>
        <v>Title II - Teacher Quality</v>
      </c>
      <c r="E164" s="904"/>
      <c r="F164" s="1900">
        <f>SUM('Revenues 9-14'!C259,'Revenues 9-14'!D259,'Revenues 9-14'!F259,'Revenues 9-14'!G259)</f>
        <v>65544</v>
      </c>
      <c r="G164" s="928"/>
    </row>
    <row r="165" spans="1:7" x14ac:dyDescent="0.2">
      <c r="A165" s="925" t="s">
        <v>668</v>
      </c>
      <c r="B165" s="925" t="s">
        <v>2046</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1991</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1992</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2047</v>
      </c>
      <c r="C168" s="930">
        <f>'Revenues 9-14'!B263</f>
        <v>4991</v>
      </c>
      <c r="D168" s="931" t="str">
        <f>'Revenues 9-14'!A263</f>
        <v>Medicaid Matching Funds - Administrative Outreach</v>
      </c>
      <c r="E168" s="904"/>
      <c r="F168" s="1783">
        <f>SUM('Revenues 9-14'!C263:D263,'Revenues 9-14'!F263:G263)</f>
        <v>24714</v>
      </c>
      <c r="G168" s="945">
        <v>6320</v>
      </c>
    </row>
    <row r="169" spans="1:7" x14ac:dyDescent="0.2">
      <c r="A169" s="925" t="s">
        <v>668</v>
      </c>
      <c r="B169" s="925" t="s">
        <v>2048</v>
      </c>
      <c r="C169" s="930">
        <f>'Revenues 9-14'!B264</f>
        <v>4992</v>
      </c>
      <c r="D169" s="931" t="str">
        <f>'Revenues 9-14'!A264</f>
        <v>Medicaid Matching Funds - Fee-for-Service Program</v>
      </c>
      <c r="E169" s="904"/>
      <c r="F169" s="1783">
        <f>SUM('Revenues 9-14'!C264:D264,'Revenues 9-14'!F264:G264)</f>
        <v>58328</v>
      </c>
      <c r="G169" s="945"/>
    </row>
    <row r="170" spans="1:7" x14ac:dyDescent="0.2">
      <c r="A170" s="946" t="s">
        <v>668</v>
      </c>
      <c r="B170" s="942" t="s">
        <v>2049</v>
      </c>
      <c r="C170" s="943">
        <f>'Revenues 9-14'!B265</f>
        <v>4999</v>
      </c>
      <c r="D170" s="944" t="str">
        <f>'Revenues 9-14'!A265</f>
        <v>Other Restricted Revenue from Federal Sources (Describe &amp; Itemize)</v>
      </c>
      <c r="E170" s="904"/>
      <c r="F170" s="1783">
        <f>SUM('Revenues 9-14'!C265:D265,'Revenues 9-14'!F265:G265)</f>
        <v>8309</v>
      </c>
      <c r="G170" s="925"/>
    </row>
    <row r="171" spans="1:7" x14ac:dyDescent="0.2">
      <c r="A171" s="1911" t="s">
        <v>5</v>
      </c>
      <c r="B171" s="1912" t="s">
        <v>1915</v>
      </c>
      <c r="C171" s="1913">
        <v>3100</v>
      </c>
      <c r="D171" s="1914" t="s">
        <v>1917</v>
      </c>
      <c r="E171" s="904"/>
      <c r="F171" s="1899">
        <v>482941</v>
      </c>
      <c r="G171" s="925"/>
    </row>
    <row r="172" spans="1:7" x14ac:dyDescent="0.2">
      <c r="A172" s="1911" t="s">
        <v>664</v>
      </c>
      <c r="B172" s="1912" t="s">
        <v>1915</v>
      </c>
      <c r="C172" s="1913">
        <v>3300</v>
      </c>
      <c r="D172" s="1914" t="s">
        <v>1918</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2050</v>
      </c>
      <c r="E174" s="1781" t="s">
        <v>958</v>
      </c>
      <c r="F174" s="1782">
        <f>SUM(F84:F132,F157:F172)</f>
        <v>4138816</v>
      </c>
    </row>
    <row r="175" spans="1:7" ht="12" customHeight="1" x14ac:dyDescent="0.2">
      <c r="A175" s="1764"/>
      <c r="B175" s="1778"/>
      <c r="C175" s="1779"/>
      <c r="D175" s="1780" t="s">
        <v>2051</v>
      </c>
      <c r="E175" s="1781"/>
      <c r="F175" s="1783">
        <f>'PCTC-OEPP 27-28'!F77-F174</f>
        <v>10409023</v>
      </c>
    </row>
    <row r="176" spans="1:7" ht="12" customHeight="1" x14ac:dyDescent="0.2">
      <c r="A176" s="1764"/>
      <c r="B176" s="1778"/>
      <c r="C176" s="1779"/>
      <c r="D176" s="1780" t="s">
        <v>1813</v>
      </c>
      <c r="E176" s="1781"/>
      <c r="F176" s="1783">
        <f>'Cap Outlay Deprec 26'!I18</f>
        <v>912970</v>
      </c>
    </row>
    <row r="177" spans="1:7" ht="12" customHeight="1" x14ac:dyDescent="0.2">
      <c r="A177" s="1764"/>
      <c r="B177" s="1778"/>
      <c r="C177" s="1779"/>
      <c r="D177" s="1780" t="s">
        <v>2052</v>
      </c>
      <c r="E177" s="1781"/>
      <c r="F177" s="1783">
        <f>F175+F176</f>
        <v>11321993</v>
      </c>
    </row>
    <row r="178" spans="1:7" ht="12" customHeight="1" x14ac:dyDescent="0.2">
      <c r="A178" s="1764"/>
      <c r="B178" s="1784"/>
      <c r="C178" s="1779"/>
      <c r="D178" s="1780" t="str">
        <f>D78</f>
        <v>9 Month ADA from District Average Daily Attendance/Prior General State Aid Inquiry 2018-2019</v>
      </c>
      <c r="E178" s="1781"/>
      <c r="F178" s="1785">
        <f>'PCTC-OEPP 27-28'!F78</f>
        <v>1242.3</v>
      </c>
      <c r="G178" s="928"/>
    </row>
    <row r="179" spans="1:7" ht="12" customHeight="1" thickBot="1" x14ac:dyDescent="0.25">
      <c r="A179" s="1764"/>
      <c r="B179" s="1784"/>
      <c r="C179" s="1779"/>
      <c r="D179" s="1780" t="s">
        <v>2053</v>
      </c>
      <c r="E179" s="1781" t="s">
        <v>1545</v>
      </c>
      <c r="F179" s="1786">
        <f>F177/F178</f>
        <v>9113.7350076471066</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5" customFormat="1" ht="12.2" customHeight="1" x14ac:dyDescent="0.2">
      <c r="A182" s="1915" t="s">
        <v>1988</v>
      </c>
      <c r="B182" s="1916"/>
      <c r="C182" s="1917"/>
      <c r="D182" s="1916"/>
      <c r="E182" s="1917"/>
      <c r="F182" s="1916"/>
      <c r="G182" s="1916"/>
    </row>
    <row r="183" spans="1:7" s="1915" customFormat="1" ht="12.2" customHeight="1" x14ac:dyDescent="0.2">
      <c r="A183" s="1918" t="s">
        <v>1990</v>
      </c>
      <c r="C183" s="1917"/>
      <c r="D183" s="1916"/>
      <c r="E183" s="1917"/>
      <c r="F183" s="1916"/>
      <c r="G183" s="1916"/>
    </row>
    <row r="184" spans="1:7" ht="12" customHeight="1" x14ac:dyDescent="0.2">
      <c r="C184" s="947"/>
      <c r="D184" s="928"/>
      <c r="E184" s="947"/>
      <c r="F184" s="928"/>
      <c r="G184" s="928"/>
    </row>
    <row r="185" spans="1:7" x14ac:dyDescent="0.2">
      <c r="A185" s="1919" t="s">
        <v>1920</v>
      </c>
      <c r="B185" s="1920"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9"/>
  <sheetViews>
    <sheetView showGridLines="0" topLeftCell="A14" zoomScaleNormal="100" workbookViewId="0">
      <selection activeCell="F22" sqref="F2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1828</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85" t="s">
        <v>1814</v>
      </c>
      <c r="B4" s="2286"/>
      <c r="C4" s="2286"/>
      <c r="D4" s="2286"/>
      <c r="E4" s="2286"/>
      <c r="F4" s="2286"/>
      <c r="G4" s="2287"/>
    </row>
    <row r="5" spans="1:7" x14ac:dyDescent="0.25">
      <c r="A5" s="2288"/>
      <c r="B5" s="2289"/>
      <c r="C5" s="2289"/>
      <c r="D5" s="2289"/>
      <c r="E5" s="2289"/>
      <c r="F5" s="2289"/>
      <c r="G5" s="2290"/>
    </row>
    <row r="6" spans="1:7" ht="18.75" x14ac:dyDescent="0.25">
      <c r="A6" s="1929" t="s">
        <v>2060</v>
      </c>
      <c r="B6" s="1930"/>
      <c r="C6" s="1930"/>
      <c r="D6" s="1930"/>
      <c r="E6" s="1930"/>
      <c r="F6" s="1930"/>
      <c r="G6" s="1931"/>
    </row>
    <row r="7" spans="1:7" ht="18.75" x14ac:dyDescent="0.25">
      <c r="A7" s="1532" t="s">
        <v>1815</v>
      </c>
      <c r="B7" s="1533"/>
      <c r="C7" s="1533"/>
      <c r="D7" s="1533"/>
      <c r="E7" s="1533"/>
      <c r="F7" s="1533"/>
      <c r="G7" s="1534"/>
    </row>
    <row r="8" spans="1:7" ht="30.75" customHeight="1" x14ac:dyDescent="0.25">
      <c r="A8" s="2291" t="s">
        <v>1927</v>
      </c>
      <c r="B8" s="2292"/>
      <c r="C8" s="2292"/>
      <c r="D8" s="2292"/>
      <c r="E8" s="2292"/>
      <c r="F8" s="2292"/>
      <c r="G8" s="2293"/>
    </row>
    <row r="9" spans="1:7" ht="15.75" customHeight="1" x14ac:dyDescent="0.25">
      <c r="A9" s="2294" t="s">
        <v>1902</v>
      </c>
      <c r="B9" s="2295"/>
      <c r="C9" s="2295"/>
      <c r="D9" s="2295"/>
      <c r="E9" s="2295"/>
      <c r="F9" s="2295"/>
      <c r="G9" s="2296"/>
    </row>
    <row r="10" spans="1:7" ht="35.25" customHeight="1" x14ac:dyDescent="0.25">
      <c r="A10" s="2291" t="s">
        <v>2059</v>
      </c>
      <c r="B10" s="2292"/>
      <c r="C10" s="2292"/>
      <c r="D10" s="2292"/>
      <c r="E10" s="2292"/>
      <c r="F10" s="2292"/>
      <c r="G10" s="2293"/>
    </row>
    <row r="11" spans="1:7" ht="15" customHeight="1" x14ac:dyDescent="0.25">
      <c r="A11" s="1535" t="s">
        <v>1816</v>
      </c>
      <c r="B11" s="1536"/>
      <c r="C11" s="1536"/>
      <c r="D11" s="1536"/>
      <c r="E11" s="1536"/>
      <c r="F11" s="1536"/>
      <c r="G11" s="1537"/>
    </row>
    <row r="12" spans="1:7" ht="17.25" customHeight="1" x14ac:dyDescent="0.25">
      <c r="A12" s="2291" t="s">
        <v>1929</v>
      </c>
      <c r="B12" s="2292"/>
      <c r="C12" s="2292"/>
      <c r="D12" s="2292"/>
      <c r="E12" s="2292"/>
      <c r="F12" s="2292"/>
      <c r="G12" s="2293"/>
    </row>
    <row r="13" spans="1:7" ht="15" customHeight="1" x14ac:dyDescent="0.25">
      <c r="A13" s="1535" t="s">
        <v>1821</v>
      </c>
      <c r="B13" s="1536"/>
      <c r="C13" s="1536"/>
      <c r="D13" s="1536"/>
      <c r="E13" s="1536"/>
      <c r="F13" s="1536"/>
      <c r="G13" s="1537"/>
    </row>
    <row r="14" spans="1:7" ht="32.25" customHeight="1" x14ac:dyDescent="0.25">
      <c r="A14" s="2282" t="s">
        <v>1970</v>
      </c>
      <c r="B14" s="2283"/>
      <c r="C14" s="2283"/>
      <c r="D14" s="2283"/>
      <c r="E14" s="2283"/>
      <c r="F14" s="2283"/>
      <c r="G14" s="2284"/>
    </row>
    <row r="15" spans="1:7" x14ac:dyDescent="0.25">
      <c r="A15" s="1657" t="s">
        <v>1829</v>
      </c>
      <c r="B15" s="1658"/>
      <c r="C15" s="1658"/>
      <c r="D15" s="1658"/>
      <c r="E15" s="1658"/>
      <c r="F15" s="1658"/>
      <c r="G15" s="1659"/>
    </row>
    <row r="16" spans="1:7" ht="61.5" customHeight="1" x14ac:dyDescent="0.25">
      <c r="A16" s="1544" t="s">
        <v>1822</v>
      </c>
      <c r="B16" s="1544" t="s">
        <v>1823</v>
      </c>
      <c r="C16" s="1544" t="s">
        <v>1824</v>
      </c>
      <c r="D16" s="1545" t="s">
        <v>1825</v>
      </c>
      <c r="E16" s="1545" t="s">
        <v>1817</v>
      </c>
      <c r="F16" s="1545" t="s">
        <v>1826</v>
      </c>
      <c r="G16" s="1545" t="s">
        <v>1827</v>
      </c>
    </row>
    <row r="17" spans="1:8" x14ac:dyDescent="0.25">
      <c r="A17" s="1646" t="s">
        <v>1830</v>
      </c>
      <c r="B17" s="1647" t="s">
        <v>1820</v>
      </c>
      <c r="C17" s="1648" t="s">
        <v>1818</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43" t="s">
        <v>2174</v>
      </c>
      <c r="B18" s="1944" t="s">
        <v>1820</v>
      </c>
      <c r="C18" s="1945" t="s">
        <v>2173</v>
      </c>
      <c r="D18" s="1837">
        <v>268224</v>
      </c>
      <c r="E18" s="1538">
        <f t="shared" ref="E18:E29" si="0">IF(D18&lt;=25000,D18,IF(D18&gt;25000,25000,0))</f>
        <v>25000</v>
      </c>
      <c r="F18" s="1928">
        <f t="shared" ref="F18:F2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243224</v>
      </c>
      <c r="H18" s="1645"/>
    </row>
    <row r="19" spans="1:8" x14ac:dyDescent="0.25">
      <c r="A19" s="1943" t="s">
        <v>2174</v>
      </c>
      <c r="B19" s="1944" t="s">
        <v>1820</v>
      </c>
      <c r="C19" s="1946" t="s">
        <v>2177</v>
      </c>
      <c r="D19" s="1837">
        <v>95736</v>
      </c>
      <c r="E19" s="1538">
        <f t="shared" ref="E19:E28" si="2">IF(D19&lt;=25000,D19,IF(D19&gt;25000,25000,0))</f>
        <v>25000</v>
      </c>
      <c r="F19" s="1928">
        <f t="shared" si="1"/>
        <v>25000</v>
      </c>
      <c r="G19" s="1787">
        <f t="shared" ref="G19:G28" si="3">IF(F19=0,0,D19-F19)</f>
        <v>70736</v>
      </c>
    </row>
    <row r="20" spans="1:8" x14ac:dyDescent="0.25">
      <c r="A20" s="1943" t="s">
        <v>2176</v>
      </c>
      <c r="B20" s="1944" t="s">
        <v>2175</v>
      </c>
      <c r="C20" s="1945" t="s">
        <v>2178</v>
      </c>
      <c r="D20" s="1837">
        <v>114721</v>
      </c>
      <c r="E20" s="1538">
        <f t="shared" si="2"/>
        <v>25000</v>
      </c>
      <c r="F20" s="1928">
        <f t="shared" si="1"/>
        <v>25000</v>
      </c>
      <c r="G20" s="1787">
        <f t="shared" si="3"/>
        <v>89721</v>
      </c>
    </row>
    <row r="21" spans="1:8" x14ac:dyDescent="0.25">
      <c r="A21" s="1943" t="s">
        <v>2176</v>
      </c>
      <c r="B21" s="1944" t="s">
        <v>2175</v>
      </c>
      <c r="C21" s="1945" t="s">
        <v>2179</v>
      </c>
      <c r="D21" s="1837">
        <v>203240</v>
      </c>
      <c r="E21" s="1538">
        <f t="shared" si="2"/>
        <v>25000</v>
      </c>
      <c r="F21" s="1928">
        <f t="shared" si="1"/>
        <v>25000</v>
      </c>
      <c r="G21" s="1787">
        <f t="shared" si="3"/>
        <v>178240</v>
      </c>
    </row>
    <row r="22" spans="1:8" x14ac:dyDescent="0.25">
      <c r="A22" s="1943" t="s">
        <v>2180</v>
      </c>
      <c r="B22" s="1944" t="s">
        <v>2181</v>
      </c>
      <c r="C22" s="1945" t="s">
        <v>2182</v>
      </c>
      <c r="D22" s="1837">
        <v>30077</v>
      </c>
      <c r="E22" s="1538">
        <f t="shared" si="2"/>
        <v>25000</v>
      </c>
      <c r="F22" s="1928">
        <f t="shared" si="1"/>
        <v>25000</v>
      </c>
      <c r="G22" s="1787">
        <f t="shared" si="3"/>
        <v>5077</v>
      </c>
    </row>
    <row r="23" spans="1:8" x14ac:dyDescent="0.25">
      <c r="A23" s="1943" t="s">
        <v>2183</v>
      </c>
      <c r="B23" s="1944" t="s">
        <v>2184</v>
      </c>
      <c r="C23" s="1945" t="s">
        <v>2185</v>
      </c>
      <c r="D23" s="1837">
        <v>63006</v>
      </c>
      <c r="E23" s="1538">
        <f t="shared" si="2"/>
        <v>25000</v>
      </c>
      <c r="F23" s="1928">
        <f t="shared" si="1"/>
        <v>25000</v>
      </c>
      <c r="G23" s="1787">
        <f t="shared" si="3"/>
        <v>38006</v>
      </c>
    </row>
    <row r="24" spans="1:8" x14ac:dyDescent="0.25">
      <c r="A24" s="1943" t="s">
        <v>2174</v>
      </c>
      <c r="B24" s="1944" t="s">
        <v>1820</v>
      </c>
      <c r="C24" s="1945" t="s">
        <v>2186</v>
      </c>
      <c r="D24" s="1837">
        <v>57356</v>
      </c>
      <c r="E24" s="1538">
        <f t="shared" si="2"/>
        <v>25000</v>
      </c>
      <c r="F24" s="1928">
        <f t="shared" si="1"/>
        <v>25000</v>
      </c>
      <c r="G24" s="1787">
        <f t="shared" si="3"/>
        <v>32356</v>
      </c>
    </row>
    <row r="25" spans="1:8" x14ac:dyDescent="0.25">
      <c r="A25" s="1943" t="s">
        <v>2180</v>
      </c>
      <c r="B25" s="1944" t="s">
        <v>2181</v>
      </c>
      <c r="C25" s="1945" t="s">
        <v>2187</v>
      </c>
      <c r="D25" s="1837">
        <v>42830</v>
      </c>
      <c r="E25" s="1538">
        <f t="shared" si="2"/>
        <v>25000</v>
      </c>
      <c r="F25" s="1928">
        <f t="shared" si="1"/>
        <v>25000</v>
      </c>
      <c r="G25" s="1787">
        <f t="shared" si="3"/>
        <v>17830</v>
      </c>
    </row>
    <row r="26" spans="1:8" x14ac:dyDescent="0.25">
      <c r="A26" s="1943" t="s">
        <v>2180</v>
      </c>
      <c r="B26" s="1944" t="s">
        <v>2181</v>
      </c>
      <c r="C26" s="1945" t="s">
        <v>2188</v>
      </c>
      <c r="D26" s="1837">
        <v>31630</v>
      </c>
      <c r="E26" s="1538">
        <f t="shared" si="2"/>
        <v>25000</v>
      </c>
      <c r="F26" s="1928">
        <f t="shared" si="1"/>
        <v>25000</v>
      </c>
      <c r="G26" s="1787">
        <f t="shared" si="3"/>
        <v>6630</v>
      </c>
    </row>
    <row r="27" spans="1:8" x14ac:dyDescent="0.25">
      <c r="A27" s="1651"/>
      <c r="B27" s="1926"/>
      <c r="C27" s="1652"/>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790" t="s">
        <v>156</v>
      </c>
      <c r="B29" s="1791"/>
      <c r="C29" s="1792"/>
      <c r="D29" s="1788">
        <f>SUM(D18:D28)</f>
        <v>906820</v>
      </c>
      <c r="E29" s="1539">
        <f t="shared" si="0"/>
        <v>25000</v>
      </c>
      <c r="F29" s="1925">
        <f>SUM(F18:F28)</f>
        <v>225000</v>
      </c>
      <c r="G29" s="1789">
        <f>SUM(G18:G28)</f>
        <v>681820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23" sqref="C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7" t="s">
        <v>1679</v>
      </c>
      <c r="B5" s="2298"/>
      <c r="C5" s="2298"/>
      <c r="D5" s="2298"/>
      <c r="E5" s="2298"/>
      <c r="F5" s="2298"/>
      <c r="G5" s="2299"/>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456314</v>
      </c>
      <c r="F10" s="972"/>
      <c r="G10" s="973"/>
      <c r="H10" s="162"/>
      <c r="I10" s="162"/>
    </row>
    <row r="11" spans="1:9" s="666" customFormat="1" ht="22.5" customHeight="1" x14ac:dyDescent="0.2">
      <c r="A11" s="2302" t="s">
        <v>1971</v>
      </c>
      <c r="B11" s="2303"/>
      <c r="C11" s="2303"/>
      <c r="D11" s="2304"/>
      <c r="E11" s="975">
        <v>61082</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8817375</v>
      </c>
      <c r="F19" s="1793"/>
      <c r="G19" s="1795">
        <f>'Expenditures 15-22'!K33-SUM('Expenditures 15-22'!G33,'Expenditures 15-22'!I33)+'Expenditures 15-22'!D229</f>
        <v>8817375</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553220</v>
      </c>
      <c r="F21" s="1796"/>
      <c r="G21" s="1799">
        <f>'Expenditures 15-22'!K42-SUM('Expenditures 15-22'!G42,'Expenditures 15-22'!I42)+'Expenditures 15-22'!K120-SUM('Expenditures 15-22'!G120,'Expenditures 15-22'!I120)+'Expenditures 15-22'!K180-SUM('Expenditures 15-22'!G180,'Expenditures 15-22'!I180)+'Expenditures 15-22'!D238</f>
        <v>553220</v>
      </c>
      <c r="H21" s="985"/>
      <c r="I21" s="162"/>
    </row>
    <row r="22" spans="1:9" s="666" customFormat="1" ht="12" customHeight="1" x14ac:dyDescent="0.2">
      <c r="A22" s="992" t="s">
        <v>564</v>
      </c>
      <c r="B22" s="993"/>
      <c r="C22" s="991">
        <v>2200</v>
      </c>
      <c r="D22" s="1796"/>
      <c r="E22" s="1798">
        <f>'Expenditures 15-22'!K47-SUM('Expenditures 15-22'!G47,'Expenditures 15-22'!I47)+'Expenditures 15-22'!D243</f>
        <v>467795</v>
      </c>
      <c r="F22" s="1796"/>
      <c r="G22" s="1799">
        <f>'Expenditures 15-22'!K47-SUM('Expenditures 15-22'!G47,'Expenditures 15-22'!I47)+'Expenditures 15-22'!D243</f>
        <v>467795</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1345567</v>
      </c>
      <c r="F23" s="1796"/>
      <c r="G23" s="1798">
        <f>'Expenditures 15-22'!K53-SUM('Expenditures 15-22'!G53,'Expenditures 15-22'!I53)+'Expenditures 15-22'!D257+'Expenditures 15-22'!K330-SUM('Expenditures 15-22'!G330,'Expenditures 15-22'!I330)</f>
        <v>1345567</v>
      </c>
      <c r="H23" s="985"/>
      <c r="I23" s="162"/>
    </row>
    <row r="24" spans="1:9" s="666" customFormat="1" ht="12" customHeight="1" x14ac:dyDescent="0.2">
      <c r="A24" s="992" t="s">
        <v>566</v>
      </c>
      <c r="B24" s="993"/>
      <c r="C24" s="991">
        <v>2400</v>
      </c>
      <c r="D24" s="1796"/>
      <c r="E24" s="1798">
        <f>'Expenditures 15-22'!K57-SUM('Expenditures 15-22'!G57,'Expenditures 15-22'!I57)+'Expenditures 15-22'!D261</f>
        <v>702169</v>
      </c>
      <c r="F24" s="1796"/>
      <c r="G24" s="1799">
        <f>'Expenditures 15-22'!K57-SUM('Expenditures 15-22'!G57,'Expenditures 15-22'!I57)+'Expenditures 15-22'!D261</f>
        <v>702169</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174352</v>
      </c>
      <c r="E27" s="1798">
        <f>E8</f>
        <v>0</v>
      </c>
      <c r="F27" s="1798">
        <f>'Expenditures 15-22'!K60-SUM('Expenditures 15-22'!G60,'Expenditures 15-22'!I60)+'Expenditures 15-22'!D264-E8</f>
        <v>174352</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1286844</v>
      </c>
      <c r="F28" s="1800">
        <f>'Expenditures 15-22'!K61-SUM('Expenditures 15-22'!G61,'Expenditures 15-22'!I61)+'Expenditures 15-22'!K124-SUM('Expenditures 15-22'!G124,'Expenditures 15-22'!I124)+'Expenditures 15-22'!D266-E9</f>
        <v>1286844</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701423</v>
      </c>
      <c r="F29" s="1796"/>
      <c r="G29" s="1799">
        <f>'Expenditures 15-22'!K62-SUM('Expenditures 15-22'!G62,'Expenditures 15-22'!I62)+'Expenditures 15-22'!K125-SUM('Expenditures 15-22'!G125,'Expenditures 15-22'!I125)+'Expenditures 15-22'!K182-SUM('Expenditures 15-22'!G182,'Expenditures 15-22'!I182)+'Expenditures 15-22'!D267</f>
        <v>701423</v>
      </c>
      <c r="H29" s="983"/>
    </row>
    <row r="30" spans="1:9" ht="12" customHeight="1" x14ac:dyDescent="0.2">
      <c r="A30" s="992" t="s">
        <v>100</v>
      </c>
      <c r="B30" s="995"/>
      <c r="C30" s="991">
        <v>2560</v>
      </c>
      <c r="D30" s="1796"/>
      <c r="E30" s="1798">
        <f>'Expenditures 15-22'!K63-SUM('Expenditures 15-22'!G63,'Expenditures 15-22'!I63)+'Expenditures 15-22'!D268-E10</f>
        <v>285467</v>
      </c>
      <c r="F30" s="1796"/>
      <c r="G30" s="1798">
        <f>'Expenditures 15-22'!K63-SUM('Expenditures 15-22'!G63,'Expenditures 15-22'!I63)+'Expenditures 15-22'!D268-E10</f>
        <v>285467</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26855</v>
      </c>
      <c r="E37" s="1798">
        <f>E14</f>
        <v>0</v>
      </c>
      <c r="F37" s="1798">
        <f>'Expenditures 15-22'!K71-SUM('Expenditures 15-22'!G71,'Expenditures 15-22'!I71)+'Expenditures 15-22'!D276-E14</f>
        <v>26855</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26038</v>
      </c>
      <c r="F39" s="1796"/>
      <c r="G39" s="1798">
        <f>'Expenditures 15-22'!K75-SUM('Expenditures 15-22'!G75,'Expenditures 15-22'!I75)+'Expenditures 15-22'!K130-SUM('Expenditures 15-22'!G130,'Expenditures 15-22'!I130)+'Expenditures 15-22'!K185-SUM('Expenditures 15-22'!G185,'Expenditures 15-22'!I185)+'Expenditures 15-22'!D280</f>
        <v>26038</v>
      </c>
    </row>
    <row r="40" spans="1:7" ht="12" customHeight="1" x14ac:dyDescent="0.2">
      <c r="A40" s="988" t="s">
        <v>1819</v>
      </c>
      <c r="B40" s="989"/>
      <c r="C40" s="991"/>
      <c r="D40" s="1796"/>
      <c r="E40" s="1800">
        <f>-'Contracts Paid in CY 29'!G29</f>
        <v>-681820</v>
      </c>
      <c r="F40" s="1796"/>
      <c r="G40" s="1800">
        <f>-'Contracts Paid in CY 29'!G29</f>
        <v>-681820</v>
      </c>
    </row>
    <row r="41" spans="1:7" ht="12" customHeight="1" x14ac:dyDescent="0.2">
      <c r="A41" s="996" t="s">
        <v>156</v>
      </c>
      <c r="B41" s="997"/>
      <c r="C41" s="998"/>
      <c r="D41" s="1800">
        <f>SUM(D19:D39)</f>
        <v>201207</v>
      </c>
      <c r="E41" s="1800">
        <f>SUM(E19:E40)</f>
        <v>13504078</v>
      </c>
      <c r="F41" s="1800">
        <f>SUM(F19:F39)</f>
        <v>1488051</v>
      </c>
      <c r="G41" s="1800">
        <f>SUM(G19:G40)</f>
        <v>12217234</v>
      </c>
    </row>
    <row r="42" spans="1:7" x14ac:dyDescent="0.2">
      <c r="A42" s="985"/>
      <c r="B42" s="162"/>
      <c r="C42" s="999"/>
      <c r="D42" s="2300" t="s">
        <v>522</v>
      </c>
      <c r="E42" s="2301"/>
      <c r="F42" s="1000" t="s">
        <v>523</v>
      </c>
      <c r="G42" s="1001"/>
    </row>
    <row r="43" spans="1:7" ht="12" customHeight="1" x14ac:dyDescent="0.2">
      <c r="A43" s="985"/>
      <c r="B43" s="162"/>
      <c r="C43" s="999"/>
      <c r="D43" s="1801" t="s">
        <v>473</v>
      </c>
      <c r="E43" s="1802">
        <f>D41</f>
        <v>201207</v>
      </c>
      <c r="F43" s="1801" t="s">
        <v>473</v>
      </c>
      <c r="G43" s="1802">
        <f>F41</f>
        <v>1488051</v>
      </c>
    </row>
    <row r="44" spans="1:7" ht="12" customHeight="1" x14ac:dyDescent="0.2">
      <c r="A44" s="985"/>
      <c r="B44" s="162"/>
      <c r="C44" s="999"/>
      <c r="D44" s="1801" t="s">
        <v>474</v>
      </c>
      <c r="E44" s="1802">
        <f>E41</f>
        <v>13504078</v>
      </c>
      <c r="F44" s="1801" t="s">
        <v>474</v>
      </c>
      <c r="G44" s="1802">
        <f>G41</f>
        <v>12217234</v>
      </c>
    </row>
    <row r="45" spans="1:7" ht="12" customHeight="1" x14ac:dyDescent="0.2">
      <c r="A45" s="985"/>
      <c r="B45" s="162"/>
      <c r="C45" s="162"/>
      <c r="D45" s="1803" t="s">
        <v>1006</v>
      </c>
      <c r="E45" s="1804">
        <f>(E43/E44)</f>
        <v>1.4899721402675547E-2</v>
      </c>
      <c r="F45" s="1803" t="s">
        <v>1006</v>
      </c>
      <c r="G45" s="1804">
        <f>(G43/G44)</f>
        <v>0.12179933690391787</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zoomScaleSheetLayoutView="100" workbookViewId="0">
      <pane ySplit="4" topLeftCell="A5" activePane="bottomLeft" state="frozen"/>
      <selection activeCell="A47" sqref="A47"/>
      <selection pane="bottomLeft" activeCell="J17" sqref="J17"/>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7109375" style="1871" bestFit="1" customWidth="1"/>
    <col min="9" max="10" width="4" style="1871" bestFit="1" customWidth="1"/>
    <col min="11" max="11" width="9" style="1871" customWidth="1"/>
    <col min="12" max="16384" width="9.140625" style="1840"/>
  </cols>
  <sheetData>
    <row r="1" spans="1:10" x14ac:dyDescent="0.2">
      <c r="A1" s="2319" t="s">
        <v>1379</v>
      </c>
      <c r="B1" s="2319"/>
      <c r="C1" s="2319"/>
      <c r="D1" s="2319"/>
      <c r="E1" s="2319"/>
      <c r="F1" s="2319"/>
    </row>
    <row r="2" spans="1:10" x14ac:dyDescent="0.2">
      <c r="A2" s="1880" t="s">
        <v>1907</v>
      </c>
      <c r="B2" s="1841"/>
      <c r="C2" s="1880"/>
      <c r="D2" s="1841"/>
      <c r="E2" s="1841"/>
      <c r="F2" s="1842"/>
    </row>
    <row r="3" spans="1:10" x14ac:dyDescent="0.2">
      <c r="A3" s="1880" t="s">
        <v>1972</v>
      </c>
      <c r="B3" s="1841"/>
      <c r="C3" s="1880"/>
      <c r="D3" s="1841"/>
      <c r="E3" s="1841"/>
      <c r="F3" s="1842"/>
    </row>
    <row r="4" spans="1:10" ht="3.75" customHeight="1" x14ac:dyDescent="0.2">
      <c r="A4" s="1841"/>
      <c r="B4" s="1841"/>
      <c r="C4" s="1841"/>
      <c r="D4" s="1841"/>
      <c r="E4" s="1841"/>
      <c r="F4" s="1842"/>
    </row>
    <row r="5" spans="1:10" ht="15" x14ac:dyDescent="0.25">
      <c r="A5" s="2320" t="s">
        <v>1546</v>
      </c>
      <c r="B5" s="2321"/>
      <c r="C5" s="2322"/>
      <c r="D5" s="2322"/>
      <c r="E5" s="2322"/>
      <c r="F5" s="2322"/>
    </row>
    <row r="6" spans="1:10" ht="12" customHeight="1" x14ac:dyDescent="0.25">
      <c r="A6" s="1843"/>
      <c r="B6" s="1844"/>
      <c r="C6" s="2323" t="str">
        <f>COVER!A17</f>
        <v>Vandalia CUSD 203</v>
      </c>
      <c r="D6" s="2323"/>
      <c r="E6" s="2323"/>
      <c r="F6" s="1845"/>
    </row>
    <row r="7" spans="1:10" ht="11.25" customHeight="1" thickBot="1" x14ac:dyDescent="0.3">
      <c r="A7" s="1843"/>
      <c r="B7" s="1844"/>
      <c r="C7" s="2324">
        <f>COVER!A13</f>
        <v>3026203026</v>
      </c>
      <c r="D7" s="2324"/>
      <c r="E7" s="2324"/>
      <c r="F7" s="1845"/>
    </row>
    <row r="8" spans="1:10" ht="25.5" customHeight="1" thickBot="1" x14ac:dyDescent="0.25">
      <c r="A8" s="1886" t="s">
        <v>1903</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t="s">
        <v>2061</v>
      </c>
      <c r="D13" s="1858" t="s">
        <v>2061</v>
      </c>
      <c r="E13" s="1861" t="s">
        <v>2061</v>
      </c>
      <c r="F13" s="1860" t="s">
        <v>2090</v>
      </c>
      <c r="H13" s="1871">
        <f t="shared" si="0"/>
        <v>5</v>
      </c>
      <c r="I13" s="1871">
        <f t="shared" si="1"/>
        <v>5</v>
      </c>
      <c r="J13" s="1871">
        <f t="shared" si="2"/>
        <v>5</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t="s">
        <v>2061</v>
      </c>
      <c r="D24" s="1858"/>
      <c r="E24" s="1861"/>
      <c r="F24" s="1860" t="s">
        <v>2091</v>
      </c>
      <c r="H24" s="1871">
        <f t="shared" si="0"/>
        <v>5</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2061</v>
      </c>
      <c r="D26" s="1858" t="s">
        <v>2061</v>
      </c>
      <c r="E26" s="1861" t="s">
        <v>2061</v>
      </c>
      <c r="F26" s="1860" t="s">
        <v>2092</v>
      </c>
      <c r="H26" s="1871">
        <f t="shared" si="0"/>
        <v>5</v>
      </c>
      <c r="I26" s="1871">
        <f t="shared" si="1"/>
        <v>5</v>
      </c>
      <c r="J26" s="1871">
        <f t="shared" si="2"/>
        <v>5</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t="s">
        <v>2061</v>
      </c>
      <c r="D30" s="1858" t="s">
        <v>2061</v>
      </c>
      <c r="E30" s="1861" t="s">
        <v>2061</v>
      </c>
      <c r="F30" s="1860" t="s">
        <v>2093</v>
      </c>
      <c r="H30" s="1871">
        <f t="shared" si="0"/>
        <v>5</v>
      </c>
      <c r="I30" s="1871">
        <f t="shared" si="1"/>
        <v>5</v>
      </c>
      <c r="J30" s="1871">
        <f t="shared" si="2"/>
        <v>5</v>
      </c>
    </row>
    <row r="31" spans="1:12" ht="12" customHeight="1" x14ac:dyDescent="0.2">
      <c r="A31" s="1856" t="s">
        <v>1539</v>
      </c>
      <c r="B31" s="1857"/>
      <c r="C31" s="1858" t="s">
        <v>2061</v>
      </c>
      <c r="D31" s="1858" t="s">
        <v>2061</v>
      </c>
      <c r="E31" s="1861" t="s">
        <v>2061</v>
      </c>
      <c r="F31" s="1860" t="s">
        <v>2094</v>
      </c>
      <c r="H31" s="1871">
        <f t="shared" si="0"/>
        <v>5</v>
      </c>
      <c r="I31" s="1871">
        <f t="shared" si="1"/>
        <v>5</v>
      </c>
      <c r="J31" s="1871">
        <f t="shared" si="2"/>
        <v>5</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25</v>
      </c>
      <c r="I34" s="1871">
        <f>SUM(I11:I32)</f>
        <v>20</v>
      </c>
      <c r="J34" s="1871">
        <f>SUM(J11:J32)</f>
        <v>20</v>
      </c>
      <c r="K34" s="1871">
        <f>SUM(H34:J34)</f>
        <v>65</v>
      </c>
    </row>
    <row r="35" spans="1:11" ht="12" customHeight="1" x14ac:dyDescent="0.2">
      <c r="A35" s="1864" t="s">
        <v>1392</v>
      </c>
      <c r="B35" s="1865"/>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66"/>
      <c r="B39" s="1866"/>
      <c r="C39" s="1866"/>
      <c r="D39" s="1866"/>
      <c r="E39" s="1866"/>
      <c r="F39" s="1866"/>
    </row>
    <row r="40" spans="1:11" s="1863" customFormat="1" ht="12" customHeight="1" x14ac:dyDescent="0.25">
      <c r="A40" s="1867" t="s">
        <v>1391</v>
      </c>
      <c r="B40" s="1868"/>
      <c r="C40" s="2314"/>
      <c r="D40" s="2314"/>
      <c r="E40" s="2314"/>
      <c r="F40" s="2315"/>
      <c r="H40" s="1872"/>
      <c r="I40" s="1872"/>
      <c r="J40" s="1872"/>
      <c r="K40" s="1872"/>
    </row>
    <row r="41" spans="1:11" s="1863" customFormat="1" ht="12" customHeight="1" x14ac:dyDescent="0.25">
      <c r="A41" s="2316"/>
      <c r="B41" s="2317"/>
      <c r="C41" s="2317"/>
      <c r="D41" s="2317"/>
      <c r="E41" s="2317"/>
      <c r="F41" s="2318"/>
      <c r="H41" s="1872"/>
      <c r="I41" s="1872"/>
      <c r="J41" s="1872"/>
      <c r="K41" s="1872"/>
    </row>
    <row r="42" spans="1:11" s="1863" customFormat="1" ht="12" customHeight="1" x14ac:dyDescent="0.25">
      <c r="A42" s="2316"/>
      <c r="B42" s="2317"/>
      <c r="C42" s="2317"/>
      <c r="D42" s="2317"/>
      <c r="E42" s="2317"/>
      <c r="F42" s="2318"/>
      <c r="H42" s="1872"/>
      <c r="I42" s="1872"/>
      <c r="J42" s="1872"/>
      <c r="K42" s="1872"/>
    </row>
    <row r="43" spans="1:11" s="1863" customFormat="1" ht="15" x14ac:dyDescent="0.25">
      <c r="A43" s="2305"/>
      <c r="B43" s="2306"/>
      <c r="C43" s="2306"/>
      <c r="D43" s="2306"/>
      <c r="E43" s="2306"/>
      <c r="F43" s="2307"/>
      <c r="H43" s="1872"/>
      <c r="I43" s="1872"/>
      <c r="J43" s="1872"/>
      <c r="K43" s="1872"/>
    </row>
    <row r="44" spans="1:11" s="1863" customFormat="1" ht="12" hidden="1" customHeight="1" x14ac:dyDescent="0.25">
      <c r="A44" s="2305"/>
      <c r="B44" s="2306"/>
      <c r="C44" s="2306"/>
      <c r="D44" s="2306"/>
      <c r="E44" s="2306"/>
      <c r="F44" s="2307"/>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&amp;C&amp;8Reference should be made to the auditor's report regarding this information.
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32" t="str">
        <f>COVER!A17</f>
        <v>Vandalia CUSD 203</v>
      </c>
      <c r="J6" s="2333"/>
      <c r="Q6" s="1660"/>
    </row>
    <row r="7" spans="1:17" x14ac:dyDescent="0.2">
      <c r="A7" s="2334" t="s">
        <v>869</v>
      </c>
      <c r="B7" s="2335"/>
      <c r="C7" s="2335"/>
      <c r="D7" s="2335"/>
      <c r="E7" s="2336"/>
      <c r="F7" s="1015"/>
      <c r="G7" s="1007"/>
      <c r="H7" s="1014" t="s">
        <v>372</v>
      </c>
      <c r="I7" s="2337">
        <f>COVER!A13</f>
        <v>3026203026</v>
      </c>
      <c r="J7" s="2337"/>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1973</v>
      </c>
      <c r="F9" s="1021"/>
      <c r="G9" s="1021"/>
      <c r="H9" s="1889" t="s">
        <v>1974</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8" t="s">
        <v>481</v>
      </c>
      <c r="B11" s="2339"/>
      <c r="C11" s="2340"/>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192229</v>
      </c>
      <c r="F12" s="1037"/>
      <c r="G12" s="1805">
        <f t="shared" ref="G12:G18" si="0">SUM(E12:F12)</f>
        <v>192229</v>
      </c>
      <c r="H12" s="1038">
        <v>189525</v>
      </c>
      <c r="I12" s="1037"/>
      <c r="J12" s="1805">
        <f t="shared" ref="J12:J18" si="1">SUM(H12:I12)</f>
        <v>189525</v>
      </c>
    </row>
    <row r="13" spans="1:17" ht="15" customHeight="1" x14ac:dyDescent="0.2">
      <c r="A13" s="1033">
        <v>2</v>
      </c>
      <c r="B13" s="1034" t="s">
        <v>42</v>
      </c>
      <c r="C13" s="1035"/>
      <c r="D13" s="1036">
        <v>2330</v>
      </c>
      <c r="E13" s="1805">
        <f>'Expenditures 15-22'!K51</f>
        <v>83929</v>
      </c>
      <c r="F13" s="1037"/>
      <c r="G13" s="1805">
        <f t="shared" si="0"/>
        <v>83929</v>
      </c>
      <c r="H13" s="1038">
        <v>89327</v>
      </c>
      <c r="I13" s="1037"/>
      <c r="J13" s="1805">
        <f t="shared" si="1"/>
        <v>89327</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41" t="s">
        <v>7</v>
      </c>
      <c r="C18" s="2342"/>
      <c r="D18" s="2343"/>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276158</v>
      </c>
      <c r="F19" s="1807">
        <f t="shared" si="2"/>
        <v>0</v>
      </c>
      <c r="G19" s="1807">
        <f t="shared" si="2"/>
        <v>276158</v>
      </c>
      <c r="H19" s="1807">
        <f t="shared" si="2"/>
        <v>278852</v>
      </c>
      <c r="I19" s="1807">
        <f t="shared" si="2"/>
        <v>0</v>
      </c>
      <c r="J19" s="1807">
        <f t="shared" si="2"/>
        <v>278852</v>
      </c>
    </row>
    <row r="20" spans="1:10" ht="13.5" thickTop="1" x14ac:dyDescent="0.2">
      <c r="A20" s="1033">
        <v>9</v>
      </c>
      <c r="B20" s="2344" t="s">
        <v>1975</v>
      </c>
      <c r="C20" s="2344"/>
      <c r="D20" s="2345"/>
      <c r="E20" s="1044"/>
      <c r="F20" s="1044"/>
      <c r="G20" s="1044"/>
      <c r="H20" s="1044"/>
      <c r="I20" s="1044"/>
      <c r="J20" s="1808">
        <f>IF(AND(G19&gt;0,J19&gt;0),(((J19-G19)/G19)),"Enter Budget Data")</f>
        <v>9.7552850179969432E-3</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0"/>
      <c r="D26" s="2350"/>
      <c r="E26" s="1048"/>
      <c r="F26" s="2349"/>
      <c r="G26" s="2349"/>
    </row>
    <row r="27" spans="1:10" x14ac:dyDescent="0.2">
      <c r="B27" s="1045"/>
      <c r="C27" s="1049" t="s">
        <v>1033</v>
      </c>
      <c r="D27" s="1050"/>
      <c r="E27" s="1051"/>
      <c r="F27" s="2346" t="s">
        <v>1509</v>
      </c>
      <c r="G27" s="2346"/>
    </row>
    <row r="28" spans="1:10" ht="28.5" customHeight="1" x14ac:dyDescent="0.2">
      <c r="B28" s="1045"/>
      <c r="C28" s="2348"/>
      <c r="D28" s="2348"/>
      <c r="E28" s="1052"/>
      <c r="F28" s="2348"/>
      <c r="G28" s="2348"/>
    </row>
    <row r="29" spans="1:10" x14ac:dyDescent="0.2">
      <c r="B29" s="1045"/>
      <c r="C29" s="1053" t="s">
        <v>1561</v>
      </c>
      <c r="E29" s="1054"/>
      <c r="F29" s="2347" t="s">
        <v>1510</v>
      </c>
      <c r="G29" s="2347"/>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0"/>
    </row>
    <row r="36" spans="1:10" ht="13.5" customHeight="1" x14ac:dyDescent="0.2">
      <c r="B36" s="1059"/>
      <c r="C36" s="2331" t="s">
        <v>1977</v>
      </c>
      <c r="D36" s="2330"/>
      <c r="E36" s="2330"/>
      <c r="F36" s="2330"/>
      <c r="G36" s="2330"/>
      <c r="H36" s="2330"/>
      <c r="I36" s="2330"/>
      <c r="J36" s="1061"/>
    </row>
    <row r="37" spans="1:10" ht="22.5" customHeight="1" x14ac:dyDescent="0.2">
      <c r="C37" s="2330"/>
      <c r="D37" s="2330"/>
      <c r="E37" s="2330"/>
      <c r="F37" s="2330"/>
      <c r="G37" s="2330"/>
      <c r="H37" s="2330"/>
      <c r="I37" s="2330"/>
      <c r="J37" s="1061"/>
    </row>
    <row r="38" spans="1:10" ht="7.5" customHeight="1" x14ac:dyDescent="0.2">
      <c r="C38" s="1060"/>
      <c r="D38" s="1062"/>
      <c r="E38" s="1063"/>
      <c r="F38" s="1064"/>
      <c r="G38" s="1063"/>
    </row>
    <row r="39" spans="1:10" ht="13.5" customHeight="1" x14ac:dyDescent="0.2">
      <c r="B39" s="1059"/>
      <c r="C39" s="2327" t="s">
        <v>882</v>
      </c>
      <c r="D39" s="2328"/>
      <c r="E39" s="2328"/>
      <c r="F39" s="2328"/>
      <c r="G39" s="2328"/>
      <c r="H39" s="2328"/>
      <c r="I39" s="2328"/>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56"/>
  <sheetViews>
    <sheetView showGridLines="0" topLeftCell="A19" zoomScaleNormal="100" workbookViewId="0">
      <selection activeCell="A19" sqref="A1:A1048576"/>
    </sheetView>
  </sheetViews>
  <sheetFormatPr defaultColWidth="9.140625" defaultRowHeight="12.75" x14ac:dyDescent="0.2"/>
  <cols>
    <col min="1" max="1" width="5.5703125" style="329" customWidth="1"/>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1067" t="s">
        <v>2095</v>
      </c>
    </row>
    <row r="6" spans="2:3" x14ac:dyDescent="0.2">
      <c r="B6" s="1066"/>
      <c r="C6" s="329" t="s">
        <v>64</v>
      </c>
    </row>
    <row r="7" spans="2:3" x14ac:dyDescent="0.2">
      <c r="B7" s="1066"/>
      <c r="C7" s="329" t="s">
        <v>2096</v>
      </c>
    </row>
    <row r="8" spans="2:3" x14ac:dyDescent="0.2">
      <c r="B8" s="1066"/>
    </row>
    <row r="9" spans="2:3" x14ac:dyDescent="0.2">
      <c r="B9" s="1067" t="s">
        <v>2097</v>
      </c>
    </row>
    <row r="10" spans="2:3" x14ac:dyDescent="0.2">
      <c r="B10" s="1067"/>
      <c r="C10" s="329" t="s">
        <v>64</v>
      </c>
    </row>
    <row r="11" spans="2:3" x14ac:dyDescent="0.2">
      <c r="B11" s="1067"/>
      <c r="C11" s="329" t="s">
        <v>2098</v>
      </c>
    </row>
    <row r="12" spans="2:3" x14ac:dyDescent="0.2">
      <c r="B12" s="1067"/>
    </row>
    <row r="13" spans="2:3" x14ac:dyDescent="0.2">
      <c r="B13" s="1067" t="s">
        <v>2099</v>
      </c>
    </row>
    <row r="14" spans="2:3" x14ac:dyDescent="0.2">
      <c r="B14" s="1067"/>
      <c r="C14" s="329" t="s">
        <v>64</v>
      </c>
    </row>
    <row r="15" spans="2:3" x14ac:dyDescent="0.2">
      <c r="B15" s="1067"/>
      <c r="C15" s="329" t="s">
        <v>2219</v>
      </c>
    </row>
    <row r="16" spans="2:3" x14ac:dyDescent="0.2">
      <c r="B16" s="1067"/>
      <c r="C16" s="329" t="s">
        <v>6</v>
      </c>
    </row>
    <row r="17" spans="2:3" x14ac:dyDescent="0.2">
      <c r="B17" s="1067"/>
      <c r="C17" s="329" t="s">
        <v>2100</v>
      </c>
    </row>
    <row r="18" spans="2:3" x14ac:dyDescent="0.2">
      <c r="B18" s="1067"/>
      <c r="C18" s="329" t="s">
        <v>341</v>
      </c>
    </row>
    <row r="19" spans="2:3" x14ac:dyDescent="0.2">
      <c r="B19" s="1067"/>
      <c r="C19" s="329" t="s">
        <v>2101</v>
      </c>
    </row>
    <row r="20" spans="2:3" x14ac:dyDescent="0.2">
      <c r="B20" s="1067"/>
      <c r="C20" s="329" t="s">
        <v>1157</v>
      </c>
    </row>
    <row r="21" spans="2:3" x14ac:dyDescent="0.2">
      <c r="B21" s="1067"/>
      <c r="C21" s="329" t="s">
        <v>2220</v>
      </c>
    </row>
    <row r="22" spans="2:3" x14ac:dyDescent="0.2">
      <c r="B22" s="1067"/>
      <c r="C22" s="329" t="s">
        <v>2102</v>
      </c>
    </row>
    <row r="23" spans="2:3" x14ac:dyDescent="0.2">
      <c r="B23" s="1067"/>
      <c r="C23" s="329" t="s">
        <v>2103</v>
      </c>
    </row>
    <row r="24" spans="2:3" x14ac:dyDescent="0.2">
      <c r="B24" s="1067"/>
    </row>
    <row r="25" spans="2:3" x14ac:dyDescent="0.2">
      <c r="B25" s="1067" t="s">
        <v>2104</v>
      </c>
    </row>
    <row r="26" spans="2:3" x14ac:dyDescent="0.2">
      <c r="B26" s="1067"/>
      <c r="C26" s="329" t="s">
        <v>64</v>
      </c>
    </row>
    <row r="27" spans="2:3" x14ac:dyDescent="0.2">
      <c r="B27" s="1067"/>
      <c r="C27" s="329" t="s">
        <v>2105</v>
      </c>
    </row>
    <row r="28" spans="2:3" x14ac:dyDescent="0.2">
      <c r="B28" s="1067"/>
    </row>
    <row r="29" spans="2:3" x14ac:dyDescent="0.2">
      <c r="B29" s="1067" t="s">
        <v>2106</v>
      </c>
    </row>
    <row r="30" spans="2:3" x14ac:dyDescent="0.2">
      <c r="B30" s="1067"/>
      <c r="C30" s="329" t="s">
        <v>64</v>
      </c>
    </row>
    <row r="31" spans="2:3" x14ac:dyDescent="0.2">
      <c r="B31" s="1067"/>
      <c r="C31" s="329" t="s">
        <v>2107</v>
      </c>
    </row>
    <row r="32" spans="2:3" x14ac:dyDescent="0.2">
      <c r="B32" s="1067"/>
    </row>
    <row r="33" spans="2:3" x14ac:dyDescent="0.2">
      <c r="B33" s="1067" t="s">
        <v>2108</v>
      </c>
    </row>
    <row r="34" spans="2:3" x14ac:dyDescent="0.2">
      <c r="B34" s="1067"/>
      <c r="C34" s="329" t="s">
        <v>64</v>
      </c>
    </row>
    <row r="35" spans="2:3" x14ac:dyDescent="0.2">
      <c r="B35" s="1067"/>
      <c r="C35" s="329" t="s">
        <v>2109</v>
      </c>
    </row>
    <row r="36" spans="2:3" x14ac:dyDescent="0.2">
      <c r="B36" s="1067"/>
    </row>
    <row r="37" spans="2:3" x14ac:dyDescent="0.2">
      <c r="B37" s="1067" t="s">
        <v>2110</v>
      </c>
    </row>
    <row r="38" spans="2:3" x14ac:dyDescent="0.2">
      <c r="B38" s="1067"/>
      <c r="C38" s="329" t="s">
        <v>64</v>
      </c>
    </row>
    <row r="39" spans="2:3" x14ac:dyDescent="0.2">
      <c r="B39" s="1067"/>
      <c r="C39" s="329" t="s">
        <v>2111</v>
      </c>
    </row>
    <row r="40" spans="2:3" x14ac:dyDescent="0.2">
      <c r="B40" s="1067"/>
    </row>
    <row r="41" spans="2:3" x14ac:dyDescent="0.2">
      <c r="B41" s="1067" t="s">
        <v>2112</v>
      </c>
    </row>
    <row r="42" spans="2:3" x14ac:dyDescent="0.2">
      <c r="B42" s="1067"/>
      <c r="C42" s="329" t="s">
        <v>64</v>
      </c>
    </row>
    <row r="43" spans="2:3" x14ac:dyDescent="0.2">
      <c r="B43" s="1067"/>
      <c r="C43" s="329" t="s">
        <v>2113</v>
      </c>
    </row>
    <row r="44" spans="2:3" x14ac:dyDescent="0.2">
      <c r="B44" s="1067"/>
    </row>
    <row r="45" spans="2:3" x14ac:dyDescent="0.2">
      <c r="B45" s="1067" t="s">
        <v>2114</v>
      </c>
    </row>
    <row r="46" spans="2:3" x14ac:dyDescent="0.2">
      <c r="B46" s="1067"/>
      <c r="C46" s="329" t="s">
        <v>2115</v>
      </c>
    </row>
    <row r="47" spans="2:3" x14ac:dyDescent="0.2">
      <c r="B47" s="1067"/>
      <c r="C47" s="329" t="s">
        <v>2116</v>
      </c>
    </row>
    <row r="48" spans="2:3" x14ac:dyDescent="0.2">
      <c r="B48" s="1067"/>
    </row>
    <row r="49" spans="2:3" x14ac:dyDescent="0.2">
      <c r="B49" s="1067" t="s">
        <v>2222</v>
      </c>
    </row>
    <row r="50" spans="2:3" x14ac:dyDescent="0.2">
      <c r="B50" s="1067"/>
      <c r="C50" s="329" t="s">
        <v>2223</v>
      </c>
    </row>
    <row r="51" spans="2:3" x14ac:dyDescent="0.2">
      <c r="B51" s="1067"/>
      <c r="C51" s="1948" t="s">
        <v>2224</v>
      </c>
    </row>
    <row r="52" spans="2:3" x14ac:dyDescent="0.2">
      <c r="B52" s="1067"/>
    </row>
    <row r="53" spans="2:3" x14ac:dyDescent="0.2">
      <c r="B53" s="1067"/>
    </row>
    <row r="54" spans="2:3" x14ac:dyDescent="0.2">
      <c r="B54" s="1067"/>
    </row>
    <row r="55" spans="2:3" x14ac:dyDescent="0.2">
      <c r="B55" s="1067"/>
      <c r="C55" s="258" t="str">
        <f>COVER!A17</f>
        <v>Vandalia CUSD 203</v>
      </c>
    </row>
    <row r="56" spans="2:3" x14ac:dyDescent="0.2">
      <c r="C56" s="1068">
        <f>COVER!A13</f>
        <v>3026203026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0" t="s">
        <v>1611</v>
      </c>
    </row>
    <row r="23" spans="1:5" x14ac:dyDescent="0.2">
      <c r="A23" s="168"/>
      <c r="B23" s="162" t="s">
        <v>1852</v>
      </c>
      <c r="D23" s="167" t="s">
        <v>637</v>
      </c>
      <c r="E23" s="1830"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3" t="s">
        <v>1772</v>
      </c>
    </row>
    <row r="60" spans="1:3" x14ac:dyDescent="0.2">
      <c r="A60" s="196"/>
      <c r="B60" s="1483"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4"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7"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8" sqref="E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51" t="s">
        <v>1685</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2952750</xdr:colOff>
                <xdr:row>0</xdr:row>
                <xdr:rowOff>95250</xdr:rowOff>
              </from>
              <to>
                <xdr:col>1</xdr:col>
                <xdr:colOff>3867150</xdr:colOff>
                <xdr:row>4</xdr:row>
                <xdr:rowOff>133350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0</xdr:col>
                <xdr:colOff>76200</xdr:colOff>
                <xdr:row>5</xdr:row>
                <xdr:rowOff>28575</xdr:rowOff>
              </from>
              <to>
                <xdr:col>1</xdr:col>
                <xdr:colOff>866775</xdr:colOff>
                <xdr:row>9</xdr:row>
                <xdr:rowOff>66675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971550</xdr:colOff>
                <xdr:row>5</xdr:row>
                <xdr:rowOff>47625</xdr:rowOff>
              </from>
              <to>
                <xdr:col>1</xdr:col>
                <xdr:colOff>1885950</xdr:colOff>
                <xdr:row>9</xdr:row>
                <xdr:rowOff>85725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0</xdr:col>
                <xdr:colOff>66675</xdr:colOff>
                <xdr:row>0</xdr:row>
                <xdr:rowOff>66675</xdr:rowOff>
              </from>
              <to>
                <xdr:col>1</xdr:col>
                <xdr:colOff>857250</xdr:colOff>
                <xdr:row>4</xdr:row>
                <xdr:rowOff>104775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962025</xdr:colOff>
                <xdr:row>0</xdr:row>
                <xdr:rowOff>66675</xdr:rowOff>
              </from>
              <to>
                <xdr:col>1</xdr:col>
                <xdr:colOff>1876425</xdr:colOff>
                <xdr:row>4</xdr:row>
                <xdr:rowOff>104775</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1943100</xdr:colOff>
                <xdr:row>0</xdr:row>
                <xdr:rowOff>76200</xdr:rowOff>
              </from>
              <to>
                <xdr:col>1</xdr:col>
                <xdr:colOff>2857500</xdr:colOff>
                <xdr:row>4</xdr:row>
                <xdr:rowOff>114300</xdr:rowOff>
              </to>
            </anchor>
          </objectPr>
        </oleObject>
      </mc:Choice>
      <mc:Fallback>
        <oleObject progId="Acrobat Document" dvAspect="DVASPECT_ICON" shapeId="36870" r:id="rId14"/>
      </mc:Fallback>
    </mc:AlternateContent>
    <mc:AlternateContent xmlns:mc="http://schemas.openxmlformats.org/markup-compatibility/2006">
      <mc:Choice Requires="x14">
        <oleObject progId="Acrobat Document" dvAspect="DVASPECT_ICON" shapeId="36871" r:id="rId16">
          <objectPr defaultSize="0" r:id="rId17">
            <anchor moveWithCells="1">
              <from>
                <xdr:col>1</xdr:col>
                <xdr:colOff>1952625</xdr:colOff>
                <xdr:row>5</xdr:row>
                <xdr:rowOff>28575</xdr:rowOff>
              </from>
              <to>
                <xdr:col>1</xdr:col>
                <xdr:colOff>2867025</xdr:colOff>
                <xdr:row>9</xdr:row>
                <xdr:rowOff>66675</xdr:rowOff>
              </to>
            </anchor>
          </objectPr>
        </oleObject>
      </mc:Choice>
      <mc:Fallback>
        <oleObject progId="Acrobat Document" dvAspect="DVASPECT_ICON" shapeId="36871" r:id="rId16"/>
      </mc:Fallback>
    </mc:AlternateContent>
    <mc:AlternateContent xmlns:mc="http://schemas.openxmlformats.org/markup-compatibility/2006">
      <mc:Choice Requires="x14">
        <oleObject progId="Acrobat Document" dvAspect="DVASPECT_ICON" shapeId="36872" r:id="rId18">
          <objectPr defaultSize="0" r:id="rId19">
            <anchor moveWithCells="1">
              <from>
                <xdr:col>1</xdr:col>
                <xdr:colOff>2943225</xdr:colOff>
                <xdr:row>5</xdr:row>
                <xdr:rowOff>47625</xdr:rowOff>
              </from>
              <to>
                <xdr:col>1</xdr:col>
                <xdr:colOff>3857625</xdr:colOff>
                <xdr:row>9</xdr:row>
                <xdr:rowOff>85725</xdr:rowOff>
              </to>
            </anchor>
          </objectPr>
        </oleObject>
      </mc:Choice>
      <mc:Fallback>
        <oleObject progId="Acrobat Document" dvAspect="DVASPECT_ICON" shapeId="36872"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1981</v>
      </c>
      <c r="B2" s="2363"/>
      <c r="C2" s="2363"/>
      <c r="D2" s="2363"/>
      <c r="E2" s="2363"/>
      <c r="F2" s="2364"/>
      <c r="G2" s="1072"/>
      <c r="H2" s="1072"/>
    </row>
    <row r="3" spans="1:8" ht="57" customHeight="1" x14ac:dyDescent="0.2">
      <c r="A3" s="2365" t="s">
        <v>1686</v>
      </c>
      <c r="B3" s="2366"/>
      <c r="C3" s="2366"/>
      <c r="D3" s="2366"/>
      <c r="E3" s="2366"/>
      <c r="F3" s="2367"/>
      <c r="G3" s="1072"/>
      <c r="H3" s="1072"/>
    </row>
    <row r="4" spans="1:8" ht="14.25" customHeight="1" x14ac:dyDescent="0.2">
      <c r="A4" s="2371" t="s">
        <v>1982</v>
      </c>
      <c r="B4" s="2372"/>
      <c r="C4" s="2372"/>
      <c r="D4" s="2372"/>
      <c r="E4" s="2372"/>
      <c r="F4" s="2373"/>
      <c r="G4" s="1072"/>
      <c r="H4" s="1072"/>
    </row>
    <row r="5" spans="1:8" ht="14.25" customHeight="1" x14ac:dyDescent="0.2">
      <c r="A5" s="2374" t="s">
        <v>1978</v>
      </c>
      <c r="B5" s="2375"/>
      <c r="C5" s="2375"/>
      <c r="D5" s="2375"/>
      <c r="E5" s="2375"/>
      <c r="F5" s="2376"/>
      <c r="G5" s="1072"/>
      <c r="H5" s="1072"/>
    </row>
    <row r="6" spans="1:8" s="1073" customFormat="1" ht="41.25" customHeight="1" x14ac:dyDescent="0.2">
      <c r="A6" s="2368" t="s">
        <v>1691</v>
      </c>
      <c r="B6" s="2369"/>
      <c r="C6" s="2369"/>
      <c r="D6" s="2369"/>
      <c r="E6" s="2369"/>
      <c r="F6" s="2370"/>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13120163</v>
      </c>
      <c r="C8" s="1809">
        <f>'Acct Summary 7-8'!D8</f>
        <v>1168017</v>
      </c>
      <c r="D8" s="1809">
        <f>'Acct Summary 7-8'!F8</f>
        <v>767479</v>
      </c>
      <c r="E8" s="1809">
        <f>'Acct Summary 7-8'!I8</f>
        <v>68348</v>
      </c>
      <c r="F8" s="1809">
        <f>SUM(B8:E8)</f>
        <v>15124007</v>
      </c>
    </row>
    <row r="9" spans="1:8" s="1077" customFormat="1" ht="14.25" customHeight="1" thickBot="1" x14ac:dyDescent="0.25">
      <c r="A9" s="1076" t="s">
        <v>1369</v>
      </c>
      <c r="B9" s="1810">
        <f>'Acct Summary 7-8'!C17</f>
        <v>12647795</v>
      </c>
      <c r="C9" s="1810">
        <f>'Acct Summary 7-8'!D17</f>
        <v>1270718</v>
      </c>
      <c r="D9" s="1810">
        <f>'Acct Summary 7-8'!F17</f>
        <v>720112</v>
      </c>
      <c r="E9" s="1809"/>
      <c r="F9" s="1809">
        <f>SUM(B9:E9)</f>
        <v>14638625</v>
      </c>
    </row>
    <row r="10" spans="1:8" s="1077" customFormat="1" ht="14.25" thickTop="1" thickBot="1" x14ac:dyDescent="0.25">
      <c r="A10" s="1078" t="s">
        <v>1370</v>
      </c>
      <c r="B10" s="1811">
        <f>(B8-B9)</f>
        <v>472368</v>
      </c>
      <c r="C10" s="1811">
        <f>(C8-C9)</f>
        <v>-102701</v>
      </c>
      <c r="D10" s="1811">
        <f>(D8-D9)</f>
        <v>47367</v>
      </c>
      <c r="E10" s="1810">
        <f>(E8-E9)</f>
        <v>68348</v>
      </c>
      <c r="F10" s="1812">
        <f>SUM(F8-F9)</f>
        <v>485382</v>
      </c>
    </row>
    <row r="11" spans="1:8" s="1077" customFormat="1" ht="14.25" thickTop="1" thickBot="1" x14ac:dyDescent="0.25">
      <c r="A11" s="1079" t="s">
        <v>1979</v>
      </c>
      <c r="B11" s="1813">
        <f>'Acct Summary 7-8'!C81</f>
        <v>5526986</v>
      </c>
      <c r="C11" s="1813">
        <f>'Acct Summary 7-8'!D81</f>
        <v>1202719</v>
      </c>
      <c r="D11" s="1813">
        <f>'Acct Summary 7-8'!F81</f>
        <v>695311</v>
      </c>
      <c r="E11" s="1813">
        <f>'Acct Summary 7-8'!I81</f>
        <v>477815</v>
      </c>
      <c r="F11" s="1814">
        <f>SUM(B11:E11)</f>
        <v>7902831</v>
      </c>
    </row>
    <row r="12" spans="1:8" ht="16.5" customHeight="1" thickTop="1" x14ac:dyDescent="0.2">
      <c r="A12" s="1080"/>
      <c r="B12" s="1081"/>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2"/>
      <c r="B13" s="1083"/>
      <c r="C13" s="2356"/>
      <c r="D13" s="2357"/>
      <c r="E13" s="2357"/>
      <c r="F13" s="2358"/>
      <c r="H13" s="1072"/>
    </row>
    <row r="14" spans="1:8" ht="19.5" customHeight="1" x14ac:dyDescent="0.2">
      <c r="A14" s="1082"/>
      <c r="B14" s="1083"/>
      <c r="C14" s="2356"/>
      <c r="D14" s="2357"/>
      <c r="E14" s="2357"/>
      <c r="F14" s="2358"/>
      <c r="H14" s="1072"/>
    </row>
    <row r="15" spans="1:8" ht="17.25" customHeight="1" x14ac:dyDescent="0.2">
      <c r="A15" s="1082"/>
      <c r="B15" s="1083"/>
      <c r="C15" s="2359"/>
      <c r="D15" s="2360"/>
      <c r="E15" s="2360"/>
      <c r="F15" s="2361"/>
      <c r="H15" s="1072"/>
    </row>
    <row r="16" spans="1:8" s="310" customFormat="1" ht="51.75" hidden="1" customHeight="1" x14ac:dyDescent="0.2">
      <c r="A16" s="2355" t="s">
        <v>1687</v>
      </c>
      <c r="B16" s="2355"/>
      <c r="C16" s="2355"/>
      <c r="D16" s="2355"/>
      <c r="E16" s="2355"/>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J23" sqref="J23"/>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7" t="s">
        <v>665</v>
      </c>
      <c r="B3" s="2378"/>
      <c r="C3" s="2378"/>
      <c r="D3" s="2379"/>
    </row>
    <row r="4" spans="1:4" x14ac:dyDescent="0.2">
      <c r="A4" s="1150" t="s">
        <v>1692</v>
      </c>
      <c r="B4" s="1151"/>
      <c r="C4" s="1152"/>
      <c r="D4" s="1153"/>
    </row>
    <row r="5" spans="1:4" ht="21" customHeight="1" x14ac:dyDescent="0.2">
      <c r="A5" s="1146"/>
      <c r="B5" s="1147">
        <v>1</v>
      </c>
      <c r="C5" s="1148" t="s">
        <v>1831</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8" t="s">
        <v>1504</v>
      </c>
      <c r="D7" s="2389"/>
    </row>
    <row r="8" spans="1:4" s="666" customFormat="1" ht="12.75" x14ac:dyDescent="0.2">
      <c r="A8" s="1136"/>
      <c r="B8" s="1091"/>
      <c r="C8" s="1094" t="s">
        <v>1503</v>
      </c>
      <c r="D8" s="1095"/>
    </row>
    <row r="9" spans="1:4" s="666" customFormat="1" ht="14.25" customHeight="1" x14ac:dyDescent="0.2">
      <c r="A9" s="1136"/>
      <c r="B9" s="1091">
        <f>B7+1</f>
        <v>4</v>
      </c>
      <c r="C9" s="1092" t="s">
        <v>1908</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80" t="s">
        <v>1008</v>
      </c>
      <c r="B15" s="2381"/>
      <c r="C15" s="2381"/>
      <c r="D15" s="2382"/>
    </row>
    <row r="16" spans="1:4" s="666" customFormat="1" ht="24" customHeight="1" x14ac:dyDescent="0.2">
      <c r="A16" s="2383" t="s">
        <v>663</v>
      </c>
      <c r="B16" s="2384"/>
      <c r="C16" s="2384"/>
      <c r="D16" s="2385"/>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92" t="s">
        <v>314</v>
      </c>
      <c r="D21" s="2393"/>
    </row>
    <row r="22" spans="1:10" ht="12.75" x14ac:dyDescent="0.2">
      <c r="A22" s="1137"/>
      <c r="B22" s="1138">
        <v>2</v>
      </c>
      <c r="C22" s="2390" t="s">
        <v>1524</v>
      </c>
      <c r="D22" s="2391"/>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94" t="s">
        <v>536</v>
      </c>
      <c r="D43" s="2395"/>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86" t="s">
        <v>784</v>
      </c>
      <c r="D56" s="2387"/>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1909</v>
      </c>
      <c r="D66" s="1123"/>
    </row>
    <row r="67" spans="1:4" x14ac:dyDescent="0.2">
      <c r="A67" s="1117"/>
      <c r="B67" s="1138"/>
      <c r="C67" s="1145" t="s">
        <v>1021</v>
      </c>
      <c r="D67" s="1123"/>
    </row>
    <row r="68" spans="1:4" x14ac:dyDescent="0.2">
      <c r="A68" s="1098"/>
      <c r="B68" s="1108"/>
      <c r="C68" s="1100" t="s">
        <v>1910</v>
      </c>
      <c r="D68" s="1122" t="str">
        <f>IF('Short-Term Long-Term Debt 24'!F49=SUM(,'Acct Summary 7-8'!C33:K33),"OK","ERROR!")</f>
        <v>OK</v>
      </c>
    </row>
    <row r="69" spans="1:4" x14ac:dyDescent="0.2">
      <c r="A69" s="1098"/>
      <c r="B69" s="1108"/>
      <c r="C69" s="1100" t="s">
        <v>1911</v>
      </c>
      <c r="D69" s="1122" t="str">
        <f>IF('Expenditures 15-22'!H170&lt;&gt;'Short-Term Long-Term Debt 24'!H49,"ERROR!","OK")</f>
        <v>OK</v>
      </c>
    </row>
    <row r="70" spans="1:4" x14ac:dyDescent="0.2">
      <c r="A70" s="1096"/>
      <c r="B70" s="1118">
        <f>B66+1</f>
        <v>9</v>
      </c>
      <c r="C70" s="2386" t="s">
        <v>1696</v>
      </c>
      <c r="D70" s="2387"/>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1912</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1913</v>
      </c>
      <c r="D78" s="1122" t="str">
        <f>IF(ISNUMBER('Acct Summary 7-8'!C9),"OK","ENTRY IS REQUIRED!")</f>
        <v>OK</v>
      </c>
    </row>
    <row r="79" spans="1:4" x14ac:dyDescent="0.2">
      <c r="A79" s="1117"/>
      <c r="B79" s="1118">
        <f>B74+1+1</f>
        <v>12</v>
      </c>
      <c r="C79" s="1128" t="s">
        <v>1898</v>
      </c>
      <c r="D79" s="1129" t="str">
        <f>IF(OR(COVER!$B$6="X",'PCTC-OEPP 27-28'!F78&gt;0),"OK","PLEASE ENTER 9 MO ADA.")</f>
        <v>OK</v>
      </c>
    </row>
    <row r="80" spans="1:4" x14ac:dyDescent="0.2">
      <c r="A80" s="1096"/>
      <c r="B80" s="1118">
        <v>13</v>
      </c>
      <c r="C80" s="1128" t="s">
        <v>1914</v>
      </c>
      <c r="D80" s="1129" t="str">
        <f>IF('Contracts Paid in CY 29'!D29&gt;0,"OK","PLEASE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3026203026</v>
      </c>
    </row>
    <row r="3" spans="1:2" x14ac:dyDescent="0.2">
      <c r="A3" t="s">
        <v>956</v>
      </c>
      <c r="B3" s="138" t="str">
        <f>COVER!A15</f>
        <v>FAYETTE</v>
      </c>
    </row>
    <row r="4" spans="1:2" x14ac:dyDescent="0.2">
      <c r="A4" t="s">
        <v>1007</v>
      </c>
      <c r="B4" s="138" t="str">
        <f>COVER!A17</f>
        <v>Vandalia CUSD 203</v>
      </c>
    </row>
    <row r="5" spans="1:2" x14ac:dyDescent="0.2">
      <c r="A5" t="s">
        <v>704</v>
      </c>
      <c r="B5" s="138" t="str">
        <f>COVER!A38</f>
        <v>DR. JENNIFER GARRISON</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5049393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5533636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6650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6650</v>
      </c>
      <c r="C91" s="2" t="s">
        <v>573</v>
      </c>
      <c r="D91" s="2" t="str">
        <f t="shared" si="0"/>
        <v>Error?</v>
      </c>
    </row>
    <row r="92" spans="1:4" x14ac:dyDescent="0.2">
      <c r="A92" s="5">
        <v>31</v>
      </c>
      <c r="B92" s="138">
        <f>'Assets-Liab 5-6'!C39</f>
        <v>5526986</v>
      </c>
      <c r="D92" s="2" t="str">
        <f t="shared" si="0"/>
        <v>Error?</v>
      </c>
    </row>
    <row r="93" spans="1:4" x14ac:dyDescent="0.2">
      <c r="A93" s="5">
        <v>32</v>
      </c>
      <c r="B93" s="138">
        <f>'Assets-Liab 5-6'!C41</f>
        <v>5533636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1059552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1202719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1140829</v>
      </c>
      <c r="D123" s="2" t="str">
        <f t="shared" si="0"/>
        <v>Error?</v>
      </c>
    </row>
    <row r="124" spans="1:4" x14ac:dyDescent="0.2">
      <c r="A124" s="5">
        <v>63</v>
      </c>
      <c r="B124" s="138">
        <f>'Assets-Liab 5-6'!D41</f>
        <v>1202719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50166</v>
      </c>
      <c r="D129" s="2" t="str">
        <f t="shared" si="1"/>
        <v>Error?</v>
      </c>
    </row>
    <row r="130" spans="1:4" x14ac:dyDescent="0.2">
      <c r="A130" s="5">
        <v>69</v>
      </c>
      <c r="B130" s="138">
        <f>'Assets-Liab 5-6'!E12</f>
        <v>0</v>
      </c>
      <c r="D130" s="2" t="str">
        <f t="shared" si="1"/>
        <v>Error?</v>
      </c>
    </row>
    <row r="131" spans="1:4" x14ac:dyDescent="0.2">
      <c r="A131" s="5">
        <v>70</v>
      </c>
      <c r="B131" s="138">
        <f>'Assets-Liab 5-6'!E13</f>
        <v>50202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50202</v>
      </c>
      <c r="D140" s="2" t="str">
        <f t="shared" si="1"/>
        <v>Error?</v>
      </c>
    </row>
    <row r="141" spans="1:4" x14ac:dyDescent="0.2">
      <c r="A141" s="5">
        <v>80</v>
      </c>
      <c r="B141" s="138">
        <f>'Assets-Liab 5-6'!E41</f>
        <v>50202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630380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1863</v>
      </c>
      <c r="D156" s="2" t="str">
        <f t="shared" si="1"/>
        <v>Error?</v>
      </c>
    </row>
    <row r="157" spans="1:4" x14ac:dyDescent="0.2">
      <c r="A157" s="5">
        <v>96</v>
      </c>
      <c r="B157" s="138">
        <f>'Assets-Liab 5-6'!F13</f>
        <v>695311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695311</v>
      </c>
      <c r="D170" s="2" t="str">
        <f t="shared" si="1"/>
        <v>Error?</v>
      </c>
    </row>
    <row r="171" spans="1:4" x14ac:dyDescent="0.2">
      <c r="A171" s="5">
        <v>110</v>
      </c>
      <c r="B171" s="138">
        <f>'Assets-Liab 5-6'!F41</f>
        <v>695311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47265</v>
      </c>
      <c r="D177" s="2" t="str">
        <f t="shared" si="1"/>
        <v>Error?</v>
      </c>
    </row>
    <row r="178" spans="1:4" x14ac:dyDescent="0.2">
      <c r="A178" s="10">
        <v>117</v>
      </c>
      <c r="D178" s="2" t="str">
        <f t="shared" si="1"/>
        <v>OK</v>
      </c>
    </row>
    <row r="179" spans="1:4" x14ac:dyDescent="0.2">
      <c r="A179" s="5">
        <v>118</v>
      </c>
      <c r="B179" s="138">
        <f>'Assets-Liab 5-6'!G12</f>
        <v>790</v>
      </c>
      <c r="D179" s="2" t="str">
        <f t="shared" si="1"/>
        <v>Error?</v>
      </c>
    </row>
    <row r="180" spans="1:4" x14ac:dyDescent="0.2">
      <c r="A180" s="5">
        <v>119</v>
      </c>
      <c r="B180" s="138">
        <f>'Assets-Liab 5-6'!G13</f>
        <v>94295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94295</v>
      </c>
      <c r="D189" s="2" t="str">
        <f t="shared" si="1"/>
        <v>Error?</v>
      </c>
    </row>
    <row r="190" spans="1:4" x14ac:dyDescent="0.2">
      <c r="A190" s="5">
        <v>129</v>
      </c>
      <c r="B190" s="138">
        <f>'Assets-Liab 5-6'!G41</f>
        <v>94295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10582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16889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16889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143601</v>
      </c>
      <c r="D273" s="2" t="str">
        <f t="shared" si="3"/>
        <v>Error?</v>
      </c>
    </row>
    <row r="274" spans="1:4" x14ac:dyDescent="0.2">
      <c r="A274" s="5">
        <v>213</v>
      </c>
      <c r="B274" s="138">
        <f>'Assets-Liab 5-6'!M17</f>
        <v>26855962</v>
      </c>
      <c r="D274" s="2" t="str">
        <f t="shared" si="3"/>
        <v>Error?</v>
      </c>
    </row>
    <row r="275" spans="1:4" x14ac:dyDescent="0.2">
      <c r="A275" s="5">
        <v>214</v>
      </c>
      <c r="B275" s="138">
        <f>'Assets-Liab 5-6'!M18</f>
        <v>2674928</v>
      </c>
      <c r="D275" s="2" t="str">
        <f t="shared" si="3"/>
        <v>Error?</v>
      </c>
    </row>
    <row r="276" spans="1:4" x14ac:dyDescent="0.2">
      <c r="A276" s="5">
        <v>215</v>
      </c>
      <c r="B276" s="138">
        <f>'Assets-Liab 5-6'!M19</f>
        <v>3964382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34107527</v>
      </c>
      <c r="C279" s="2" t="s">
        <v>573</v>
      </c>
      <c r="D279" s="2" t="str">
        <f t="shared" si="3"/>
        <v>Error?</v>
      </c>
    </row>
    <row r="280" spans="1:4" x14ac:dyDescent="0.2">
      <c r="A280" s="5">
        <v>219</v>
      </c>
      <c r="B280" s="138">
        <f>'Assets-Liab 5-6'!M40</f>
        <v>34107527</v>
      </c>
      <c r="D280" s="2" t="str">
        <f t="shared" si="3"/>
        <v>Error?</v>
      </c>
    </row>
    <row r="281" spans="1:4" x14ac:dyDescent="0.2">
      <c r="A281" s="5">
        <v>220</v>
      </c>
      <c r="B281" s="138">
        <f>'Assets-Liab 5-6'!M41</f>
        <v>34107527</v>
      </c>
      <c r="C281" s="2" t="s">
        <v>573</v>
      </c>
      <c r="D281" s="2" t="str">
        <f t="shared" si="3"/>
        <v>Error?</v>
      </c>
    </row>
    <row r="282" spans="1:4" x14ac:dyDescent="0.2">
      <c r="A282" s="5">
        <v>221</v>
      </c>
      <c r="B282" s="138">
        <f>'Assets-Liab 5-6'!N21</f>
        <v>50202</v>
      </c>
      <c r="D282" s="2" t="str">
        <f t="shared" si="3"/>
        <v>Error?</v>
      </c>
    </row>
    <row r="283" spans="1:4" x14ac:dyDescent="0.2">
      <c r="A283" s="5">
        <v>222</v>
      </c>
      <c r="B283" s="138">
        <f>'Assets-Liab 5-6'!N22</f>
        <v>13450298</v>
      </c>
      <c r="D283" s="2" t="str">
        <f t="shared" si="3"/>
        <v>Error?</v>
      </c>
    </row>
    <row r="284" spans="1:4" x14ac:dyDescent="0.2">
      <c r="A284" s="5">
        <v>223</v>
      </c>
      <c r="B284" s="138">
        <f>'Assets-Liab 5-6'!N23</f>
        <v>13500500</v>
      </c>
      <c r="C284" s="2" t="s">
        <v>573</v>
      </c>
      <c r="D284" s="2" t="str">
        <f t="shared" si="3"/>
        <v>Error?</v>
      </c>
    </row>
    <row r="285" spans="1:4" x14ac:dyDescent="0.2">
      <c r="A285" s="5">
        <v>224</v>
      </c>
      <c r="B285" s="138">
        <f>'Assets-Liab 5-6'!N36</f>
        <v>13500500</v>
      </c>
      <c r="D285" s="2" t="str">
        <f t="shared" si="3"/>
        <v>Error?</v>
      </c>
    </row>
    <row r="286" spans="1:4" x14ac:dyDescent="0.2">
      <c r="A286" s="10">
        <v>225</v>
      </c>
      <c r="D286" s="2" t="str">
        <f t="shared" si="3"/>
        <v>OK</v>
      </c>
    </row>
    <row r="287" spans="1:4" x14ac:dyDescent="0.2">
      <c r="A287" s="5">
        <v>226</v>
      </c>
      <c r="B287" s="138">
        <f>'Assets-Liab 5-6'!N37</f>
        <v>13500500</v>
      </c>
      <c r="C287" s="2" t="s">
        <v>573</v>
      </c>
      <c r="D287" s="2" t="str">
        <f t="shared" si="3"/>
        <v>Error?</v>
      </c>
    </row>
    <row r="288" spans="1:4" x14ac:dyDescent="0.2">
      <c r="A288" s="5">
        <v>227</v>
      </c>
      <c r="B288" s="138">
        <f>'Assets-Liab 5-6'!N41</f>
        <v>13500500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3888085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763544</v>
      </c>
      <c r="D717" s="2" t="str">
        <f t="shared" si="10"/>
        <v>Error?</v>
      </c>
    </row>
    <row r="718" spans="1:4" x14ac:dyDescent="0.2">
      <c r="A718" s="5">
        <v>657</v>
      </c>
      <c r="B718" s="138">
        <f>'Expenditures 15-22'!C14</f>
        <v>350625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6517268</v>
      </c>
      <c r="C720" s="2" t="s">
        <v>573</v>
      </c>
      <c r="D720" s="2" t="str">
        <f t="shared" si="10"/>
        <v>Error?</v>
      </c>
    </row>
    <row r="721" spans="1:4" x14ac:dyDescent="0.2">
      <c r="A721" s="5">
        <v>660</v>
      </c>
      <c r="B721" s="138">
        <f>'Expenditures 15-22'!C36</f>
        <v>58165</v>
      </c>
      <c r="D721" s="2" t="str">
        <f t="shared" si="10"/>
        <v>Error?</v>
      </c>
    </row>
    <row r="722" spans="1:4" x14ac:dyDescent="0.2">
      <c r="A722" s="5">
        <v>661</v>
      </c>
      <c r="B722" s="138">
        <f>'Expenditures 15-22'!C37</f>
        <v>166382</v>
      </c>
      <c r="D722" s="2" t="str">
        <f t="shared" si="10"/>
        <v>Error?</v>
      </c>
    </row>
    <row r="723" spans="1:4" x14ac:dyDescent="0.2">
      <c r="A723" s="5">
        <v>662</v>
      </c>
      <c r="B723" s="138">
        <f>'Expenditures 15-22'!C38</f>
        <v>56714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167816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449077</v>
      </c>
      <c r="C727" s="2" t="s">
        <v>573</v>
      </c>
      <c r="D727" s="2" t="str">
        <f t="shared" si="10"/>
        <v>Error?</v>
      </c>
    </row>
    <row r="728" spans="1:4" x14ac:dyDescent="0.2">
      <c r="A728" s="5">
        <v>667</v>
      </c>
      <c r="B728" s="138">
        <f>'Expenditures 15-22'!C44</f>
        <v>176148</v>
      </c>
      <c r="D728" s="2" t="str">
        <f t="shared" si="10"/>
        <v>Error?</v>
      </c>
    </row>
    <row r="729" spans="1:4" x14ac:dyDescent="0.2">
      <c r="A729" s="5">
        <v>668</v>
      </c>
      <c r="B729" s="138">
        <f>'Expenditures 15-22'!C45</f>
        <v>130848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306996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150687</v>
      </c>
      <c r="D733" s="2" t="str">
        <f t="shared" si="10"/>
        <v>Error?</v>
      </c>
    </row>
    <row r="734" spans="1:4" x14ac:dyDescent="0.2">
      <c r="A734" s="5">
        <v>673</v>
      </c>
      <c r="B734" s="138">
        <f>'Expenditures 15-22'!C53</f>
        <v>217537</v>
      </c>
      <c r="C734" s="2" t="s">
        <v>573</v>
      </c>
      <c r="D734" s="2" t="str">
        <f t="shared" si="10"/>
        <v>Error?</v>
      </c>
    </row>
    <row r="735" spans="1:4" x14ac:dyDescent="0.2">
      <c r="A735" s="5">
        <v>674</v>
      </c>
      <c r="B735" s="138">
        <f>'Expenditures 15-22'!C55</f>
        <v>537799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537799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142160</v>
      </c>
      <c r="D739" s="2" t="str">
        <f t="shared" si="10"/>
        <v>Error?</v>
      </c>
    </row>
    <row r="740" spans="1:4" x14ac:dyDescent="0.2">
      <c r="A740" s="5">
        <v>679</v>
      </c>
      <c r="B740" s="138">
        <f>'Expenditures 15-22'!C61</f>
        <v>533678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195097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870935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2382344</v>
      </c>
      <c r="C755" s="2" t="s">
        <v>573</v>
      </c>
      <c r="D755" s="2" t="str">
        <f t="shared" si="10"/>
        <v>Error?</v>
      </c>
    </row>
    <row r="756" spans="1:4" x14ac:dyDescent="0.2">
      <c r="A756" s="5">
        <v>695</v>
      </c>
      <c r="B756" s="138">
        <f>'Expenditures 15-22'!C75</f>
        <v>25431</v>
      </c>
      <c r="D756" s="2" t="str">
        <f t="shared" si="10"/>
        <v>Error?</v>
      </c>
    </row>
    <row r="757" spans="1:4" x14ac:dyDescent="0.2">
      <c r="A757" s="5">
        <v>696</v>
      </c>
      <c r="B757" s="138">
        <f>'Expenditures 15-22'!C114</f>
        <v>8925043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756738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168253</v>
      </c>
      <c r="D775" s="2" t="str">
        <f t="shared" si="11"/>
        <v>Error?</v>
      </c>
    </row>
    <row r="776" spans="1:4" x14ac:dyDescent="0.2">
      <c r="A776" s="5">
        <v>715</v>
      </c>
      <c r="B776" s="138">
        <f>'Expenditures 15-22'!D14</f>
        <v>57819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1258261</v>
      </c>
      <c r="C778" s="2" t="s">
        <v>573</v>
      </c>
      <c r="D778" s="2" t="str">
        <f t="shared" si="11"/>
        <v>Error?</v>
      </c>
    </row>
    <row r="779" spans="1:4" x14ac:dyDescent="0.2">
      <c r="A779" s="5">
        <v>718</v>
      </c>
      <c r="B779" s="138">
        <f>'Expenditures 15-22'!D36</f>
        <v>8069</v>
      </c>
      <c r="D779" s="2" t="str">
        <f t="shared" si="11"/>
        <v>Error?</v>
      </c>
    </row>
    <row r="780" spans="1:4" x14ac:dyDescent="0.2">
      <c r="A780" s="5">
        <v>719</v>
      </c>
      <c r="B780" s="138">
        <f>'Expenditures 15-22'!D37</f>
        <v>32374</v>
      </c>
      <c r="D780" s="2" t="str">
        <f t="shared" si="11"/>
        <v>Error?</v>
      </c>
    </row>
    <row r="781" spans="1:4" x14ac:dyDescent="0.2">
      <c r="A781" s="5">
        <v>720</v>
      </c>
      <c r="B781" s="138">
        <f>'Expenditures 15-22'!D38</f>
        <v>6623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34136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81202</v>
      </c>
      <c r="C785" s="2" t="s">
        <v>573</v>
      </c>
      <c r="D785" s="2" t="str">
        <f t="shared" si="11"/>
        <v>Error?</v>
      </c>
    </row>
    <row r="786" spans="1:4" x14ac:dyDescent="0.2">
      <c r="A786" s="5">
        <v>725</v>
      </c>
      <c r="B786" s="138">
        <f>'Expenditures 15-22'!D44</f>
        <v>18542</v>
      </c>
      <c r="D786" s="2" t="str">
        <f t="shared" si="11"/>
        <v>Error?</v>
      </c>
    </row>
    <row r="787" spans="1:4" x14ac:dyDescent="0.2">
      <c r="A787" s="5">
        <v>726</v>
      </c>
      <c r="B787" s="138">
        <f>'Expenditures 15-22'!D45</f>
        <v>9825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28367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28323</v>
      </c>
      <c r="D791" s="2" t="str">
        <f t="shared" si="11"/>
        <v>Error?</v>
      </c>
    </row>
    <row r="792" spans="1:4" x14ac:dyDescent="0.2">
      <c r="A792" s="5">
        <v>731</v>
      </c>
      <c r="B792" s="138">
        <f>'Expenditures 15-22'!D53</f>
        <v>45402</v>
      </c>
      <c r="C792" s="2" t="s">
        <v>573</v>
      </c>
      <c r="D792" s="2" t="str">
        <f t="shared" si="11"/>
        <v>Error?</v>
      </c>
    </row>
    <row r="793" spans="1:4" x14ac:dyDescent="0.2">
      <c r="A793" s="5">
        <v>732</v>
      </c>
      <c r="B793" s="138">
        <f>'Expenditures 15-22'!D55</f>
        <v>114529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114529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5332</v>
      </c>
      <c r="D797" s="2" t="str">
        <f t="shared" si="11"/>
        <v>Error?</v>
      </c>
    </row>
    <row r="798" spans="1:4" x14ac:dyDescent="0.2">
      <c r="A798" s="5">
        <v>737</v>
      </c>
      <c r="B798" s="138">
        <f>'Expenditures 15-22'!D61</f>
        <v>71932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77395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346895</v>
      </c>
      <c r="C813" s="2" t="s">
        <v>573</v>
      </c>
      <c r="D813" s="2" t="str">
        <f t="shared" si="11"/>
        <v>Error?</v>
      </c>
    </row>
    <row r="814" spans="1:4" x14ac:dyDescent="0.2">
      <c r="A814" s="5">
        <v>753</v>
      </c>
      <c r="B814" s="138">
        <f>'Expenditures 15-22'!D75</f>
        <v>355</v>
      </c>
      <c r="D814" s="2" t="str">
        <f t="shared" si="11"/>
        <v>Error?</v>
      </c>
    </row>
    <row r="815" spans="1:4" x14ac:dyDescent="0.2">
      <c r="A815" s="5">
        <v>754</v>
      </c>
      <c r="B815" s="138">
        <f>'Expenditures 15-22'!D114</f>
        <v>1605511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12593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611</v>
      </c>
      <c r="D833" s="2" t="str">
        <f t="shared" si="12"/>
        <v>Error?</v>
      </c>
    </row>
    <row r="834" spans="1:4" x14ac:dyDescent="0.2">
      <c r="A834" s="5">
        <v>773</v>
      </c>
      <c r="B834" s="138">
        <f>'Expenditures 15-22'!E14</f>
        <v>72245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119502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2828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2828</v>
      </c>
      <c r="C843" s="2" t="s">
        <v>573</v>
      </c>
      <c r="D843" s="2" t="str">
        <f t="shared" si="12"/>
        <v>Error?</v>
      </c>
    </row>
    <row r="844" spans="1:4" x14ac:dyDescent="0.2">
      <c r="A844" s="5">
        <v>783</v>
      </c>
      <c r="B844" s="138">
        <f>'Expenditures 15-22'!E44</f>
        <v>28121</v>
      </c>
      <c r="D844" s="2" t="str">
        <f t="shared" si="12"/>
        <v>Error?</v>
      </c>
    </row>
    <row r="845" spans="1:4" x14ac:dyDescent="0.2">
      <c r="A845" s="5">
        <v>784</v>
      </c>
      <c r="B845" s="138">
        <f>'Expenditures 15-22'!E45</f>
        <v>4461</v>
      </c>
      <c r="D845" s="2" t="str">
        <f t="shared" si="12"/>
        <v>Error?</v>
      </c>
    </row>
    <row r="846" spans="1:4" x14ac:dyDescent="0.2">
      <c r="A846" s="5">
        <v>785</v>
      </c>
      <c r="B846" s="138">
        <f>'Expenditures 15-22'!E46</f>
        <v>404</v>
      </c>
      <c r="D846" s="2" t="str">
        <f t="shared" si="12"/>
        <v>Error?</v>
      </c>
    </row>
    <row r="847" spans="1:4" x14ac:dyDescent="0.2">
      <c r="A847" s="5">
        <v>786</v>
      </c>
      <c r="B847" s="138">
        <f>'Expenditures 15-22'!E47</f>
        <v>32986</v>
      </c>
      <c r="C847" s="2" t="s">
        <v>573</v>
      </c>
      <c r="D847" s="2" t="str">
        <f t="shared" si="12"/>
        <v>Error?</v>
      </c>
    </row>
    <row r="848" spans="1:4" x14ac:dyDescent="0.2">
      <c r="A848" s="5">
        <v>787</v>
      </c>
      <c r="B848" s="138">
        <f>'Expenditures 15-22'!E49</f>
        <v>39515</v>
      </c>
      <c r="D848" s="2" t="str">
        <f t="shared" si="12"/>
        <v>Error?</v>
      </c>
    </row>
    <row r="849" spans="1:4" x14ac:dyDescent="0.2">
      <c r="A849" s="5">
        <v>788</v>
      </c>
      <c r="B849" s="138">
        <f>'Expenditures 15-22'!E50</f>
        <v>80</v>
      </c>
      <c r="D849" s="2" t="str">
        <f t="shared" si="12"/>
        <v>Error?</v>
      </c>
    </row>
    <row r="850" spans="1:4" x14ac:dyDescent="0.2">
      <c r="A850" s="5">
        <v>789</v>
      </c>
      <c r="B850" s="138">
        <f>'Expenditures 15-22'!E53</f>
        <v>39595</v>
      </c>
      <c r="C850" s="2" t="s">
        <v>573</v>
      </c>
      <c r="D850" s="2" t="str">
        <f t="shared" si="12"/>
        <v>Error?</v>
      </c>
    </row>
    <row r="851" spans="1:4" x14ac:dyDescent="0.2">
      <c r="A851" s="5">
        <v>790</v>
      </c>
      <c r="B851" s="138">
        <f>'Expenditures 15-22'!E55</f>
        <v>224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5918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2031</v>
      </c>
      <c r="D857" s="2" t="str">
        <f t="shared" si="12"/>
        <v>Error?</v>
      </c>
    </row>
    <row r="858" spans="1:4" x14ac:dyDescent="0.2">
      <c r="A858" s="5">
        <v>797</v>
      </c>
      <c r="B858" s="138">
        <f>'Expenditures 15-22'!E63</f>
        <v>9169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17118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26855</v>
      </c>
      <c r="D867" s="2" t="str">
        <f t="shared" si="12"/>
        <v>Error?</v>
      </c>
    </row>
    <row r="868" spans="1:4" x14ac:dyDescent="0.2">
      <c r="A868" s="10">
        <v>807</v>
      </c>
      <c r="D868" s="2" t="str">
        <f t="shared" si="12"/>
        <v>OK</v>
      </c>
    </row>
    <row r="869" spans="1:4" x14ac:dyDescent="0.2">
      <c r="A869" s="5">
        <v>808</v>
      </c>
      <c r="B869" s="138">
        <f>'Expenditures 15-22'!E72</f>
        <v>26855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119606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239383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104704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2259</v>
      </c>
      <c r="D891" s="2" t="str">
        <f t="shared" si="12"/>
        <v>Error?</v>
      </c>
    </row>
    <row r="892" spans="1:4" x14ac:dyDescent="0.2">
      <c r="A892" s="5">
        <v>831</v>
      </c>
      <c r="B892" s="138">
        <f>'Expenditures 15-22'!F14</f>
        <v>31235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326908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114</v>
      </c>
      <c r="D896" s="2" t="str">
        <f t="shared" si="13"/>
        <v>Error?</v>
      </c>
    </row>
    <row r="897" spans="1:4" x14ac:dyDescent="0.2">
      <c r="A897" s="5">
        <v>836</v>
      </c>
      <c r="B897" s="138">
        <f>'Expenditures 15-22'!F38</f>
        <v>1135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53976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53976</v>
      </c>
      <c r="C905" s="2" t="s">
        <v>573</v>
      </c>
      <c r="D905" s="2" t="str">
        <f t="shared" si="13"/>
        <v>Error?</v>
      </c>
    </row>
    <row r="906" spans="1:4" x14ac:dyDescent="0.2">
      <c r="A906" s="5">
        <v>845</v>
      </c>
      <c r="B906" s="138">
        <f>'Expenditures 15-22'!F49</f>
        <v>10279</v>
      </c>
      <c r="D906" s="2" t="str">
        <f t="shared" si="13"/>
        <v>Error?</v>
      </c>
    </row>
    <row r="907" spans="1:4" x14ac:dyDescent="0.2">
      <c r="A907" s="5">
        <v>846</v>
      </c>
      <c r="B907" s="138">
        <f>'Expenditures 15-22'!F50</f>
        <v>6519</v>
      </c>
      <c r="D907" s="2" t="str">
        <f t="shared" si="13"/>
        <v>Error?</v>
      </c>
    </row>
    <row r="908" spans="1:4" x14ac:dyDescent="0.2">
      <c r="A908" s="5">
        <v>847</v>
      </c>
      <c r="B908" s="138">
        <f>'Expenditures 15-22'!F53</f>
        <v>16798</v>
      </c>
      <c r="C908" s="2" t="s">
        <v>573</v>
      </c>
      <c r="D908" s="2" t="str">
        <f t="shared" si="13"/>
        <v>Error?</v>
      </c>
    </row>
    <row r="909" spans="1:4" x14ac:dyDescent="0.2">
      <c r="A909" s="5">
        <v>848</v>
      </c>
      <c r="B909" s="138">
        <f>'Expenditures 15-22'!F55</f>
        <v>8895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1512</v>
      </c>
      <c r="D915" s="2" t="str">
        <f t="shared" si="13"/>
        <v>Error?</v>
      </c>
    </row>
    <row r="916" spans="1:4" x14ac:dyDescent="0.2">
      <c r="A916" s="5">
        <v>855</v>
      </c>
      <c r="B916" s="138">
        <f>'Expenditures 15-22'!F63</f>
        <v>491926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498273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579525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906433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35252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3607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104059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5983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5983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8948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3842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18773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122832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5460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429625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351</v>
      </c>
      <c r="D1016" s="2" t="str">
        <f t="shared" si="14"/>
        <v>Error?</v>
      </c>
    </row>
    <row r="1017" spans="1:4" x14ac:dyDescent="0.2">
      <c r="A1017" s="5">
        <v>956</v>
      </c>
      <c r="B1017" s="138">
        <f>'Expenditures 15-22'!H42</f>
        <v>351</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162</v>
      </c>
      <c r="D1022" s="2" t="str">
        <f t="shared" si="14"/>
        <v>Error?</v>
      </c>
    </row>
    <row r="1023" spans="1:4" x14ac:dyDescent="0.2">
      <c r="A1023" s="5">
        <v>962</v>
      </c>
      <c r="B1023" s="138">
        <f>'Expenditures 15-22'!H50</f>
        <v>6620</v>
      </c>
      <c r="D1023" s="2" t="str">
        <f t="shared" ref="D1023:D1086" si="15">IF(ISBLANK(B1023),"OK",IF(A1023-B1023=0,"OK","Error?"))</f>
        <v>Error?</v>
      </c>
    </row>
    <row r="1024" spans="1:4" x14ac:dyDescent="0.2">
      <c r="A1024" s="5">
        <v>963</v>
      </c>
      <c r="B1024" s="138">
        <f>'Expenditures 15-22'!H53</f>
        <v>6782</v>
      </c>
      <c r="C1024" s="2" t="s">
        <v>573</v>
      </c>
      <c r="D1024" s="2" t="str">
        <f t="shared" si="15"/>
        <v>Error?</v>
      </c>
    </row>
    <row r="1025" spans="1:4" x14ac:dyDescent="0.2">
      <c r="A1025" s="5">
        <v>964</v>
      </c>
      <c r="B1025" s="138">
        <f>'Expenditures 15-22'!H55</f>
        <v>2264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409556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848593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4797372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938274</v>
      </c>
      <c r="C1105" s="2" t="s">
        <v>573</v>
      </c>
      <c r="D1105" s="2" t="str">
        <f t="shared" si="16"/>
        <v>Error?</v>
      </c>
    </row>
    <row r="1106" spans="1:4" x14ac:dyDescent="0.2">
      <c r="A1106" s="5">
        <v>1045</v>
      </c>
      <c r="B1106" s="138">
        <f>'Expenditures 15-22'!K14</f>
        <v>517384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8755623</v>
      </c>
      <c r="C1108" s="2" t="s">
        <v>573</v>
      </c>
      <c r="D1108" s="2" t="str">
        <f t="shared" si="16"/>
        <v>Error?</v>
      </c>
    </row>
    <row r="1109" spans="1:4" x14ac:dyDescent="0.2">
      <c r="A1109" s="5">
        <v>1048</v>
      </c>
      <c r="B1109" s="138">
        <f>'Expenditures 15-22'!K36</f>
        <v>66234</v>
      </c>
      <c r="C1109" s="2" t="s">
        <v>573</v>
      </c>
      <c r="D1109" s="2" t="str">
        <f t="shared" si="16"/>
        <v>Error?</v>
      </c>
    </row>
    <row r="1110" spans="1:4" x14ac:dyDescent="0.2">
      <c r="A1110" s="5">
        <v>1049</v>
      </c>
      <c r="B1110" s="138">
        <f>'Expenditures 15-22'!K37</f>
        <v>198870</v>
      </c>
      <c r="C1110" s="2" t="s">
        <v>573</v>
      </c>
      <c r="D1110" s="2" t="str">
        <f t="shared" si="16"/>
        <v>Error?</v>
      </c>
    </row>
    <row r="1111" spans="1:4" x14ac:dyDescent="0.2">
      <c r="A1111" s="5">
        <v>1050</v>
      </c>
      <c r="B1111" s="138">
        <f>'Expenditures 15-22'!K38</f>
        <v>73283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202286</v>
      </c>
      <c r="C1113" s="2" t="s">
        <v>573</v>
      </c>
      <c r="D1113" s="2" t="str">
        <f t="shared" si="16"/>
        <v>Error?</v>
      </c>
    </row>
    <row r="1114" spans="1:4" x14ac:dyDescent="0.2">
      <c r="A1114" s="5">
        <v>1053</v>
      </c>
      <c r="B1114" s="138">
        <f>'Expenditures 15-22'!K41</f>
        <v>351</v>
      </c>
      <c r="C1114" s="2" t="s">
        <v>573</v>
      </c>
      <c r="D1114" s="2" t="str">
        <f t="shared" si="16"/>
        <v>Error?</v>
      </c>
    </row>
    <row r="1115" spans="1:4" x14ac:dyDescent="0.2">
      <c r="A1115" s="5">
        <v>1054</v>
      </c>
      <c r="B1115" s="138">
        <f>'Expenditures 15-22'!K42</f>
        <v>541024</v>
      </c>
      <c r="C1115" s="2" t="s">
        <v>573</v>
      </c>
      <c r="D1115" s="2" t="str">
        <f t="shared" si="16"/>
        <v>Error?</v>
      </c>
    </row>
    <row r="1116" spans="1:4" x14ac:dyDescent="0.2">
      <c r="A1116" s="5">
        <v>1055</v>
      </c>
      <c r="B1116" s="138">
        <f>'Expenditures 15-22'!K44</f>
        <v>222811</v>
      </c>
      <c r="C1116" s="2" t="s">
        <v>573</v>
      </c>
      <c r="D1116" s="2" t="str">
        <f t="shared" si="16"/>
        <v>Error?</v>
      </c>
    </row>
    <row r="1117" spans="1:4" x14ac:dyDescent="0.2">
      <c r="A1117" s="5">
        <v>1056</v>
      </c>
      <c r="B1117" s="138">
        <f>'Expenditures 15-22'!K45</f>
        <v>208058</v>
      </c>
      <c r="C1117" s="2" t="s">
        <v>573</v>
      </c>
      <c r="D1117" s="2" t="str">
        <f t="shared" si="16"/>
        <v>Error?</v>
      </c>
    </row>
    <row r="1118" spans="1:4" x14ac:dyDescent="0.2">
      <c r="A1118" s="5">
        <v>1057</v>
      </c>
      <c r="B1118" s="138">
        <f>'Expenditures 15-22'!K46</f>
        <v>404</v>
      </c>
      <c r="C1118" s="2" t="s">
        <v>573</v>
      </c>
      <c r="D1118" s="2" t="str">
        <f t="shared" si="16"/>
        <v>Error?</v>
      </c>
    </row>
    <row r="1119" spans="1:4" x14ac:dyDescent="0.2">
      <c r="A1119" s="5">
        <v>1058</v>
      </c>
      <c r="B1119" s="138">
        <f>'Expenditures 15-22'!K47</f>
        <v>431273</v>
      </c>
      <c r="C1119" s="2" t="s">
        <v>573</v>
      </c>
      <c r="D1119" s="2" t="str">
        <f t="shared" si="16"/>
        <v>Error?</v>
      </c>
    </row>
    <row r="1120" spans="1:4" x14ac:dyDescent="0.2">
      <c r="A1120" s="5">
        <v>1059</v>
      </c>
      <c r="B1120" s="138">
        <f>'Expenditures 15-22'!K49</f>
        <v>49956</v>
      </c>
      <c r="C1120" s="2" t="s">
        <v>573</v>
      </c>
      <c r="D1120" s="2" t="str">
        <f t="shared" si="16"/>
        <v>Error?</v>
      </c>
    </row>
    <row r="1121" spans="1:4" x14ac:dyDescent="0.2">
      <c r="A1121" s="5">
        <v>1060</v>
      </c>
      <c r="B1121" s="138">
        <f>'Expenditures 15-22'!K50</f>
        <v>192229</v>
      </c>
      <c r="C1121" s="2" t="s">
        <v>573</v>
      </c>
      <c r="D1121" s="2" t="str">
        <f t="shared" si="16"/>
        <v>Error?</v>
      </c>
    </row>
    <row r="1122" spans="1:4" x14ac:dyDescent="0.2">
      <c r="A1122" s="5">
        <v>1061</v>
      </c>
      <c r="B1122" s="138">
        <f>'Expenditures 15-22'!K53</f>
        <v>326114</v>
      </c>
      <c r="C1122" s="2" t="s">
        <v>573</v>
      </c>
      <c r="D1122" s="2" t="str">
        <f t="shared" si="16"/>
        <v>Error?</v>
      </c>
    </row>
    <row r="1123" spans="1:4" x14ac:dyDescent="0.2">
      <c r="A1123" s="5">
        <v>1062</v>
      </c>
      <c r="B1123" s="138">
        <f>'Expenditures 15-22'!K55</f>
        <v>663711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663711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158260</v>
      </c>
      <c r="C1127" s="2" t="s">
        <v>573</v>
      </c>
      <c r="D1127" s="2" t="str">
        <f t="shared" si="16"/>
        <v>Error?</v>
      </c>
    </row>
    <row r="1128" spans="1:4" x14ac:dyDescent="0.2">
      <c r="A1128" s="5">
        <v>1067</v>
      </c>
      <c r="B1128" s="138">
        <f>'Expenditures 15-22'!K61</f>
        <v>605610</v>
      </c>
      <c r="C1128" s="2" t="s">
        <v>573</v>
      </c>
      <c r="D1128" s="2" t="str">
        <f t="shared" si="16"/>
        <v>Error?</v>
      </c>
    </row>
    <row r="1129" spans="1:4" x14ac:dyDescent="0.2">
      <c r="A1129" s="5">
        <v>1068</v>
      </c>
      <c r="B1129" s="138">
        <f>'Expenditures 15-22'!K62</f>
        <v>3543</v>
      </c>
      <c r="C1129" s="2" t="s">
        <v>573</v>
      </c>
      <c r="D1129" s="2" t="str">
        <f t="shared" si="16"/>
        <v>Error?</v>
      </c>
    </row>
    <row r="1130" spans="1:4" x14ac:dyDescent="0.2">
      <c r="A1130" s="5">
        <v>1069</v>
      </c>
      <c r="B1130" s="138">
        <f>'Expenditures 15-22'!K63</f>
        <v>700165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1467578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26855</v>
      </c>
      <c r="C1139" s="2" t="s">
        <v>573</v>
      </c>
      <c r="D1139" s="2" t="str">
        <f t="shared" si="16"/>
        <v>Error?</v>
      </c>
    </row>
    <row r="1140" spans="1:4" x14ac:dyDescent="0.2">
      <c r="A1140" s="10">
        <v>1079</v>
      </c>
      <c r="D1140" s="2" t="str">
        <f t="shared" si="16"/>
        <v>OK</v>
      </c>
    </row>
    <row r="1141" spans="1:4" x14ac:dyDescent="0.2">
      <c r="A1141" s="5">
        <v>1080</v>
      </c>
      <c r="B1141" s="138">
        <f>'Expenditures 15-22'!K72</f>
        <v>26855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3456555</v>
      </c>
      <c r="C1143" s="2" t="s">
        <v>573</v>
      </c>
      <c r="D1143" s="2" t="str">
        <f t="shared" si="16"/>
        <v>Error?</v>
      </c>
    </row>
    <row r="1144" spans="1:4" x14ac:dyDescent="0.2">
      <c r="A1144" s="5">
        <v>1083</v>
      </c>
      <c r="B1144" s="138">
        <f>'Expenditures 15-22'!K75</f>
        <v>25786</v>
      </c>
      <c r="C1144" s="2" t="s">
        <v>573</v>
      </c>
      <c r="D1144" s="2" t="str">
        <f t="shared" si="16"/>
        <v>Error?</v>
      </c>
    </row>
    <row r="1145" spans="1:4" x14ac:dyDescent="0.2">
      <c r="A1145" s="5">
        <v>1084</v>
      </c>
      <c r="B1145" s="138">
        <f>'Expenditures 15-22'!K102</f>
        <v>409831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12647795</v>
      </c>
      <c r="C1152" s="2" t="s">
        <v>573</v>
      </c>
      <c r="D1152" s="2" t="str">
        <f t="shared" si="17"/>
        <v>Error?</v>
      </c>
    </row>
    <row r="1153" spans="1:4" x14ac:dyDescent="0.2">
      <c r="A1153" s="5">
        <v>1092</v>
      </c>
      <c r="B1153" s="138">
        <f>'Expenditures 15-22'!K115</f>
        <v>472368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2968</v>
      </c>
      <c r="D1236" s="2" t="str">
        <f t="shared" si="18"/>
        <v>Error?</v>
      </c>
    </row>
    <row r="1237" spans="1:4" x14ac:dyDescent="0.2">
      <c r="A1237" s="5">
        <v>1176</v>
      </c>
      <c r="B1237" s="138">
        <f>'Expenditures 15-22'!E124</f>
        <v>145783</v>
      </c>
      <c r="D1237" s="2" t="str">
        <f t="shared" si="18"/>
        <v>Error?</v>
      </c>
    </row>
    <row r="1238" spans="1:4" x14ac:dyDescent="0.2">
      <c r="A1238" s="10">
        <v>1177</v>
      </c>
      <c r="D1238" s="2" t="str">
        <f t="shared" si="18"/>
        <v>OK</v>
      </c>
    </row>
    <row r="1239" spans="1:4" x14ac:dyDescent="0.2">
      <c r="A1239" s="5">
        <v>1178</v>
      </c>
      <c r="B1239" s="138">
        <f>'Expenditures 15-22'!E127</f>
        <v>148751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148751</v>
      </c>
      <c r="C1241" s="2" t="s">
        <v>573</v>
      </c>
      <c r="D1241" s="2" t="str">
        <f t="shared" si="18"/>
        <v>Error?</v>
      </c>
    </row>
    <row r="1242" spans="1:4" x14ac:dyDescent="0.2">
      <c r="A1242" s="5">
        <v>1181</v>
      </c>
      <c r="B1242" s="138">
        <f>'Expenditures 15-22'!E151</f>
        <v>148751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409944</v>
      </c>
      <c r="D1245" s="2" t="str">
        <f t="shared" si="18"/>
        <v>Error?</v>
      </c>
    </row>
    <row r="1246" spans="1:4" x14ac:dyDescent="0.2">
      <c r="A1246" s="10">
        <v>1185</v>
      </c>
      <c r="D1246" s="2" t="str">
        <f t="shared" si="18"/>
        <v>OK</v>
      </c>
    </row>
    <row r="1247" spans="1:4" x14ac:dyDescent="0.2">
      <c r="A1247" s="5">
        <v>1186</v>
      </c>
      <c r="B1247" s="138">
        <f>'Expenditures 15-22'!F127</f>
        <v>409944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409944</v>
      </c>
      <c r="C1249" s="2" t="s">
        <v>573</v>
      </c>
      <c r="D1249" s="2" t="str">
        <f t="shared" si="18"/>
        <v>Error?</v>
      </c>
    </row>
    <row r="1250" spans="1:4" x14ac:dyDescent="0.2">
      <c r="A1250" s="5">
        <v>1189</v>
      </c>
      <c r="B1250" s="138">
        <f>'Expenditures 15-22'!F151</f>
        <v>409944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698229</v>
      </c>
      <c r="D1252" s="2" t="str">
        <f t="shared" si="18"/>
        <v>Error?</v>
      </c>
    </row>
    <row r="1253" spans="1:4" x14ac:dyDescent="0.2">
      <c r="A1253" s="5">
        <v>1192</v>
      </c>
      <c r="B1253" s="138">
        <f>'Expenditures 15-22'!G124</f>
        <v>13794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712023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712023</v>
      </c>
      <c r="C1258" s="2" t="s">
        <v>573</v>
      </c>
      <c r="D1258" s="2" t="str">
        <f t="shared" si="18"/>
        <v>Error?</v>
      </c>
    </row>
    <row r="1259" spans="1:4" x14ac:dyDescent="0.2">
      <c r="A1259" s="5">
        <v>1198</v>
      </c>
      <c r="B1259" s="138">
        <f>'Expenditures 15-22'!G151</f>
        <v>712023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701197</v>
      </c>
      <c r="C1275" s="2" t="s">
        <v>573</v>
      </c>
      <c r="D1275" s="2" t="str">
        <f t="shared" si="18"/>
        <v>Error?</v>
      </c>
    </row>
    <row r="1276" spans="1:4" x14ac:dyDescent="0.2">
      <c r="A1276" s="5">
        <v>1215</v>
      </c>
      <c r="B1276" s="138">
        <f>'Expenditures 15-22'!K124</f>
        <v>569521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1270718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1270718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1270718</v>
      </c>
      <c r="C1288" s="2" t="s">
        <v>573</v>
      </c>
      <c r="D1288" s="2" t="str">
        <f t="shared" si="19"/>
        <v>Error?</v>
      </c>
    </row>
    <row r="1289" spans="1:4" x14ac:dyDescent="0.2">
      <c r="A1289" s="5">
        <v>1228</v>
      </c>
      <c r="B1289" s="138">
        <f>'Expenditures 15-22'!K152</f>
        <v>-102701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1250</v>
      </c>
      <c r="D1307" s="2" t="str">
        <f t="shared" si="19"/>
        <v>Error?</v>
      </c>
    </row>
    <row r="1308" spans="1:4" x14ac:dyDescent="0.2">
      <c r="A1308" s="5">
        <v>1247</v>
      </c>
      <c r="B1308" s="138">
        <f>'Expenditures 15-22'!E172</f>
        <v>1250</v>
      </c>
      <c r="C1308" s="2" t="s">
        <v>573</v>
      </c>
      <c r="D1308" s="2" t="str">
        <f t="shared" si="19"/>
        <v>Error?</v>
      </c>
    </row>
    <row r="1309" spans="1:4" x14ac:dyDescent="0.2">
      <c r="A1309" s="5">
        <v>1248</v>
      </c>
      <c r="B1309" s="138">
        <f>'Expenditures 15-22'!E174</f>
        <v>1250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393787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1115400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1509187</v>
      </c>
      <c r="C1317" s="2" t="s">
        <v>573</v>
      </c>
      <c r="D1317" s="2" t="str">
        <f t="shared" si="19"/>
        <v>Error?</v>
      </c>
    </row>
    <row r="1318" spans="1:4" x14ac:dyDescent="0.2">
      <c r="A1318" s="5">
        <v>1257</v>
      </c>
      <c r="B1318" s="138">
        <f>'Expenditures 15-22'!H174</f>
        <v>1509187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393787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1115400</v>
      </c>
      <c r="C1329" s="2" t="s">
        <v>573</v>
      </c>
      <c r="D1329" s="2" t="str">
        <f t="shared" si="19"/>
        <v>Error?</v>
      </c>
    </row>
    <row r="1330" spans="1:4" x14ac:dyDescent="0.2">
      <c r="A1330" s="5">
        <v>1269</v>
      </c>
      <c r="B1330" s="138">
        <f>'Expenditures 15-22'!K171</f>
        <v>1250</v>
      </c>
      <c r="C1330" s="2" t="s">
        <v>573</v>
      </c>
      <c r="D1330" s="2" t="str">
        <f t="shared" si="19"/>
        <v>Error?</v>
      </c>
    </row>
    <row r="1331" spans="1:4" x14ac:dyDescent="0.2">
      <c r="A1331" s="5">
        <v>1270</v>
      </c>
      <c r="B1331" s="138">
        <f>'Expenditures 15-22'!K172</f>
        <v>1510437</v>
      </c>
      <c r="C1331" s="2" t="s">
        <v>573</v>
      </c>
      <c r="D1331" s="2" t="str">
        <f t="shared" si="19"/>
        <v>Error?</v>
      </c>
    </row>
    <row r="1332" spans="1:4" x14ac:dyDescent="0.2">
      <c r="A1332" s="5">
        <v>1271</v>
      </c>
      <c r="B1332" s="138">
        <f>'Expenditures 15-22'!K174</f>
        <v>1510437</v>
      </c>
      <c r="C1332" s="2" t="s">
        <v>573</v>
      </c>
      <c r="D1332" s="2" t="str">
        <f t="shared" si="19"/>
        <v>Error?</v>
      </c>
    </row>
    <row r="1333" spans="1:4" x14ac:dyDescent="0.2">
      <c r="A1333" s="5">
        <v>1272</v>
      </c>
      <c r="B1333" s="138">
        <f>'Expenditures 15-22'!K175</f>
        <v>1232</v>
      </c>
      <c r="C1333" s="2" t="s">
        <v>573</v>
      </c>
      <c r="D1333" s="2" t="str">
        <f t="shared" si="19"/>
        <v>Error?</v>
      </c>
    </row>
    <row r="1334" spans="1:4" x14ac:dyDescent="0.2">
      <c r="A1334" s="10">
        <v>1273</v>
      </c>
      <c r="D1334" s="2" t="str">
        <f t="shared" si="19"/>
        <v>OK</v>
      </c>
    </row>
    <row r="1335" spans="1:4" x14ac:dyDescent="0.2">
      <c r="A1335" s="5">
        <v>1274</v>
      </c>
      <c r="B1335" s="138">
        <f>'Expenditures 15-22'!C182</f>
        <v>430435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430435</v>
      </c>
      <c r="C1339" s="2" t="s">
        <v>573</v>
      </c>
      <c r="D1339" s="2" t="str">
        <f t="shared" si="19"/>
        <v>Error?</v>
      </c>
    </row>
    <row r="1340" spans="1:4" x14ac:dyDescent="0.2">
      <c r="A1340" s="5">
        <v>1279</v>
      </c>
      <c r="B1340" s="138">
        <f>'Expenditures 15-22'!C210</f>
        <v>430435</v>
      </c>
      <c r="C1340" s="2" t="s">
        <v>573</v>
      </c>
      <c r="D1340" s="2" t="str">
        <f t="shared" si="19"/>
        <v>Error?</v>
      </c>
    </row>
    <row r="1341" spans="1:4" x14ac:dyDescent="0.2">
      <c r="A1341" s="5">
        <v>1280</v>
      </c>
      <c r="B1341" s="138">
        <f>'Expenditures 15-22'!D182</f>
        <v>19160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19160</v>
      </c>
      <c r="C1345" s="2" t="s">
        <v>573</v>
      </c>
      <c r="D1345" s="2" t="str">
        <f t="shared" si="20"/>
        <v>Error?</v>
      </c>
    </row>
    <row r="1346" spans="1:4" x14ac:dyDescent="0.2">
      <c r="A1346" s="5">
        <v>1285</v>
      </c>
      <c r="B1346" s="138">
        <f>'Expenditures 15-22'!D210</f>
        <v>19160</v>
      </c>
      <c r="C1346" s="2" t="s">
        <v>573</v>
      </c>
      <c r="D1346" s="2" t="str">
        <f t="shared" si="20"/>
        <v>Error?</v>
      </c>
    </row>
    <row r="1347" spans="1:4" x14ac:dyDescent="0.2">
      <c r="A1347" s="5">
        <v>1286</v>
      </c>
      <c r="B1347" s="138">
        <f>'Expenditures 15-22'!E182</f>
        <v>74357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74357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74357</v>
      </c>
      <c r="C1353" s="2" t="s">
        <v>573</v>
      </c>
      <c r="D1353" s="2" t="str">
        <f t="shared" si="20"/>
        <v>Error?</v>
      </c>
    </row>
    <row r="1354" spans="1:4" x14ac:dyDescent="0.2">
      <c r="A1354" s="5">
        <v>1293</v>
      </c>
      <c r="B1354" s="138">
        <f>'Expenditures 15-22'!F182</f>
        <v>100893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100893</v>
      </c>
      <c r="C1358" s="2" t="s">
        <v>573</v>
      </c>
      <c r="D1358" s="2" t="str">
        <f t="shared" si="20"/>
        <v>Error?</v>
      </c>
    </row>
    <row r="1359" spans="1:4" x14ac:dyDescent="0.2">
      <c r="A1359" s="5">
        <v>1298</v>
      </c>
      <c r="B1359" s="138">
        <f>'Expenditures 15-22'!F210</f>
        <v>100893</v>
      </c>
      <c r="C1359" s="2" t="s">
        <v>573</v>
      </c>
      <c r="D1359" s="2" t="str">
        <f t="shared" si="20"/>
        <v>Error?</v>
      </c>
    </row>
    <row r="1360" spans="1:4" x14ac:dyDescent="0.2">
      <c r="A1360" s="5">
        <v>1299</v>
      </c>
      <c r="B1360" s="138">
        <f>'Expenditures 15-22'!G182</f>
        <v>95267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95267</v>
      </c>
      <c r="C1364" s="2" t="s">
        <v>573</v>
      </c>
      <c r="D1364" s="2" t="str">
        <f t="shared" si="20"/>
        <v>Error?</v>
      </c>
    </row>
    <row r="1365" spans="1:4" x14ac:dyDescent="0.2">
      <c r="A1365" s="5">
        <v>1304</v>
      </c>
      <c r="B1365" s="138">
        <f>'Expenditures 15-22'!G210</f>
        <v>95267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720112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720112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720112</v>
      </c>
      <c r="C1388" s="2" t="s">
        <v>573</v>
      </c>
      <c r="D1388" s="2" t="str">
        <f t="shared" si="20"/>
        <v>Error?</v>
      </c>
    </row>
    <row r="1389" spans="1:4" x14ac:dyDescent="0.2">
      <c r="A1389" s="5">
        <v>1328</v>
      </c>
      <c r="B1389" s="138">
        <f>'Expenditures 15-22'!K211</f>
        <v>47367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10413</v>
      </c>
      <c r="D1407" s="2" t="str">
        <f t="shared" ref="D1407:D1470" si="21">IF(ISBLANK(B1407),"OK",IF(A1407-B1407=0,"OK","Error?"))</f>
        <v>Error?</v>
      </c>
    </row>
    <row r="1408" spans="1:4" x14ac:dyDescent="0.2">
      <c r="A1408" s="5">
        <v>1347</v>
      </c>
      <c r="B1408" s="138">
        <f>'Expenditures 15-22'!D223</f>
        <v>9347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165811</v>
      </c>
      <c r="C1410" s="2" t="s">
        <v>573</v>
      </c>
      <c r="D1410" s="2" t="str">
        <f t="shared" si="21"/>
        <v>Error?</v>
      </c>
    </row>
    <row r="1411" spans="1:4" x14ac:dyDescent="0.2">
      <c r="A1411" s="5">
        <v>1350</v>
      </c>
      <c r="B1411" s="138">
        <f>'Expenditures 15-22'!D232</f>
        <v>566</v>
      </c>
      <c r="D1411" s="2" t="str">
        <f t="shared" si="21"/>
        <v>Error?</v>
      </c>
    </row>
    <row r="1412" spans="1:4" x14ac:dyDescent="0.2">
      <c r="A1412" s="5">
        <v>1351</v>
      </c>
      <c r="B1412" s="138">
        <f>'Expenditures 15-22'!D233</f>
        <v>2280</v>
      </c>
      <c r="D1412" s="2" t="str">
        <f t="shared" si="21"/>
        <v>Error?</v>
      </c>
    </row>
    <row r="1413" spans="1:4" x14ac:dyDescent="0.2">
      <c r="A1413" s="5">
        <v>1352</v>
      </c>
      <c r="B1413" s="138">
        <f>'Expenditures 15-22'!D234</f>
        <v>13040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2293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18179</v>
      </c>
      <c r="C1417" s="2" t="s">
        <v>573</v>
      </c>
      <c r="D1417" s="2" t="str">
        <f t="shared" si="21"/>
        <v>Error?</v>
      </c>
    </row>
    <row r="1418" spans="1:4" x14ac:dyDescent="0.2">
      <c r="A1418" s="5">
        <v>1357</v>
      </c>
      <c r="B1418" s="138">
        <f>'Expenditures 15-22'!D240</f>
        <v>22911</v>
      </c>
      <c r="D1418" s="2" t="str">
        <f t="shared" si="21"/>
        <v>Error?</v>
      </c>
    </row>
    <row r="1419" spans="1:4" x14ac:dyDescent="0.2">
      <c r="A1419" s="5">
        <v>1358</v>
      </c>
      <c r="B1419" s="138">
        <f>'Expenditures 15-22'!D241</f>
        <v>22559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45470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12404</v>
      </c>
      <c r="D1423" s="2" t="str">
        <f t="shared" si="21"/>
        <v>Error?</v>
      </c>
    </row>
    <row r="1424" spans="1:4" x14ac:dyDescent="0.2">
      <c r="A1424" s="5">
        <v>1363</v>
      </c>
      <c r="B1424" s="138">
        <f>'Expenditures 15-22'!D257</f>
        <v>13760</v>
      </c>
      <c r="C1424" s="2" t="s">
        <v>573</v>
      </c>
      <c r="D1424" s="2" t="str">
        <f t="shared" si="21"/>
        <v>Error?</v>
      </c>
    </row>
    <row r="1425" spans="1:4" x14ac:dyDescent="0.2">
      <c r="A1425" s="5">
        <v>1364</v>
      </c>
      <c r="B1425" s="138">
        <f>'Expenditures 15-22'!D259</f>
        <v>38458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38458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16092</v>
      </c>
      <c r="D1429" s="2" t="str">
        <f t="shared" si="21"/>
        <v>Error?</v>
      </c>
    </row>
    <row r="1430" spans="1:4" x14ac:dyDescent="0.2">
      <c r="A1430" s="5">
        <v>1369</v>
      </c>
      <c r="B1430" s="138">
        <f>'Expenditures 15-22'!D265</f>
        <v>130</v>
      </c>
      <c r="D1430" s="2" t="str">
        <f t="shared" si="21"/>
        <v>Error?</v>
      </c>
    </row>
    <row r="1431" spans="1:4" x14ac:dyDescent="0.2">
      <c r="A1431" s="5">
        <v>1370</v>
      </c>
      <c r="B1431" s="138">
        <f>'Expenditures 15-22'!D266</f>
        <v>125507</v>
      </c>
      <c r="D1431" s="2" t="str">
        <f t="shared" si="21"/>
        <v>Error?</v>
      </c>
    </row>
    <row r="1432" spans="1:4" x14ac:dyDescent="0.2">
      <c r="A1432" s="5">
        <v>1371</v>
      </c>
      <c r="B1432" s="138">
        <f>'Expenditures 15-22'!D267</f>
        <v>73035</v>
      </c>
      <c r="D1432" s="2" t="str">
        <f t="shared" si="21"/>
        <v>Error?</v>
      </c>
    </row>
    <row r="1433" spans="1:4" x14ac:dyDescent="0.2">
      <c r="A1433" s="5">
        <v>1372</v>
      </c>
      <c r="B1433" s="138">
        <f>'Expenditures 15-22'!D268</f>
        <v>45458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260222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376089</v>
      </c>
      <c r="C1446" s="2" t="s">
        <v>573</v>
      </c>
      <c r="D1446" s="2" t="str">
        <f t="shared" si="21"/>
        <v>Error?</v>
      </c>
    </row>
    <row r="1447" spans="1:4" x14ac:dyDescent="0.2">
      <c r="A1447" s="5">
        <v>1386</v>
      </c>
      <c r="B1447" s="138">
        <f>'Expenditures 15-22'!D280</f>
        <v>252</v>
      </c>
      <c r="D1447" s="2" t="str">
        <f t="shared" si="21"/>
        <v>Error?</v>
      </c>
    </row>
    <row r="1448" spans="1:4" x14ac:dyDescent="0.2">
      <c r="A1448" s="5">
        <v>1387</v>
      </c>
      <c r="B1448" s="138">
        <f>'Expenditures 15-22'!D295</f>
        <v>542152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10413</v>
      </c>
      <c r="C1471" s="2" t="s">
        <v>573</v>
      </c>
      <c r="D1471" s="2" t="str">
        <f t="shared" ref="D1471:D1534" si="22">IF(ISBLANK(B1471),"OK",IF(A1471-B1471=0,"OK","Error?"))</f>
        <v>Error?</v>
      </c>
    </row>
    <row r="1472" spans="1:4" x14ac:dyDescent="0.2">
      <c r="A1472" s="5">
        <v>1411</v>
      </c>
      <c r="B1472" s="138">
        <f>'Expenditures 15-22'!K223</f>
        <v>9347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165811</v>
      </c>
      <c r="C1474" s="2" t="s">
        <v>573</v>
      </c>
      <c r="D1474" s="2" t="str">
        <f t="shared" si="22"/>
        <v>Error?</v>
      </c>
    </row>
    <row r="1475" spans="1:4" x14ac:dyDescent="0.2">
      <c r="A1475" s="5">
        <v>1414</v>
      </c>
      <c r="B1475" s="138">
        <f>'Expenditures 15-22'!K232</f>
        <v>566</v>
      </c>
      <c r="C1475" s="2" t="s">
        <v>573</v>
      </c>
      <c r="D1475" s="2" t="str">
        <f t="shared" si="22"/>
        <v>Error?</v>
      </c>
    </row>
    <row r="1476" spans="1:4" x14ac:dyDescent="0.2">
      <c r="A1476" s="5">
        <v>1415</v>
      </c>
      <c r="B1476" s="138">
        <f>'Expenditures 15-22'!K233</f>
        <v>2280</v>
      </c>
      <c r="C1476" s="2" t="s">
        <v>573</v>
      </c>
      <c r="D1476" s="2" t="str">
        <f t="shared" si="22"/>
        <v>Error?</v>
      </c>
    </row>
    <row r="1477" spans="1:4" x14ac:dyDescent="0.2">
      <c r="A1477" s="5">
        <v>1416</v>
      </c>
      <c r="B1477" s="138">
        <f>'Expenditures 15-22'!K234</f>
        <v>13040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2293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18179</v>
      </c>
      <c r="C1481" s="2" t="s">
        <v>573</v>
      </c>
      <c r="D1481" s="2" t="str">
        <f t="shared" si="22"/>
        <v>Error?</v>
      </c>
    </row>
    <row r="1482" spans="1:4" x14ac:dyDescent="0.2">
      <c r="A1482" s="5">
        <v>1421</v>
      </c>
      <c r="B1482" s="138">
        <f>'Expenditures 15-22'!K240</f>
        <v>22911</v>
      </c>
      <c r="C1482" s="2" t="s">
        <v>573</v>
      </c>
      <c r="D1482" s="2" t="str">
        <f t="shared" si="22"/>
        <v>Error?</v>
      </c>
    </row>
    <row r="1483" spans="1:4" x14ac:dyDescent="0.2">
      <c r="A1483" s="5">
        <v>1422</v>
      </c>
      <c r="B1483" s="138">
        <f>'Expenditures 15-22'!K241</f>
        <v>22559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45470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12404</v>
      </c>
      <c r="C1487" s="2" t="s">
        <v>573</v>
      </c>
      <c r="D1487" s="2" t="str">
        <f t="shared" si="22"/>
        <v>Error?</v>
      </c>
    </row>
    <row r="1488" spans="1:4" x14ac:dyDescent="0.2">
      <c r="A1488" s="5">
        <v>1427</v>
      </c>
      <c r="B1488" s="138">
        <f>'Expenditures 15-22'!K257</f>
        <v>13760</v>
      </c>
      <c r="C1488" s="2" t="s">
        <v>573</v>
      </c>
      <c r="D1488" s="2" t="str">
        <f t="shared" si="22"/>
        <v>Error?</v>
      </c>
    </row>
    <row r="1489" spans="1:4" x14ac:dyDescent="0.2">
      <c r="A1489" s="5">
        <v>1428</v>
      </c>
      <c r="B1489" s="138">
        <f>'Expenditures 15-22'!K259</f>
        <v>38458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38458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16092</v>
      </c>
      <c r="C1493" s="2" t="s">
        <v>573</v>
      </c>
      <c r="D1493" s="2" t="str">
        <f t="shared" si="22"/>
        <v>Error?</v>
      </c>
    </row>
    <row r="1494" spans="1:4" x14ac:dyDescent="0.2">
      <c r="A1494" s="5">
        <v>1433</v>
      </c>
      <c r="B1494" s="138">
        <f>'Expenditures 15-22'!K265</f>
        <v>130</v>
      </c>
      <c r="C1494" s="2" t="s">
        <v>573</v>
      </c>
      <c r="D1494" s="2" t="str">
        <f t="shared" si="22"/>
        <v>Error?</v>
      </c>
    </row>
    <row r="1495" spans="1:4" x14ac:dyDescent="0.2">
      <c r="A1495" s="5">
        <v>1434</v>
      </c>
      <c r="B1495" s="138">
        <f>'Expenditures 15-22'!K266</f>
        <v>125507</v>
      </c>
      <c r="C1495" s="2" t="s">
        <v>573</v>
      </c>
      <c r="D1495" s="2" t="str">
        <f t="shared" si="22"/>
        <v>Error?</v>
      </c>
    </row>
    <row r="1496" spans="1:4" x14ac:dyDescent="0.2">
      <c r="A1496" s="5">
        <v>1435</v>
      </c>
      <c r="B1496" s="138">
        <f>'Expenditures 15-22'!K267</f>
        <v>73035</v>
      </c>
      <c r="C1496" s="2" t="s">
        <v>573</v>
      </c>
      <c r="D1496" s="2" t="str">
        <f t="shared" si="22"/>
        <v>Error?</v>
      </c>
    </row>
    <row r="1497" spans="1:4" x14ac:dyDescent="0.2">
      <c r="A1497" s="5">
        <v>1436</v>
      </c>
      <c r="B1497" s="138">
        <f>'Expenditures 15-22'!K268</f>
        <v>45458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260222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376089</v>
      </c>
      <c r="C1510" s="2" t="s">
        <v>573</v>
      </c>
      <c r="D1510" s="2" t="str">
        <f t="shared" si="22"/>
        <v>Error?</v>
      </c>
    </row>
    <row r="1511" spans="1:4" x14ac:dyDescent="0.2">
      <c r="A1511" s="5">
        <v>1450</v>
      </c>
      <c r="B1511" s="138">
        <f>'Expenditures 15-22'!K280</f>
        <v>252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542152</v>
      </c>
      <c r="C1517" s="2" t="s">
        <v>573</v>
      </c>
      <c r="D1517" s="2" t="str">
        <f t="shared" si="22"/>
        <v>Error?</v>
      </c>
    </row>
    <row r="1518" spans="1:4" x14ac:dyDescent="0.2">
      <c r="A1518" s="5">
        <v>1457</v>
      </c>
      <c r="B1518" s="138">
        <f>'Expenditures 15-22'!K296</f>
        <v>-29382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10709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5054618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5526986</v>
      </c>
      <c r="C1630" s="2" t="s">
        <v>573</v>
      </c>
      <c r="D1630" s="2" t="str">
        <f t="shared" si="24"/>
        <v>Error?</v>
      </c>
    </row>
    <row r="1631" spans="1:4" x14ac:dyDescent="0.2">
      <c r="A1631" s="5">
        <v>1570</v>
      </c>
      <c r="B1631" s="138">
        <f>'Acct Summary 7-8'!D79</f>
        <v>1305420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1202719</v>
      </c>
      <c r="C1644" s="2" t="s">
        <v>573</v>
      </c>
      <c r="D1644" s="2" t="str">
        <f t="shared" si="24"/>
        <v>Error?</v>
      </c>
    </row>
    <row r="1645" spans="1:4" x14ac:dyDescent="0.2">
      <c r="A1645" s="5">
        <v>1584</v>
      </c>
      <c r="B1645" s="138">
        <f>'Acct Summary 7-8'!E79</f>
        <v>48970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50202</v>
      </c>
      <c r="C1658" s="2" t="s">
        <v>573</v>
      </c>
      <c r="D1658" s="2" t="str">
        <f t="shared" si="24"/>
        <v>Error?</v>
      </c>
    </row>
    <row r="1659" spans="1:4" x14ac:dyDescent="0.2">
      <c r="A1659" s="5">
        <v>1598</v>
      </c>
      <c r="B1659" s="138">
        <f>'Acct Summary 7-8'!F79</f>
        <v>647944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695311</v>
      </c>
      <c r="C1672" s="2" t="s">
        <v>573</v>
      </c>
      <c r="D1672" s="2" t="str">
        <f t="shared" si="25"/>
        <v>Error?</v>
      </c>
    </row>
    <row r="1673" spans="1:4" x14ac:dyDescent="0.2">
      <c r="A1673" s="5">
        <v>1612</v>
      </c>
      <c r="B1673" s="138">
        <f>'Acct Summary 7-8'!G79</f>
        <v>123677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94295</v>
      </c>
      <c r="C1686" s="2" t="s">
        <v>573</v>
      </c>
      <c r="D1686" s="2" t="str">
        <f t="shared" si="25"/>
        <v>Error?</v>
      </c>
    </row>
    <row r="1687" spans="1:4" x14ac:dyDescent="0.2">
      <c r="A1687" s="5">
        <v>1626</v>
      </c>
      <c r="B1687" s="138">
        <f>'Acct Summary 7-8'!H79</f>
        <v>6180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16889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2161125</v>
      </c>
      <c r="C1744" s="2" t="s">
        <v>573</v>
      </c>
      <c r="D1744" s="2" t="str">
        <f t="shared" si="26"/>
        <v>Error?</v>
      </c>
    </row>
    <row r="1745" spans="1:5" x14ac:dyDescent="0.2">
      <c r="A1745" s="5">
        <v>1684</v>
      </c>
      <c r="B1745" s="138">
        <f>'Tax Sched 23'!B5</f>
        <v>587398</v>
      </c>
      <c r="C1745" s="2" t="s">
        <v>573</v>
      </c>
      <c r="D1745" s="2" t="str">
        <f t="shared" si="26"/>
        <v>Error?</v>
      </c>
    </row>
    <row r="1746" spans="1:5" x14ac:dyDescent="0.2">
      <c r="A1746" s="5">
        <v>1685</v>
      </c>
      <c r="B1746" s="138">
        <f>'Tax Sched 23'!B6</f>
        <v>1505278</v>
      </c>
      <c r="C1746" s="2" t="s">
        <v>573</v>
      </c>
      <c r="D1746" s="2" t="str">
        <f t="shared" si="26"/>
        <v>Error?</v>
      </c>
    </row>
    <row r="1747" spans="1:5" x14ac:dyDescent="0.2">
      <c r="A1747" s="5">
        <v>1686</v>
      </c>
      <c r="B1747" s="138">
        <f>'Tax Sched 23'!B7</f>
        <v>234906</v>
      </c>
      <c r="C1747" s="2" t="s">
        <v>573</v>
      </c>
      <c r="D1747" s="2" t="str">
        <f t="shared" si="26"/>
        <v>Error?</v>
      </c>
    </row>
    <row r="1748" spans="1:5" x14ac:dyDescent="0.2">
      <c r="A1748" s="5">
        <v>1687</v>
      </c>
      <c r="B1748" s="138">
        <f>'Tax Sched 23'!B8</f>
        <v>219987</v>
      </c>
      <c r="C1748" s="2" t="s">
        <v>573</v>
      </c>
      <c r="D1748" s="2" t="str">
        <f t="shared" si="26"/>
        <v>Error?</v>
      </c>
    </row>
    <row r="1749" spans="1:5" x14ac:dyDescent="0.2">
      <c r="A1749" s="5">
        <v>1688</v>
      </c>
      <c r="B1749" s="138">
        <f>'Tax Sched 23'!B10</f>
        <v>58729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895852</v>
      </c>
      <c r="C1752" s="2" t="s">
        <v>573</v>
      </c>
      <c r="D1752" s="2" t="str">
        <f t="shared" si="26"/>
        <v>Error?</v>
      </c>
    </row>
    <row r="1753" spans="1:5" x14ac:dyDescent="0.2">
      <c r="A1753" s="5">
        <v>1692</v>
      </c>
      <c r="B1753" s="138">
        <f>'Tax Sched 23'!B12</f>
        <v>58729</v>
      </c>
      <c r="C1753" s="2" t="s">
        <v>573</v>
      </c>
      <c r="D1753" s="2" t="str">
        <f t="shared" si="26"/>
        <v>Error?</v>
      </c>
    </row>
    <row r="1754" spans="1:5" x14ac:dyDescent="0.2">
      <c r="A1754" s="5">
        <v>1693</v>
      </c>
      <c r="B1754" s="138">
        <f>'Tax Sched 23'!B14</f>
        <v>46984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6047565</v>
      </c>
      <c r="C1759" s="2" t="s">
        <v>573</v>
      </c>
      <c r="D1759" s="2" t="str">
        <f t="shared" si="26"/>
        <v>Error?</v>
      </c>
    </row>
    <row r="1760" spans="1:5" x14ac:dyDescent="0.2">
      <c r="A1760" s="5">
        <v>1699</v>
      </c>
      <c r="B1760" s="138">
        <f>'Tax Sched 23'!D4</f>
        <v>2161125</v>
      </c>
      <c r="C1760" s="2" t="s">
        <v>573</v>
      </c>
      <c r="D1760" s="2" t="str">
        <f t="shared" si="26"/>
        <v>Error?</v>
      </c>
    </row>
    <row r="1761" spans="1:5" x14ac:dyDescent="0.2">
      <c r="A1761" s="5">
        <v>1700</v>
      </c>
      <c r="B1761" s="138">
        <f>'Tax Sched 23'!D5</f>
        <v>587398</v>
      </c>
      <c r="C1761" s="2" t="s">
        <v>573</v>
      </c>
      <c r="D1761" s="2" t="str">
        <f t="shared" si="26"/>
        <v>Error?</v>
      </c>
    </row>
    <row r="1762" spans="1:5" s="8" customFormat="1" x14ac:dyDescent="0.2">
      <c r="A1762" s="5">
        <v>1701</v>
      </c>
      <c r="B1762" s="138">
        <f>'Tax Sched 23'!D6</f>
        <v>1505278</v>
      </c>
      <c r="C1762" s="2" t="s">
        <v>573</v>
      </c>
      <c r="D1762" s="2" t="str">
        <f t="shared" si="26"/>
        <v>Error?</v>
      </c>
      <c r="E1762" s="9"/>
    </row>
    <row r="1763" spans="1:5" x14ac:dyDescent="0.2">
      <c r="A1763" s="5">
        <v>1702</v>
      </c>
      <c r="B1763" s="138">
        <f>'Tax Sched 23'!D7</f>
        <v>234906</v>
      </c>
      <c r="C1763" s="2" t="s">
        <v>573</v>
      </c>
      <c r="D1763" s="2" t="str">
        <f t="shared" si="26"/>
        <v>Error?</v>
      </c>
    </row>
    <row r="1764" spans="1:5" x14ac:dyDescent="0.2">
      <c r="A1764" s="5">
        <v>1703</v>
      </c>
      <c r="B1764" s="138">
        <f>'Tax Sched 23'!D8</f>
        <v>219987</v>
      </c>
      <c r="C1764" s="2" t="s">
        <v>573</v>
      </c>
      <c r="D1764" s="2" t="str">
        <f t="shared" si="26"/>
        <v>Error?</v>
      </c>
    </row>
    <row r="1765" spans="1:5" x14ac:dyDescent="0.2">
      <c r="A1765" s="5">
        <v>1704</v>
      </c>
      <c r="B1765" s="138">
        <f>'Tax Sched 23'!D10</f>
        <v>58729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895852</v>
      </c>
      <c r="C1768" s="2" t="s">
        <v>573</v>
      </c>
      <c r="D1768" s="2" t="str">
        <f t="shared" si="26"/>
        <v>Error?</v>
      </c>
    </row>
    <row r="1769" spans="1:5" x14ac:dyDescent="0.2">
      <c r="A1769" s="5">
        <v>1708</v>
      </c>
      <c r="B1769" s="138">
        <f>'Tax Sched 23'!D12</f>
        <v>58729</v>
      </c>
      <c r="C1769" s="2" t="s">
        <v>573</v>
      </c>
      <c r="D1769" s="2" t="str">
        <f t="shared" si="26"/>
        <v>Error?</v>
      </c>
    </row>
    <row r="1770" spans="1:5" x14ac:dyDescent="0.2">
      <c r="A1770" s="5">
        <v>1709</v>
      </c>
      <c r="B1770" s="138">
        <f>'Tax Sched 23'!D14</f>
        <v>46984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6047565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2235363</v>
      </c>
      <c r="C1792" s="2" t="s">
        <v>573</v>
      </c>
      <c r="D1792" s="2" t="str">
        <f t="shared" si="27"/>
        <v>Error?</v>
      </c>
    </row>
    <row r="1793" spans="1:4" x14ac:dyDescent="0.2">
      <c r="A1793" s="5">
        <v>1732</v>
      </c>
      <c r="B1793" s="138">
        <f>'Tax Sched 23'!F5</f>
        <v>309888</v>
      </c>
      <c r="C1793" s="2" t="s">
        <v>573</v>
      </c>
      <c r="D1793" s="2" t="str">
        <f t="shared" si="27"/>
        <v>Error?</v>
      </c>
    </row>
    <row r="1794" spans="1:4" x14ac:dyDescent="0.2">
      <c r="A1794" s="5">
        <v>1733</v>
      </c>
      <c r="B1794" s="138">
        <f>'Tax Sched 23'!F6</f>
        <v>1510145</v>
      </c>
      <c r="C1794" s="2" t="s">
        <v>573</v>
      </c>
      <c r="D1794" s="2" t="str">
        <f t="shared" si="27"/>
        <v>Error?</v>
      </c>
    </row>
    <row r="1795" spans="1:4" x14ac:dyDescent="0.2">
      <c r="A1795" s="5">
        <v>1734</v>
      </c>
      <c r="B1795" s="138">
        <f>'Tax Sched 23'!F7</f>
        <v>242974</v>
      </c>
      <c r="C1795" s="2" t="s">
        <v>573</v>
      </c>
      <c r="D1795" s="2" t="str">
        <f t="shared" si="27"/>
        <v>Error?</v>
      </c>
    </row>
    <row r="1796" spans="1:4" x14ac:dyDescent="0.2">
      <c r="A1796" s="5">
        <v>1735</v>
      </c>
      <c r="B1796" s="138">
        <f>'Tax Sched 23'!F8</f>
        <v>250123</v>
      </c>
      <c r="C1796" s="2" t="s">
        <v>573</v>
      </c>
      <c r="D1796" s="2" t="str">
        <f t="shared" si="27"/>
        <v>Error?</v>
      </c>
    </row>
    <row r="1797" spans="1:4" x14ac:dyDescent="0.2">
      <c r="A1797" s="5">
        <v>1736</v>
      </c>
      <c r="B1797" s="138">
        <f>'Tax Sched 23'!F10</f>
        <v>60743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875442</v>
      </c>
      <c r="C1800" s="2" t="s">
        <v>573</v>
      </c>
      <c r="D1800" s="2" t="str">
        <f t="shared" si="27"/>
        <v>Error?</v>
      </c>
    </row>
    <row r="1801" spans="1:4" x14ac:dyDescent="0.2">
      <c r="A1801" s="5">
        <v>1740</v>
      </c>
      <c r="B1801" s="138">
        <f>'Tax Sched 23'!F12</f>
        <v>60743</v>
      </c>
      <c r="C1801" s="2" t="s">
        <v>573</v>
      </c>
      <c r="D1801" s="2" t="str">
        <f t="shared" si="27"/>
        <v>Error?</v>
      </c>
    </row>
    <row r="1802" spans="1:4" x14ac:dyDescent="0.2">
      <c r="A1802" s="5">
        <v>1741</v>
      </c>
      <c r="B1802" s="138">
        <f>'Tax Sched 23'!F14</f>
        <v>48595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5929898</v>
      </c>
      <c r="C1807" s="2" t="s">
        <v>573</v>
      </c>
      <c r="D1807" s="2" t="str">
        <f t="shared" si="27"/>
        <v>Error?</v>
      </c>
    </row>
    <row r="1808" spans="1:4" x14ac:dyDescent="0.2">
      <c r="A1808" s="5">
        <v>1747</v>
      </c>
      <c r="B1808" s="138">
        <f>'Tax Sched 23'!E4</f>
        <v>2235363</v>
      </c>
      <c r="D1808" s="2" t="str">
        <f t="shared" si="27"/>
        <v>Error?</v>
      </c>
    </row>
    <row r="1809" spans="1:4" x14ac:dyDescent="0.2">
      <c r="A1809" s="5">
        <v>1748</v>
      </c>
      <c r="B1809" s="138">
        <f>'Tax Sched 23'!E5</f>
        <v>309888</v>
      </c>
      <c r="D1809" s="2" t="str">
        <f t="shared" si="27"/>
        <v>Error?</v>
      </c>
    </row>
    <row r="1810" spans="1:4" x14ac:dyDescent="0.2">
      <c r="A1810" s="5">
        <v>1749</v>
      </c>
      <c r="B1810" s="138">
        <f>'Tax Sched 23'!E6</f>
        <v>1510145</v>
      </c>
      <c r="D1810" s="2" t="str">
        <f t="shared" si="27"/>
        <v>Error?</v>
      </c>
    </row>
    <row r="1811" spans="1:4" x14ac:dyDescent="0.2">
      <c r="A1811" s="5">
        <v>1750</v>
      </c>
      <c r="B1811" s="138">
        <f>'Tax Sched 23'!E7</f>
        <v>242974</v>
      </c>
      <c r="D1811" s="2" t="str">
        <f t="shared" si="27"/>
        <v>Error?</v>
      </c>
    </row>
    <row r="1812" spans="1:4" x14ac:dyDescent="0.2">
      <c r="A1812" s="5">
        <v>1751</v>
      </c>
      <c r="B1812" s="138">
        <f>'Tax Sched 23'!E8</f>
        <v>250123</v>
      </c>
      <c r="D1812" s="2" t="str">
        <f t="shared" si="27"/>
        <v>Error?</v>
      </c>
    </row>
    <row r="1813" spans="1:4" x14ac:dyDescent="0.2">
      <c r="A1813" s="5">
        <v>1752</v>
      </c>
      <c r="B1813" s="138">
        <f>'Tax Sched 23'!E10</f>
        <v>60743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875442</v>
      </c>
      <c r="D1816" s="2" t="str">
        <f t="shared" si="27"/>
        <v>Error?</v>
      </c>
    </row>
    <row r="1817" spans="1:4" x14ac:dyDescent="0.2">
      <c r="A1817" s="5">
        <v>1756</v>
      </c>
      <c r="B1817" s="138">
        <f>'Tax Sched 23'!E12</f>
        <v>60743</v>
      </c>
      <c r="D1817" s="2" t="str">
        <f t="shared" si="27"/>
        <v>Error?</v>
      </c>
    </row>
    <row r="1818" spans="1:4" x14ac:dyDescent="0.2">
      <c r="A1818" s="5">
        <v>1757</v>
      </c>
      <c r="B1818" s="138">
        <f>'Tax Sched 23'!E14</f>
        <v>48595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5929898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14615900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46984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90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47074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47074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143601</v>
      </c>
      <c r="D2008" s="2" t="str">
        <f t="shared" si="30"/>
        <v>Error?</v>
      </c>
    </row>
    <row r="2009" spans="1:4" x14ac:dyDescent="0.2">
      <c r="A2009" s="5">
        <v>1948</v>
      </c>
      <c r="B2009" s="138">
        <f>'Cap Outlay Deprec 26'!C8</f>
        <v>26762862</v>
      </c>
      <c r="D2009" s="2" t="str">
        <f t="shared" si="30"/>
        <v>Error?</v>
      </c>
    </row>
    <row r="2010" spans="1:4" x14ac:dyDescent="0.2">
      <c r="A2010" s="5">
        <v>1949</v>
      </c>
      <c r="B2010" s="138">
        <f>'Cap Outlay Deprec 26'!C10</f>
        <v>2545958</v>
      </c>
      <c r="D2010" s="2" t="str">
        <f t="shared" si="30"/>
        <v>Error?</v>
      </c>
    </row>
    <row r="2011" spans="1:4" x14ac:dyDescent="0.2">
      <c r="A2011" s="5">
        <v>1950</v>
      </c>
      <c r="B2011" s="138">
        <f>'Cap Outlay Deprec 26'!C12</f>
        <v>2118938</v>
      </c>
      <c r="D2011" s="2" t="str">
        <f t="shared" si="30"/>
        <v>Error?</v>
      </c>
    </row>
    <row r="2012" spans="1:4" x14ac:dyDescent="0.2">
      <c r="A2012" s="5">
        <v>1951</v>
      </c>
      <c r="B2012" s="138">
        <f>'Cap Outlay Deprec 26'!C13</f>
        <v>1551061</v>
      </c>
      <c r="D2012" s="2" t="str">
        <f t="shared" si="30"/>
        <v>Error?</v>
      </c>
    </row>
    <row r="2013" spans="1:4" x14ac:dyDescent="0.2">
      <c r="A2013" s="5">
        <v>1952</v>
      </c>
      <c r="B2013" s="138">
        <f>'Cap Outlay Deprec 26'!C16</f>
        <v>33175765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93100</v>
      </c>
      <c r="D2015" s="2" t="str">
        <f t="shared" si="30"/>
        <v>Error?</v>
      </c>
    </row>
    <row r="2016" spans="1:4" x14ac:dyDescent="0.2">
      <c r="A2016" s="5">
        <v>1955</v>
      </c>
      <c r="B2016" s="138">
        <f>'Cap Outlay Deprec 26'!D10</f>
        <v>128970</v>
      </c>
      <c r="D2016" s="2" t="str">
        <f t="shared" si="30"/>
        <v>Error?</v>
      </c>
    </row>
    <row r="2017" spans="1:4" x14ac:dyDescent="0.2">
      <c r="A2017" s="5">
        <v>1956</v>
      </c>
      <c r="B2017" s="138">
        <f>'Cap Outlay Deprec 26'!D12</f>
        <v>145771</v>
      </c>
      <c r="D2017" s="2" t="str">
        <f t="shared" si="30"/>
        <v>Error?</v>
      </c>
    </row>
    <row r="2018" spans="1:4" x14ac:dyDescent="0.2">
      <c r="A2018" s="5">
        <v>1957</v>
      </c>
      <c r="B2018" s="138">
        <f>'Cap Outlay Deprec 26'!D13</f>
        <v>95267</v>
      </c>
      <c r="D2018" s="2" t="str">
        <f t="shared" si="30"/>
        <v>Error?</v>
      </c>
    </row>
    <row r="2019" spans="1:4" x14ac:dyDescent="0.2">
      <c r="A2019" s="5">
        <v>1958</v>
      </c>
      <c r="B2019" s="138">
        <f>'Cap Outlay Deprec 26'!D16</f>
        <v>931762.35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143601</v>
      </c>
      <c r="C2026" s="2" t="s">
        <v>573</v>
      </c>
      <c r="D2026" s="2" t="str">
        <f t="shared" si="30"/>
        <v>Error?</v>
      </c>
    </row>
    <row r="2027" spans="1:4" x14ac:dyDescent="0.2">
      <c r="A2027" s="5">
        <v>1966</v>
      </c>
      <c r="B2027" s="138">
        <f>'Cap Outlay Deprec 26'!F8</f>
        <v>26855962</v>
      </c>
      <c r="C2027" s="2" t="s">
        <v>573</v>
      </c>
      <c r="D2027" s="2" t="str">
        <f t="shared" si="30"/>
        <v>Error?</v>
      </c>
    </row>
    <row r="2028" spans="1:4" x14ac:dyDescent="0.2">
      <c r="A2028" s="5">
        <v>1967</v>
      </c>
      <c r="B2028" s="138">
        <f>'Cap Outlay Deprec 26'!F10</f>
        <v>2674928</v>
      </c>
      <c r="C2028" s="2" t="s">
        <v>573</v>
      </c>
      <c r="D2028" s="2" t="str">
        <f t="shared" si="30"/>
        <v>Error?</v>
      </c>
    </row>
    <row r="2029" spans="1:4" x14ac:dyDescent="0.2">
      <c r="A2029" s="5">
        <v>1968</v>
      </c>
      <c r="B2029" s="138">
        <f>'Cap Outlay Deprec 26'!F12</f>
        <v>2264709</v>
      </c>
      <c r="C2029" s="2" t="s">
        <v>573</v>
      </c>
      <c r="D2029" s="2" t="str">
        <f t="shared" si="30"/>
        <v>Error?</v>
      </c>
    </row>
    <row r="2030" spans="1:4" x14ac:dyDescent="0.2">
      <c r="A2030" s="5">
        <v>1969</v>
      </c>
      <c r="B2030" s="138">
        <f>'Cap Outlay Deprec 26'!F13</f>
        <v>1646328</v>
      </c>
      <c r="C2030" s="2" t="s">
        <v>573</v>
      </c>
      <c r="D2030" s="2" t="str">
        <f t="shared" si="30"/>
        <v>Error?</v>
      </c>
    </row>
    <row r="2031" spans="1:4" x14ac:dyDescent="0.2">
      <c r="A2031" s="5">
        <v>1970</v>
      </c>
      <c r="B2031" s="138">
        <f>'Cap Outlay Deprec 26'!F16</f>
        <v>34107527.350000001</v>
      </c>
      <c r="C2031" s="2" t="s">
        <v>573</v>
      </c>
      <c r="D2031" s="2" t="str">
        <f t="shared" si="30"/>
        <v>Error?</v>
      </c>
    </row>
    <row r="2032" spans="1:4" x14ac:dyDescent="0.2">
      <c r="A2032" s="10">
        <v>1971</v>
      </c>
      <c r="D2032" s="2" t="str">
        <f t="shared" si="30"/>
        <v>OK</v>
      </c>
    </row>
    <row r="2033" spans="1:4" x14ac:dyDescent="0.2">
      <c r="A2033" s="5">
        <v>1972</v>
      </c>
      <c r="B2033" s="138">
        <f>'Cap Outlay Deprec 26'!H8</f>
        <v>10631938</v>
      </c>
      <c r="D2033" s="2" t="str">
        <f t="shared" si="30"/>
        <v>Error?</v>
      </c>
    </row>
    <row r="2034" spans="1:4" x14ac:dyDescent="0.2">
      <c r="A2034" s="5">
        <v>1973</v>
      </c>
      <c r="B2034" s="138">
        <f>'Cap Outlay Deprec 26'!H10</f>
        <v>1668973</v>
      </c>
      <c r="D2034" s="2" t="str">
        <f t="shared" si="30"/>
        <v>Error?</v>
      </c>
    </row>
    <row r="2035" spans="1:4" x14ac:dyDescent="0.2">
      <c r="A2035" s="5">
        <v>1974</v>
      </c>
      <c r="B2035" s="138">
        <f>'Cap Outlay Deprec 26'!H12</f>
        <v>965482</v>
      </c>
      <c r="D2035" s="2" t="str">
        <f t="shared" si="30"/>
        <v>Error?</v>
      </c>
    </row>
    <row r="2036" spans="1:4" x14ac:dyDescent="0.2">
      <c r="A2036" s="5">
        <v>1975</v>
      </c>
      <c r="B2036" s="138">
        <f>'Cap Outlay Deprec 26'!H13</f>
        <v>1373038</v>
      </c>
      <c r="D2036" s="2" t="str">
        <f t="shared" si="30"/>
        <v>Error?</v>
      </c>
    </row>
    <row r="2037" spans="1:4" x14ac:dyDescent="0.2">
      <c r="A2037" s="5">
        <v>1976</v>
      </c>
      <c r="B2037" s="138">
        <f>'Cap Outlay Deprec 26'!H16</f>
        <v>14691631</v>
      </c>
      <c r="C2037" s="2" t="s">
        <v>573</v>
      </c>
      <c r="D2037" s="2" t="str">
        <f t="shared" si="30"/>
        <v>Error?</v>
      </c>
    </row>
    <row r="2038" spans="1:4" x14ac:dyDescent="0.2">
      <c r="A2038" s="10">
        <v>1977</v>
      </c>
      <c r="D2038" s="2" t="str">
        <f t="shared" si="30"/>
        <v>OK</v>
      </c>
    </row>
    <row r="2039" spans="1:4" x14ac:dyDescent="0.2">
      <c r="A2039" s="5">
        <v>1978</v>
      </c>
      <c r="B2039" s="138">
        <f>'Cap Outlay Deprec 26'!I8</f>
        <v>475253</v>
      </c>
      <c r="D2039" s="2" t="str">
        <f t="shared" si="30"/>
        <v>Error?</v>
      </c>
    </row>
    <row r="2040" spans="1:4" x14ac:dyDescent="0.2">
      <c r="A2040" s="5">
        <v>1979</v>
      </c>
      <c r="B2040" s="138">
        <f>'Cap Outlay Deprec 26'!I10</f>
        <v>105229</v>
      </c>
      <c r="D2040" s="2" t="str">
        <f t="shared" si="30"/>
        <v>Error?</v>
      </c>
    </row>
    <row r="2041" spans="1:4" x14ac:dyDescent="0.2">
      <c r="A2041" s="5">
        <v>1980</v>
      </c>
      <c r="B2041" s="138">
        <f>'Cap Outlay Deprec 26'!I12</f>
        <v>226471</v>
      </c>
      <c r="D2041" s="2" t="str">
        <f t="shared" si="30"/>
        <v>Error?</v>
      </c>
    </row>
    <row r="2042" spans="1:4" x14ac:dyDescent="0.2">
      <c r="A2042" s="5">
        <v>1981</v>
      </c>
      <c r="B2042" s="138">
        <f>'Cap Outlay Deprec 26'!I13</f>
        <v>104919</v>
      </c>
      <c r="D2042" s="2" t="str">
        <f t="shared" si="30"/>
        <v>Error?</v>
      </c>
    </row>
    <row r="2043" spans="1:4" x14ac:dyDescent="0.2">
      <c r="A2043" s="5">
        <v>1982</v>
      </c>
      <c r="B2043" s="138">
        <f>'Cap Outlay Deprec 26'!I16</f>
        <v>912970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11107191</v>
      </c>
      <c r="C2051" s="2" t="s">
        <v>573</v>
      </c>
      <c r="D2051" s="2" t="str">
        <f t="shared" si="31"/>
        <v>Error?</v>
      </c>
    </row>
    <row r="2052" spans="1:4" x14ac:dyDescent="0.2">
      <c r="A2052" s="5">
        <v>1991</v>
      </c>
      <c r="B2052" s="138">
        <f>'Cap Outlay Deprec 26'!K10</f>
        <v>1774202</v>
      </c>
      <c r="C2052" s="2" t="s">
        <v>573</v>
      </c>
      <c r="D2052" s="2" t="str">
        <f t="shared" si="31"/>
        <v>Error?</v>
      </c>
    </row>
    <row r="2053" spans="1:4" x14ac:dyDescent="0.2">
      <c r="A2053" s="5">
        <v>1992</v>
      </c>
      <c r="B2053" s="138">
        <f>'Cap Outlay Deprec 26'!K12</f>
        <v>1191953</v>
      </c>
      <c r="C2053" s="2" t="s">
        <v>573</v>
      </c>
      <c r="D2053" s="2" t="str">
        <f t="shared" si="31"/>
        <v>Error?</v>
      </c>
    </row>
    <row r="2054" spans="1:4" x14ac:dyDescent="0.2">
      <c r="A2054" s="5">
        <v>1993</v>
      </c>
      <c r="B2054" s="138">
        <f>'Cap Outlay Deprec 26'!K13</f>
        <v>1477957</v>
      </c>
      <c r="C2054" s="2" t="s">
        <v>573</v>
      </c>
      <c r="D2054" s="2" t="str">
        <f t="shared" si="31"/>
        <v>Error?</v>
      </c>
    </row>
    <row r="2055" spans="1:4" x14ac:dyDescent="0.2">
      <c r="A2055" s="5">
        <v>1994</v>
      </c>
      <c r="B2055" s="138">
        <f>'Cap Outlay Deprec 26'!K16</f>
        <v>15604601</v>
      </c>
      <c r="C2055" s="2" t="s">
        <v>573</v>
      </c>
      <c r="D2055" s="2" t="str">
        <f t="shared" si="31"/>
        <v>Error?</v>
      </c>
    </row>
    <row r="2056" spans="1:4" x14ac:dyDescent="0.2">
      <c r="A2056" s="5">
        <v>1995</v>
      </c>
      <c r="B2056" s="138">
        <f>'Cap Outlay Deprec 26'!L5</f>
        <v>143601</v>
      </c>
      <c r="C2056" s="2" t="s">
        <v>573</v>
      </c>
      <c r="D2056" s="2" t="str">
        <f t="shared" si="31"/>
        <v>Error?</v>
      </c>
    </row>
    <row r="2057" spans="1:4" x14ac:dyDescent="0.2">
      <c r="A2057" s="5">
        <v>1996</v>
      </c>
      <c r="B2057" s="138">
        <f>'Cap Outlay Deprec 26'!L8</f>
        <v>15748771</v>
      </c>
      <c r="C2057" s="2" t="s">
        <v>573</v>
      </c>
      <c r="D2057" s="2" t="str">
        <f t="shared" si="31"/>
        <v>Error?</v>
      </c>
    </row>
    <row r="2058" spans="1:4" x14ac:dyDescent="0.2">
      <c r="A2058" s="5">
        <v>1997</v>
      </c>
      <c r="B2058" s="138">
        <f>'Cap Outlay Deprec 26'!L10</f>
        <v>900726</v>
      </c>
      <c r="C2058" s="2" t="s">
        <v>573</v>
      </c>
      <c r="D2058" s="2" t="str">
        <f t="shared" si="31"/>
        <v>Error?</v>
      </c>
    </row>
    <row r="2059" spans="1:4" x14ac:dyDescent="0.2">
      <c r="A2059" s="5">
        <v>1998</v>
      </c>
      <c r="B2059" s="138">
        <f>'Cap Outlay Deprec 26'!L12</f>
        <v>1072756</v>
      </c>
      <c r="C2059" s="2" t="s">
        <v>573</v>
      </c>
      <c r="D2059" s="2" t="str">
        <f t="shared" si="31"/>
        <v>Error?</v>
      </c>
    </row>
    <row r="2060" spans="1:4" x14ac:dyDescent="0.2">
      <c r="A2060" s="5">
        <v>1999</v>
      </c>
      <c r="B2060" s="138">
        <f>'Cap Outlay Deprec 26'!L13</f>
        <v>168371</v>
      </c>
      <c r="C2060" s="2" t="s">
        <v>573</v>
      </c>
      <c r="D2060" s="2" t="str">
        <f t="shared" si="31"/>
        <v>Error?</v>
      </c>
    </row>
    <row r="2061" spans="1:4" x14ac:dyDescent="0.2">
      <c r="A2061" s="5">
        <v>2000</v>
      </c>
      <c r="B2061" s="138">
        <f>'Cap Outlay Deprec 26'!L16</f>
        <v>18502926.350000001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266522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266797</v>
      </c>
      <c r="C2088" s="2" t="s">
        <v>573</v>
      </c>
      <c r="D2088" s="2" t="str">
        <f t="shared" si="31"/>
        <v>Error?</v>
      </c>
    </row>
    <row r="2089" spans="1:4" x14ac:dyDescent="0.2">
      <c r="A2089" s="5">
        <v>2028</v>
      </c>
      <c r="B2089" s="138">
        <f>'Expenditures 15-22'!K92</f>
        <v>143034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61890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16889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3975983</v>
      </c>
      <c r="C2551" s="2" t="s">
        <v>573</v>
      </c>
      <c r="D2551" s="2" t="str">
        <f t="shared" si="38"/>
        <v>Error?</v>
      </c>
    </row>
    <row r="2552" spans="1:4" x14ac:dyDescent="0.2">
      <c r="A2552" s="10">
        <v>2491</v>
      </c>
      <c r="D2552" s="2" t="str">
        <f t="shared" si="38"/>
        <v>OK</v>
      </c>
    </row>
    <row r="2553" spans="1:4" x14ac:dyDescent="0.2">
      <c r="A2553" s="5">
        <v>2492</v>
      </c>
      <c r="B2553" s="138">
        <f>'Acct Summary 7-8'!C6</f>
        <v>7667348</v>
      </c>
      <c r="C2553" s="2" t="s">
        <v>573</v>
      </c>
      <c r="D2553" s="2" t="str">
        <f t="shared" si="38"/>
        <v>Error?</v>
      </c>
    </row>
    <row r="2554" spans="1:4" x14ac:dyDescent="0.2">
      <c r="A2554" s="5">
        <v>2493</v>
      </c>
      <c r="B2554" s="138">
        <f>'Acct Summary 7-8'!C7</f>
        <v>1476832</v>
      </c>
      <c r="C2554" s="2" t="s">
        <v>573</v>
      </c>
      <c r="D2554" s="2" t="str">
        <f t="shared" si="38"/>
        <v>Error?</v>
      </c>
    </row>
    <row r="2555" spans="1:4" x14ac:dyDescent="0.2">
      <c r="A2555" s="5">
        <v>2494</v>
      </c>
      <c r="B2555" s="138">
        <f>'Acct Summary 7-8'!C8</f>
        <v>13120163</v>
      </c>
      <c r="C2555" s="2" t="s">
        <v>573</v>
      </c>
      <c r="D2555" s="2" t="str">
        <f t="shared" si="38"/>
        <v>Error?</v>
      </c>
    </row>
    <row r="2556" spans="1:4" x14ac:dyDescent="0.2">
      <c r="A2556" s="5">
        <v>2495</v>
      </c>
      <c r="B2556" s="138">
        <f>'Acct Summary 7-8'!C12</f>
        <v>8755623</v>
      </c>
      <c r="C2556" s="2" t="s">
        <v>573</v>
      </c>
      <c r="D2556" s="2" t="str">
        <f t="shared" si="38"/>
        <v>Error?</v>
      </c>
    </row>
    <row r="2557" spans="1:4" x14ac:dyDescent="0.2">
      <c r="A2557" s="5">
        <v>2496</v>
      </c>
      <c r="B2557" s="138">
        <f>'Acct Summary 7-8'!C13</f>
        <v>3456555</v>
      </c>
      <c r="C2557" s="2" t="s">
        <v>573</v>
      </c>
      <c r="D2557" s="2" t="str">
        <f t="shared" si="38"/>
        <v>Error?</v>
      </c>
    </row>
    <row r="2558" spans="1:4" x14ac:dyDescent="0.2">
      <c r="A2558" s="5">
        <v>2497</v>
      </c>
      <c r="B2558" s="138">
        <f>'Acct Summary 7-8'!C14</f>
        <v>25786</v>
      </c>
      <c r="C2558" s="2" t="s">
        <v>573</v>
      </c>
      <c r="D2558" s="2" t="str">
        <f t="shared" si="38"/>
        <v>Error?</v>
      </c>
    </row>
    <row r="2559" spans="1:4" x14ac:dyDescent="0.2">
      <c r="A2559" s="5">
        <v>2498</v>
      </c>
      <c r="B2559" s="138">
        <f>'Acct Summary 7-8'!C15</f>
        <v>409831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12647795</v>
      </c>
      <c r="C2561" s="2" t="s">
        <v>573</v>
      </c>
      <c r="D2561" s="2" t="str">
        <f t="shared" si="39"/>
        <v>Error?</v>
      </c>
    </row>
    <row r="2562" spans="1:4" x14ac:dyDescent="0.2">
      <c r="A2562" s="5">
        <v>2501</v>
      </c>
      <c r="B2562" s="138">
        <f>'Acct Summary 7-8'!C20</f>
        <v>472368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1091359</v>
      </c>
      <c r="C2564" s="2" t="s">
        <v>573</v>
      </c>
      <c r="D2564" s="2" t="str">
        <f t="shared" si="39"/>
        <v>Error?</v>
      </c>
    </row>
    <row r="2565" spans="1:4" x14ac:dyDescent="0.2">
      <c r="A2565" s="10">
        <v>2504</v>
      </c>
      <c r="D2565" s="2" t="str">
        <f t="shared" si="39"/>
        <v>OK</v>
      </c>
    </row>
    <row r="2566" spans="1:4" x14ac:dyDescent="0.2">
      <c r="A2566" s="5">
        <v>2505</v>
      </c>
      <c r="B2566" s="138">
        <f>'Acct Summary 7-8'!D6</f>
        <v>76658</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1168017</v>
      </c>
      <c r="C2568" s="2" t="s">
        <v>573</v>
      </c>
      <c r="D2568" s="2" t="str">
        <f t="shared" si="39"/>
        <v>Error?</v>
      </c>
    </row>
    <row r="2569" spans="1:4" x14ac:dyDescent="0.2">
      <c r="A2569" s="5">
        <v>2508</v>
      </c>
      <c r="B2569" s="138">
        <f>'Acct Summary 7-8'!D13</f>
        <v>1270718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1270718</v>
      </c>
      <c r="C2573" s="2" t="s">
        <v>573</v>
      </c>
      <c r="D2573" s="2" t="str">
        <f t="shared" si="39"/>
        <v>Error?</v>
      </c>
    </row>
    <row r="2574" spans="1:4" x14ac:dyDescent="0.2">
      <c r="A2574" s="5">
        <v>2513</v>
      </c>
      <c r="B2574" s="138">
        <f>'Acct Summary 7-8'!D20</f>
        <v>-102701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308819</v>
      </c>
      <c r="C2591" s="2" t="s">
        <v>573</v>
      </c>
      <c r="D2591" s="2" t="str">
        <f t="shared" si="39"/>
        <v>Error?</v>
      </c>
    </row>
    <row r="2592" spans="1:4" x14ac:dyDescent="0.2">
      <c r="A2592" s="10">
        <v>2531</v>
      </c>
      <c r="D2592" s="2" t="str">
        <f t="shared" si="39"/>
        <v>OK</v>
      </c>
    </row>
    <row r="2593" spans="1:4" x14ac:dyDescent="0.2">
      <c r="A2593" s="5">
        <v>2532</v>
      </c>
      <c r="B2593" s="138">
        <f>'Acct Summary 7-8'!F6</f>
        <v>458660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767479</v>
      </c>
      <c r="C2595" s="2" t="s">
        <v>573</v>
      </c>
      <c r="D2595" s="2" t="str">
        <f t="shared" si="39"/>
        <v>Error?</v>
      </c>
    </row>
    <row r="2596" spans="1:4" x14ac:dyDescent="0.2">
      <c r="A2596" s="5">
        <v>2535</v>
      </c>
      <c r="B2596" s="138">
        <f>'Acct Summary 7-8'!F13</f>
        <v>720112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720112</v>
      </c>
      <c r="C2600" s="2" t="s">
        <v>573</v>
      </c>
      <c r="D2600" s="2" t="str">
        <f t="shared" si="39"/>
        <v>Error?</v>
      </c>
    </row>
    <row r="2601" spans="1:4" x14ac:dyDescent="0.2">
      <c r="A2601" s="5">
        <v>2540</v>
      </c>
      <c r="B2601" s="138">
        <f>'Acct Summary 7-8'!F20</f>
        <v>47367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503719</v>
      </c>
      <c r="C2603" s="2" t="s">
        <v>573</v>
      </c>
      <c r="D2603" s="2" t="str">
        <f t="shared" si="39"/>
        <v>Error?</v>
      </c>
    </row>
    <row r="2604" spans="1:4" x14ac:dyDescent="0.2">
      <c r="A2604" s="5">
        <v>2543</v>
      </c>
      <c r="B2604" s="138">
        <f>'Acct Summary 7-8'!G6</f>
        <v>9051</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512770</v>
      </c>
      <c r="C2606" s="2" t="s">
        <v>573</v>
      </c>
      <c r="D2606" s="2" t="str">
        <f t="shared" si="39"/>
        <v>Error?</v>
      </c>
    </row>
    <row r="2607" spans="1:4" x14ac:dyDescent="0.2">
      <c r="A2607" s="5">
        <v>2546</v>
      </c>
      <c r="B2607" s="138">
        <f>'Acct Summary 7-8'!G12</f>
        <v>165811</v>
      </c>
      <c r="C2607" s="2" t="s">
        <v>573</v>
      </c>
      <c r="D2607" s="2" t="str">
        <f t="shared" si="39"/>
        <v>Error?</v>
      </c>
    </row>
    <row r="2608" spans="1:4" x14ac:dyDescent="0.2">
      <c r="A2608" s="5">
        <v>2547</v>
      </c>
      <c r="B2608" s="138">
        <f>'Acct Summary 7-8'!G13</f>
        <v>376089</v>
      </c>
      <c r="C2608" s="2" t="s">
        <v>573</v>
      </c>
      <c r="D2608" s="2" t="str">
        <f t="shared" si="39"/>
        <v>Error?</v>
      </c>
    </row>
    <row r="2609" spans="1:4" x14ac:dyDescent="0.2">
      <c r="A2609" s="5">
        <v>2548</v>
      </c>
      <c r="B2609" s="138">
        <f>'Acct Summary 7-8'!G14</f>
        <v>252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542152</v>
      </c>
      <c r="C2612" s="2" t="s">
        <v>573</v>
      </c>
      <c r="D2612" s="2" t="str">
        <f t="shared" si="39"/>
        <v>Error?</v>
      </c>
    </row>
    <row r="2613" spans="1:4" x14ac:dyDescent="0.2">
      <c r="A2613" s="5">
        <v>2552</v>
      </c>
      <c r="B2613" s="138">
        <f>'Acct Summary 7-8'!G20</f>
        <v>-29382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1511669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1511669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1510437</v>
      </c>
      <c r="C2634" s="2" t="s">
        <v>573</v>
      </c>
      <c r="D2634" s="2" t="str">
        <f t="shared" si="40"/>
        <v>Error?</v>
      </c>
    </row>
    <row r="2635" spans="1:4" x14ac:dyDescent="0.2">
      <c r="A2635" s="5">
        <v>2574</v>
      </c>
      <c r="B2635" s="138">
        <f>'Acct Summary 7-8'!E17</f>
        <v>1510437</v>
      </c>
      <c r="C2635" s="2" t="s">
        <v>573</v>
      </c>
      <c r="D2635" s="2" t="str">
        <f t="shared" si="40"/>
        <v>Error?</v>
      </c>
    </row>
    <row r="2636" spans="1:4" x14ac:dyDescent="0.2">
      <c r="A2636" s="5">
        <v>2575</v>
      </c>
      <c r="B2636" s="138">
        <f>'Acct Summary 7-8'!E20</f>
        <v>1232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10709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10709</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10709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66850</v>
      </c>
      <c r="D2718" s="2" t="str">
        <f t="shared" si="41"/>
        <v>Error?</v>
      </c>
    </row>
    <row r="2719" spans="1:4" x14ac:dyDescent="0.2">
      <c r="A2719" s="5">
        <v>2658</v>
      </c>
      <c r="B2719" s="138">
        <f>'Expenditures 15-22'!D51</f>
        <v>17079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83929</v>
      </c>
      <c r="C2724" s="2" t="s">
        <v>573</v>
      </c>
      <c r="D2724" s="2" t="str">
        <f t="shared" si="41"/>
        <v>Error?</v>
      </c>
    </row>
    <row r="2725" spans="1:4" x14ac:dyDescent="0.2">
      <c r="A2725" s="5">
        <v>2664</v>
      </c>
      <c r="B2725" s="138">
        <f>'Expenditures 15-22'!D247</f>
        <v>1356</v>
      </c>
      <c r="D2725" s="2" t="str">
        <f t="shared" si="41"/>
        <v>Error?</v>
      </c>
    </row>
    <row r="2726" spans="1:4" x14ac:dyDescent="0.2">
      <c r="A2726" s="5">
        <v>2665</v>
      </c>
      <c r="B2726" s="138">
        <f>'Expenditures 15-22'!K247</f>
        <v>1356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275</v>
      </c>
      <c r="C2789" s="2" t="s">
        <v>573</v>
      </c>
      <c r="D2789" s="2" t="str">
        <f t="shared" si="42"/>
        <v>Error?</v>
      </c>
    </row>
    <row r="2790" spans="1:4" x14ac:dyDescent="0.2">
      <c r="A2790" s="5">
        <v>2729</v>
      </c>
      <c r="B2790" s="138">
        <f>'Expenditures 15-22'!E102</f>
        <v>275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468654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475742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477815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234623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477815</v>
      </c>
      <c r="D2912" s="2" t="str">
        <f t="shared" si="44"/>
        <v>Error?</v>
      </c>
    </row>
    <row r="2913" spans="1:4" x14ac:dyDescent="0.2">
      <c r="A2913" s="5">
        <v>2852</v>
      </c>
      <c r="B2913" s="138">
        <f>'Assets-Liab 5-6'!I41</f>
        <v>477815</v>
      </c>
      <c r="C2913" s="2" t="s">
        <v>573</v>
      </c>
      <c r="D2913" s="2" t="str">
        <f t="shared" si="44"/>
        <v>Error?</v>
      </c>
    </row>
    <row r="2914" spans="1:4" x14ac:dyDescent="0.2">
      <c r="A2914" s="5">
        <v>2853</v>
      </c>
      <c r="B2914" s="138">
        <f>'Assets-Liab 5-6'!L33</f>
        <v>234623</v>
      </c>
      <c r="D2914" s="2" t="str">
        <f t="shared" si="44"/>
        <v>Error?</v>
      </c>
    </row>
    <row r="2915" spans="1:4" x14ac:dyDescent="0.2">
      <c r="A2915" s="10">
        <v>2854</v>
      </c>
      <c r="D2915" s="2" t="str">
        <f t="shared" si="44"/>
        <v>OK</v>
      </c>
    </row>
    <row r="2916" spans="1:4" x14ac:dyDescent="0.2">
      <c r="A2916" s="5">
        <v>2855</v>
      </c>
      <c r="B2916" s="138">
        <f>'Assets-Liab 5-6'!L34</f>
        <v>234623</v>
      </c>
      <c r="C2916" s="2" t="s">
        <v>573</v>
      </c>
      <c r="D2916" s="2" t="str">
        <f t="shared" si="44"/>
        <v>Error?</v>
      </c>
    </row>
    <row r="2917" spans="1:4" x14ac:dyDescent="0.2">
      <c r="A2917" s="5">
        <v>2856</v>
      </c>
      <c r="B2917" s="138">
        <f>'Assets-Liab 5-6'!L41</f>
        <v>234623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275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260066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6456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275</v>
      </c>
      <c r="C2973" s="2" t="s">
        <v>573</v>
      </c>
      <c r="D2973" s="2" t="str">
        <f t="shared" si="45"/>
        <v>Error?</v>
      </c>
    </row>
    <row r="2974" spans="1:4" x14ac:dyDescent="0.2">
      <c r="A2974" s="5">
        <v>2913</v>
      </c>
      <c r="B2974" s="138">
        <f>'Expenditures 15-22'!K79</f>
        <v>260066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6456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330661</v>
      </c>
      <c r="D3055" s="2" t="str">
        <f t="shared" si="46"/>
        <v>Error?</v>
      </c>
    </row>
    <row r="3056" spans="1:4" x14ac:dyDescent="0.2">
      <c r="A3056" s="5">
        <v>2995</v>
      </c>
      <c r="B3056" s="138">
        <f>'Expenditures 15-22'!D10</f>
        <v>82201</v>
      </c>
      <c r="D3056" s="2" t="str">
        <f t="shared" si="46"/>
        <v>Error?</v>
      </c>
    </row>
    <row r="3057" spans="1:4" x14ac:dyDescent="0.2">
      <c r="A3057" s="5">
        <v>2996</v>
      </c>
      <c r="B3057" s="138">
        <f>'Expenditures 15-22'!E10</f>
        <v>30987</v>
      </c>
      <c r="D3057" s="2" t="str">
        <f t="shared" si="46"/>
        <v>Error?</v>
      </c>
    </row>
    <row r="3058" spans="1:4" x14ac:dyDescent="0.2">
      <c r="A3058" s="5">
        <v>2997</v>
      </c>
      <c r="B3058" s="138">
        <f>'Expenditures 15-22'!F10</f>
        <v>156198</v>
      </c>
      <c r="D3058" s="2" t="str">
        <f t="shared" si="46"/>
        <v>Error?</v>
      </c>
    </row>
    <row r="3059" spans="1:4" x14ac:dyDescent="0.2">
      <c r="A3059" s="5">
        <v>2998</v>
      </c>
      <c r="B3059" s="138">
        <f>'Expenditures 15-22'!G10</f>
        <v>11175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611222</v>
      </c>
      <c r="C3062" s="2" t="s">
        <v>573</v>
      </c>
      <c r="D3062" s="2" t="str">
        <f t="shared" si="46"/>
        <v>Error?</v>
      </c>
    </row>
    <row r="3063" spans="1:4" x14ac:dyDescent="0.2">
      <c r="A3063" s="10">
        <v>3002</v>
      </c>
      <c r="D3063" s="2" t="str">
        <f t="shared" si="46"/>
        <v>OK</v>
      </c>
    </row>
    <row r="3064" spans="1:4" x14ac:dyDescent="0.2">
      <c r="A3064" s="5">
        <v>3003</v>
      </c>
      <c r="B3064" s="138">
        <f>'Expenditures 15-22'!D219</f>
        <v>11708</v>
      </c>
      <c r="D3064" s="2" t="str">
        <f t="shared" si="46"/>
        <v>Error?</v>
      </c>
    </row>
    <row r="3065" spans="1:4" x14ac:dyDescent="0.2">
      <c r="A3065" s="5">
        <v>3004</v>
      </c>
      <c r="B3065" s="138">
        <f>'Expenditures 15-22'!K219</f>
        <v>11708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68348</v>
      </c>
      <c r="C3225" s="2" t="s">
        <v>573</v>
      </c>
      <c r="D3225" s="2" t="str">
        <f t="shared" si="49"/>
        <v>Error?</v>
      </c>
    </row>
    <row r="3226" spans="1:4" x14ac:dyDescent="0.2">
      <c r="A3226" s="5">
        <v>3165</v>
      </c>
      <c r="B3226" s="138">
        <f>'Acct Summary 7-8'!I8</f>
        <v>68348</v>
      </c>
      <c r="C3226" s="2" t="s">
        <v>573</v>
      </c>
      <c r="D3226" s="2" t="str">
        <f t="shared" si="49"/>
        <v>Error?</v>
      </c>
    </row>
    <row r="3227" spans="1:4" x14ac:dyDescent="0.2">
      <c r="A3227" s="5">
        <v>3166</v>
      </c>
      <c r="B3227" s="138">
        <f>'Acct Summary 7-8'!I20</f>
        <v>68348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472368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-102701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47367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-29382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1232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10709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68348</v>
      </c>
      <c r="C3320" s="2" t="s">
        <v>573</v>
      </c>
      <c r="D3320" s="2" t="str">
        <f t="shared" si="50"/>
        <v>Error?</v>
      </c>
    </row>
    <row r="3321" spans="1:4" x14ac:dyDescent="0.2">
      <c r="A3321" s="5">
        <v>3260</v>
      </c>
      <c r="B3321" s="138">
        <f>'Acct Summary 7-8'!I79</f>
        <v>409467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477815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993388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168292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1169787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59491</v>
      </c>
      <c r="D3387" s="2" t="str">
        <f t="shared" si="51"/>
        <v>Error?</v>
      </c>
    </row>
    <row r="3388" spans="1:4" x14ac:dyDescent="0.2">
      <c r="A3388" s="5">
        <v>3327</v>
      </c>
      <c r="B3388" s="138">
        <f>'Expenditures 15-22'!D217</f>
        <v>62790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59491</v>
      </c>
      <c r="C3390" s="2" t="s">
        <v>573</v>
      </c>
      <c r="D3390" s="2" t="str">
        <f t="shared" si="51"/>
        <v>Error?</v>
      </c>
    </row>
    <row r="3391" spans="1:4" x14ac:dyDescent="0.2">
      <c r="A3391" s="5">
        <v>3330</v>
      </c>
      <c r="B3391" s="138">
        <f>'Expenditures 15-22'!K217</f>
        <v>62790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484243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143167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v>
      </c>
      <c r="D3417" s="2" t="str">
        <f t="shared" si="52"/>
        <v>Error?</v>
      </c>
    </row>
    <row r="3418" spans="1:4" x14ac:dyDescent="0.2">
      <c r="A3418" s="10">
        <v>3357</v>
      </c>
      <c r="D3418" s="2" t="str">
        <f t="shared" si="52"/>
        <v>OK</v>
      </c>
    </row>
    <row r="3419" spans="1:4" x14ac:dyDescent="0.2">
      <c r="A3419" s="5">
        <v>3358</v>
      </c>
      <c r="B3419" s="138">
        <f>'Assets-Liab 5-6'!F4</f>
        <v>63068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46240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6307</v>
      </c>
      <c r="D3425" s="2" t="str">
        <f t="shared" si="52"/>
        <v>Error?</v>
      </c>
    </row>
    <row r="3426" spans="1:4" x14ac:dyDescent="0.2">
      <c r="A3426" s="10">
        <v>3365</v>
      </c>
      <c r="D3426" s="2" t="str">
        <f t="shared" si="52"/>
        <v>OK</v>
      </c>
    </row>
    <row r="3427" spans="1:4" x14ac:dyDescent="0.2">
      <c r="A3427" s="5">
        <v>3366</v>
      </c>
      <c r="B3427" s="138">
        <f>'Assets-Liab 5-6'!I4</f>
        <v>2073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234623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219987</v>
      </c>
      <c r="C3446" s="2" t="s">
        <v>573</v>
      </c>
      <c r="D3446" s="2" t="str">
        <f t="shared" si="52"/>
        <v>Error?</v>
      </c>
    </row>
    <row r="3447" spans="1:4" x14ac:dyDescent="0.2">
      <c r="A3447" s="5">
        <v>3386</v>
      </c>
      <c r="B3447" s="138">
        <f>'Tax Sched 23'!D16</f>
        <v>219987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275138</v>
      </c>
      <c r="C3449" s="2" t="s">
        <v>573</v>
      </c>
      <c r="D3449" s="2" t="str">
        <f t="shared" si="52"/>
        <v>Error?</v>
      </c>
    </row>
    <row r="3450" spans="1:4" x14ac:dyDescent="0.2">
      <c r="A3450" s="5">
        <v>3389</v>
      </c>
      <c r="B3450" s="138">
        <f>'Tax Sched 23'!E16</f>
        <v>275138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468654.35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468654.35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468654.35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214953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216292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216292</v>
      </c>
      <c r="D3567" s="2" t="str">
        <f t="shared" si="54"/>
        <v>Error?</v>
      </c>
    </row>
    <row r="3568" spans="1:4" x14ac:dyDescent="0.2">
      <c r="A3568" s="5">
        <v>3507</v>
      </c>
      <c r="B3568" s="138">
        <f>'Assets-Liab 5-6'!K41</f>
        <v>216292</v>
      </c>
      <c r="C3568" s="2" t="s">
        <v>573</v>
      </c>
      <c r="D3568" s="2" t="str">
        <f t="shared" si="54"/>
        <v>Error?</v>
      </c>
    </row>
    <row r="3569" spans="1:4" x14ac:dyDescent="0.2">
      <c r="A3569" s="5">
        <v>3508</v>
      </c>
      <c r="B3569" s="138">
        <f>'Acct Summary 7-8'!K4</f>
        <v>62893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62893</v>
      </c>
      <c r="C3571" s="2" t="s">
        <v>573</v>
      </c>
      <c r="D3571" s="2" t="str">
        <f t="shared" si="54"/>
        <v>Error?</v>
      </c>
    </row>
    <row r="3572" spans="1:4" x14ac:dyDescent="0.2">
      <c r="A3572" s="5">
        <v>3511</v>
      </c>
      <c r="B3572" s="138">
        <f>'Acct Summary 7-8'!K13</f>
        <v>28411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28411</v>
      </c>
      <c r="C3575" s="2" t="s">
        <v>573</v>
      </c>
      <c r="D3575" s="2" t="str">
        <f t="shared" si="54"/>
        <v>Error?</v>
      </c>
    </row>
    <row r="3576" spans="1:4" x14ac:dyDescent="0.2">
      <c r="A3576" s="5">
        <v>3515</v>
      </c>
      <c r="B3576" s="138">
        <f>'Acct Summary 7-8'!K20</f>
        <v>34482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34482</v>
      </c>
      <c r="C3588" s="2" t="s">
        <v>573</v>
      </c>
      <c r="D3588" s="2" t="str">
        <f t="shared" si="55"/>
        <v>Error?</v>
      </c>
    </row>
    <row r="3589" spans="1:4" x14ac:dyDescent="0.2">
      <c r="A3589" s="5">
        <v>3528</v>
      </c>
      <c r="B3589" s="138">
        <f>'Acct Summary 7-8'!K79</f>
        <v>181810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216292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652</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652</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652</v>
      </c>
      <c r="C3621" s="2" t="s">
        <v>573</v>
      </c>
      <c r="D3621" s="2" t="str">
        <f t="shared" si="55"/>
        <v>Error?</v>
      </c>
    </row>
    <row r="3622" spans="1:4" x14ac:dyDescent="0.2">
      <c r="A3622" s="5">
        <v>3561</v>
      </c>
      <c r="B3622" s="138">
        <f>'Expenditures 15-22'!C367</f>
        <v>652</v>
      </c>
      <c r="C3622" s="2" t="s">
        <v>573</v>
      </c>
      <c r="D3622" s="2" t="str">
        <f t="shared" si="55"/>
        <v>Error?</v>
      </c>
    </row>
    <row r="3623" spans="1:4" x14ac:dyDescent="0.2">
      <c r="A3623" s="10">
        <v>3562</v>
      </c>
      <c r="D3623" s="2" t="str">
        <f t="shared" si="55"/>
        <v>OK</v>
      </c>
    </row>
    <row r="3624" spans="1:4" x14ac:dyDescent="0.2">
      <c r="A3624" s="5">
        <v>3563</v>
      </c>
      <c r="B3624" s="138">
        <f>'Expenditures 15-22'!D348</f>
        <v>70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70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70</v>
      </c>
      <c r="C3628" s="2" t="s">
        <v>573</v>
      </c>
      <c r="D3628" s="2" t="str">
        <f t="shared" si="55"/>
        <v>Error?</v>
      </c>
    </row>
    <row r="3629" spans="1:4" x14ac:dyDescent="0.2">
      <c r="A3629" s="5">
        <v>3568</v>
      </c>
      <c r="B3629" s="138">
        <f>'Expenditures 15-22'!D367</f>
        <v>70</v>
      </c>
      <c r="C3629" s="2" t="s">
        <v>573</v>
      </c>
      <c r="D3629" s="2" t="str">
        <f t="shared" si="55"/>
        <v>Error?</v>
      </c>
    </row>
    <row r="3630" spans="1:4" x14ac:dyDescent="0.2">
      <c r="A3630" s="10">
        <v>3569</v>
      </c>
      <c r="D3630" s="2" t="str">
        <f t="shared" si="55"/>
        <v>OK</v>
      </c>
    </row>
    <row r="3631" spans="1:4" x14ac:dyDescent="0.2">
      <c r="A3631" s="5">
        <v>3570</v>
      </c>
      <c r="B3631" s="138">
        <f>'Expenditures 15-22'!E348</f>
        <v>27689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27689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27689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28411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28411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28411</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28411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34482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58590</v>
      </c>
      <c r="C3725" s="2" t="s">
        <v>573</v>
      </c>
      <c r="D3725" s="2" t="str">
        <f t="shared" si="57"/>
        <v>Error?</v>
      </c>
    </row>
    <row r="3726" spans="1:4" x14ac:dyDescent="0.2">
      <c r="A3726" s="5">
        <v>3665</v>
      </c>
      <c r="B3726" s="138">
        <f>'Tax Sched 23'!D13</f>
        <v>58590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60744</v>
      </c>
      <c r="C3728" s="2" t="s">
        <v>573</v>
      </c>
      <c r="D3728" s="2" t="str">
        <f t="shared" si="57"/>
        <v>Error?</v>
      </c>
    </row>
    <row r="3729" spans="1:4" x14ac:dyDescent="0.2">
      <c r="A3729" s="5">
        <v>3668</v>
      </c>
      <c r="B3729" s="138">
        <f>'Tax Sched 23'!E13</f>
        <v>60744</v>
      </c>
      <c r="D3729" s="2" t="str">
        <f t="shared" si="57"/>
        <v>Error?</v>
      </c>
    </row>
    <row r="3730" spans="1:4" x14ac:dyDescent="0.2">
      <c r="A3730" s="5">
        <v>3669</v>
      </c>
      <c r="B3730" s="138">
        <f>'ICR Computation 30'!E10</f>
        <v>456314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5409493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18529656</v>
      </c>
      <c r="C4122" s="2" t="s">
        <v>573</v>
      </c>
      <c r="D4122" s="2" t="str">
        <f t="shared" si="63"/>
        <v>Error?</v>
      </c>
    </row>
    <row r="4123" spans="1:4" x14ac:dyDescent="0.2">
      <c r="A4123" s="5">
        <v>4062</v>
      </c>
      <c r="B4123" s="138">
        <f>'Acct Summary 7-8'!D10</f>
        <v>1168017</v>
      </c>
      <c r="C4123" s="2" t="s">
        <v>573</v>
      </c>
      <c r="D4123" s="2" t="str">
        <f t="shared" si="63"/>
        <v>Error?</v>
      </c>
    </row>
    <row r="4124" spans="1:4" x14ac:dyDescent="0.2">
      <c r="A4124" s="5">
        <v>4063</v>
      </c>
      <c r="B4124" s="138">
        <f>'Acct Summary 7-8'!E10</f>
        <v>1511669</v>
      </c>
      <c r="C4124" s="2" t="s">
        <v>573</v>
      </c>
      <c r="D4124" s="2" t="str">
        <f t="shared" si="63"/>
        <v>Error?</v>
      </c>
    </row>
    <row r="4125" spans="1:4" x14ac:dyDescent="0.2">
      <c r="A4125" s="5">
        <v>4064</v>
      </c>
      <c r="B4125" s="138">
        <f>'Acct Summary 7-8'!F10</f>
        <v>767479</v>
      </c>
      <c r="C4125" s="2" t="s">
        <v>573</v>
      </c>
      <c r="D4125" s="2" t="str">
        <f t="shared" si="63"/>
        <v>Error?</v>
      </c>
    </row>
    <row r="4126" spans="1:4" x14ac:dyDescent="0.2">
      <c r="A4126" s="5">
        <v>4065</v>
      </c>
      <c r="B4126" s="138">
        <f>'Acct Summary 7-8'!G10</f>
        <v>512770</v>
      </c>
      <c r="C4126" s="2" t="s">
        <v>573</v>
      </c>
      <c r="D4126" s="2" t="str">
        <f t="shared" si="63"/>
        <v>Error?</v>
      </c>
    </row>
    <row r="4127" spans="1:4" x14ac:dyDescent="0.2">
      <c r="A4127" s="5">
        <v>4066</v>
      </c>
      <c r="B4127" s="138">
        <f>'Acct Summary 7-8'!H10</f>
        <v>10709</v>
      </c>
      <c r="C4127" s="2" t="s">
        <v>573</v>
      </c>
      <c r="D4127" s="2" t="str">
        <f t="shared" si="63"/>
        <v>Error?</v>
      </c>
    </row>
    <row r="4128" spans="1:4" x14ac:dyDescent="0.2">
      <c r="A4128" s="5">
        <v>4067</v>
      </c>
      <c r="B4128" s="138">
        <f>'Acct Summary 7-8'!I10</f>
        <v>68348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62893</v>
      </c>
      <c r="C4130" s="2" t="s">
        <v>573</v>
      </c>
      <c r="D4130" s="2" t="str">
        <f t="shared" si="63"/>
        <v>Error?</v>
      </c>
    </row>
    <row r="4131" spans="1:4" x14ac:dyDescent="0.2">
      <c r="A4131" s="5">
        <v>4070</v>
      </c>
      <c r="B4131" s="138">
        <f>'Acct Summary 7-8'!C18</f>
        <v>5409493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18057288</v>
      </c>
      <c r="C4136" s="2" t="s">
        <v>573</v>
      </c>
      <c r="D4136" s="2" t="str">
        <f t="shared" si="63"/>
        <v>Error?</v>
      </c>
    </row>
    <row r="4137" spans="1:4" x14ac:dyDescent="0.2">
      <c r="A4137" s="5">
        <v>4076</v>
      </c>
      <c r="B4137" s="138">
        <f>'Acct Summary 7-8'!D19</f>
        <v>1270718</v>
      </c>
      <c r="C4137" s="2" t="s">
        <v>573</v>
      </c>
      <c r="D4137" s="2" t="str">
        <f t="shared" si="63"/>
        <v>Error?</v>
      </c>
    </row>
    <row r="4138" spans="1:4" x14ac:dyDescent="0.2">
      <c r="A4138" s="5">
        <v>4077</v>
      </c>
      <c r="B4138" s="138">
        <f>'Acct Summary 7-8'!E19</f>
        <v>1510437</v>
      </c>
      <c r="C4138" s="2" t="s">
        <v>573</v>
      </c>
      <c r="D4138" s="2" t="str">
        <f t="shared" si="63"/>
        <v>Error?</v>
      </c>
    </row>
    <row r="4139" spans="1:4" x14ac:dyDescent="0.2">
      <c r="A4139" s="5">
        <v>4078</v>
      </c>
      <c r="B4139" s="138">
        <f>'Acct Summary 7-8'!F19</f>
        <v>720112</v>
      </c>
      <c r="C4139" s="2" t="s">
        <v>573</v>
      </c>
      <c r="D4139" s="2" t="str">
        <f t="shared" si="63"/>
        <v>Error?</v>
      </c>
    </row>
    <row r="4140" spans="1:4" x14ac:dyDescent="0.2">
      <c r="A4140" s="5">
        <v>4079</v>
      </c>
      <c r="B4140" s="138">
        <f>'Acct Summary 7-8'!G19</f>
        <v>542152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28411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13500500</v>
      </c>
      <c r="C4171" s="2" t="s">
        <v>573</v>
      </c>
      <c r="D4171" s="2" t="str">
        <f t="shared" si="64"/>
        <v>Error?</v>
      </c>
    </row>
    <row r="4172" spans="1:4" x14ac:dyDescent="0.2">
      <c r="A4172" s="5">
        <v>4111</v>
      </c>
      <c r="B4172" s="138">
        <f>'Short-Term Long-Term Debt 24'!J49</f>
        <v>13450298</v>
      </c>
      <c r="C4172" s="2" t="s">
        <v>573</v>
      </c>
      <c r="D4172" s="2" t="str">
        <f t="shared" si="64"/>
        <v>Error?</v>
      </c>
    </row>
    <row r="4173" spans="1:4" x14ac:dyDescent="0.2">
      <c r="A4173" s="5">
        <v>4112</v>
      </c>
      <c r="B4173" s="138">
        <f>'Short-Term Long-Term Debt 24'!H49</f>
        <v>1115400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254.95000000000002</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2295</v>
      </c>
      <c r="C4268" s="2" t="s">
        <v>573</v>
      </c>
      <c r="D4268" s="2" t="str">
        <f t="shared" si="65"/>
        <v>Error?</v>
      </c>
    </row>
    <row r="4269" spans="1:5" x14ac:dyDescent="0.2">
      <c r="A4269" s="12">
        <v>4208</v>
      </c>
      <c r="B4269" s="138">
        <f>'FP Info 3'!J16</f>
        <v>7902831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13057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24714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58328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27333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27333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14118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65544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8309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121487127</v>
      </c>
      <c r="D4995" s="2" t="str">
        <f t="shared" si="77"/>
        <v>Error?</v>
      </c>
    </row>
    <row r="4996" spans="1:4" x14ac:dyDescent="0.2">
      <c r="A4996" s="12">
        <v>4935</v>
      </c>
      <c r="B4996" s="138">
        <f>'FP Info 3'!H31</f>
        <v>16765223.526000001</v>
      </c>
      <c r="D4996" s="2" t="str">
        <f t="shared" si="77"/>
        <v>Error?</v>
      </c>
    </row>
    <row r="4997" spans="1:4" x14ac:dyDescent="0.2">
      <c r="A4997" s="12">
        <v>4936</v>
      </c>
      <c r="B4997" s="138">
        <f>'FP Info 3'!H37</f>
        <v>13500500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2161125</v>
      </c>
      <c r="D5061" s="2" t="str">
        <f t="shared" si="78"/>
        <v>Error?</v>
      </c>
    </row>
    <row r="5062" spans="1:4" x14ac:dyDescent="0.2">
      <c r="A5062" s="10">
        <v>5001</v>
      </c>
      <c r="D5062" s="2" t="str">
        <f t="shared" si="78"/>
        <v>OK</v>
      </c>
    </row>
    <row r="5063" spans="1:4" x14ac:dyDescent="0.2">
      <c r="A5063" s="5">
        <v>5002</v>
      </c>
      <c r="B5063" s="138">
        <f>'Revenues 9-14'!C7</f>
        <v>46984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2208109</v>
      </c>
      <c r="C5066" s="2" t="s">
        <v>573</v>
      </c>
      <c r="D5066" s="2" t="str">
        <f t="shared" si="78"/>
        <v>Error?</v>
      </c>
    </row>
    <row r="5067" spans="1:4" x14ac:dyDescent="0.2">
      <c r="A5067" s="5">
        <v>5006</v>
      </c>
      <c r="B5067" s="138">
        <f>'Revenues 9-14'!C14</f>
        <v>4249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216092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220341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67670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67670</v>
      </c>
      <c r="C5087" s="2" t="s">
        <v>573</v>
      </c>
      <c r="D5087" s="2" t="str">
        <f t="shared" si="78"/>
        <v>Error?</v>
      </c>
    </row>
    <row r="5088" spans="1:4" x14ac:dyDescent="0.2">
      <c r="A5088" s="5">
        <v>5027</v>
      </c>
      <c r="B5088" s="138">
        <f>'Revenues 9-14'!C65</f>
        <v>66866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66866</v>
      </c>
      <c r="C5090" s="2" t="s">
        <v>573</v>
      </c>
      <c r="D5090" s="2" t="str">
        <f t="shared" si="78"/>
        <v>Error?</v>
      </c>
    </row>
    <row r="5091" spans="1:4" x14ac:dyDescent="0.2">
      <c r="A5091" s="5">
        <v>5030</v>
      </c>
      <c r="B5091" s="138">
        <f>'Revenues 9-14'!C70</f>
        <v>21927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3000</v>
      </c>
      <c r="D5093" s="2" t="str">
        <f t="shared" si="78"/>
        <v>Error?</v>
      </c>
    </row>
    <row r="5094" spans="1:4" x14ac:dyDescent="0.2">
      <c r="A5094" s="5">
        <v>5033</v>
      </c>
      <c r="B5094" s="138">
        <f>'Revenues 9-14'!C73</f>
        <v>11004</v>
      </c>
      <c r="D5094" s="2" t="str">
        <f t="shared" si="78"/>
        <v>Error?</v>
      </c>
    </row>
    <row r="5095" spans="1:4" x14ac:dyDescent="0.2">
      <c r="A5095" s="5">
        <v>5034</v>
      </c>
      <c r="B5095" s="138">
        <f>'Revenues 9-14'!C74</f>
        <v>24357</v>
      </c>
      <c r="D5095" s="2" t="str">
        <f t="shared" si="78"/>
        <v>Error?</v>
      </c>
    </row>
    <row r="5096" spans="1:4" x14ac:dyDescent="0.2">
      <c r="A5096" s="5">
        <v>5035</v>
      </c>
      <c r="B5096" s="138">
        <f>'Revenues 9-14'!C75</f>
        <v>264472</v>
      </c>
      <c r="C5096" s="2" t="s">
        <v>573</v>
      </c>
      <c r="D5096" s="2" t="str">
        <f t="shared" si="78"/>
        <v>Error?</v>
      </c>
    </row>
    <row r="5097" spans="1:4" x14ac:dyDescent="0.2">
      <c r="A5097" s="5">
        <v>5036</v>
      </c>
      <c r="B5097" s="138">
        <f>'Revenues 9-14'!C77</f>
        <v>109270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95101</v>
      </c>
      <c r="D5099" s="2" t="str">
        <f t="shared" si="78"/>
        <v>Error?</v>
      </c>
    </row>
    <row r="5100" spans="1:4" x14ac:dyDescent="0.2">
      <c r="A5100" s="5">
        <v>5039</v>
      </c>
      <c r="B5100" s="138">
        <f>'Revenues 9-14'!C80</f>
        <v>30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204401</v>
      </c>
      <c r="C5102" s="2" t="s">
        <v>573</v>
      </c>
      <c r="D5102" s="2" t="str">
        <f t="shared" si="78"/>
        <v>Error?</v>
      </c>
    </row>
    <row r="5103" spans="1:4" x14ac:dyDescent="0.2">
      <c r="A5103" s="5">
        <v>5042</v>
      </c>
      <c r="B5103" s="138">
        <f>'Revenues 9-14'!C84</f>
        <v>33303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33303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703743</v>
      </c>
      <c r="D5115" s="2" t="str">
        <f t="shared" si="78"/>
        <v>Error?</v>
      </c>
    </row>
    <row r="5116" spans="1:4" x14ac:dyDescent="0.2">
      <c r="A5116" s="5">
        <v>5055</v>
      </c>
      <c r="B5116" s="138">
        <f>'Revenues 9-14'!C99</f>
        <v>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205640</v>
      </c>
      <c r="D5119" s="2" t="str">
        <f t="shared" ref="D5119:D5182" si="79">IF(ISBLANK(B5119),"OK",IF(A5119-B5119=0,"OK","Error?"))</f>
        <v>Error?</v>
      </c>
    </row>
    <row r="5120" spans="1:4" x14ac:dyDescent="0.2">
      <c r="A5120" s="5">
        <v>5059</v>
      </c>
      <c r="B5120" s="138">
        <f>'Revenues 9-14'!C108</f>
        <v>910821</v>
      </c>
      <c r="C5120" s="2" t="s">
        <v>573</v>
      </c>
      <c r="D5120" s="2" t="str">
        <f t="shared" si="79"/>
        <v>Error?</v>
      </c>
    </row>
    <row r="5121" spans="1:4" x14ac:dyDescent="0.2">
      <c r="A5121" s="5">
        <v>5060</v>
      </c>
      <c r="B5121" s="138">
        <f>'Revenues 9-14'!C109</f>
        <v>3975983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7224984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7224984</v>
      </c>
      <c r="C5132" s="2" t="s">
        <v>573</v>
      </c>
      <c r="D5132" s="2" t="str">
        <f t="shared" si="79"/>
        <v>Error?</v>
      </c>
    </row>
    <row r="5133" spans="1:4" x14ac:dyDescent="0.2">
      <c r="A5133" s="5">
        <v>5072</v>
      </c>
      <c r="B5133" s="138">
        <f>'Revenues 9-14'!C125</f>
        <v>219846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21455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241301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16373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8817</v>
      </c>
      <c r="D5167" s="2" t="str">
        <f t="shared" si="79"/>
        <v>Error?</v>
      </c>
    </row>
    <row r="5168" spans="1:4" x14ac:dyDescent="0.2">
      <c r="A5168" s="5">
        <v>5107</v>
      </c>
      <c r="B5168" s="138">
        <f>'Revenues 9-14'!C148</f>
        <v>19487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155636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442364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7667348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382684</v>
      </c>
      <c r="D5239" s="2" t="str">
        <f t="shared" si="80"/>
        <v>Error?</v>
      </c>
    </row>
    <row r="5240" spans="1:4" x14ac:dyDescent="0.2">
      <c r="A5240" s="5">
        <v>5179</v>
      </c>
      <c r="B5240" s="138">
        <f>'Revenues 9-14'!C192</f>
        <v>2891</v>
      </c>
      <c r="D5240" s="2" t="str">
        <f t="shared" si="80"/>
        <v>Error?</v>
      </c>
    </row>
    <row r="5241" spans="1:4" x14ac:dyDescent="0.2">
      <c r="A5241" s="5">
        <v>5180</v>
      </c>
      <c r="B5241" s="138">
        <f>'Revenues 9-14'!C193</f>
        <v>116934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502509</v>
      </c>
      <c r="C5246" s="2" t="s">
        <v>573</v>
      </c>
      <c r="D5246" s="2" t="str">
        <f t="shared" si="80"/>
        <v>Error?</v>
      </c>
    </row>
    <row r="5247" spans="1:4" x14ac:dyDescent="0.2">
      <c r="A5247" s="5">
        <v>5186</v>
      </c>
      <c r="B5247" s="138">
        <f>'Revenues 9-14'!C200</f>
        <v>497854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14118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510911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265066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265066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1476832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1476832</v>
      </c>
      <c r="C5326" s="2" t="s">
        <v>573</v>
      </c>
      <c r="D5326" s="2" t="str">
        <f t="shared" si="82"/>
        <v>Error?</v>
      </c>
    </row>
    <row r="5327" spans="1:5" x14ac:dyDescent="0.2">
      <c r="A5327" s="5">
        <v>5266</v>
      </c>
      <c r="B5327" s="138">
        <f>'Revenues 9-14'!C268</f>
        <v>13120163</v>
      </c>
      <c r="C5327" s="2" t="s">
        <v>573</v>
      </c>
      <c r="D5327" s="2" t="str">
        <f t="shared" si="82"/>
        <v>Error?</v>
      </c>
    </row>
    <row r="5328" spans="1:5" x14ac:dyDescent="0.2">
      <c r="A5328" s="5">
        <v>5267</v>
      </c>
      <c r="B5328" s="138">
        <f>'Revenues 9-14'!D5</f>
        <v>587398</v>
      </c>
      <c r="D5328" s="2" t="str">
        <f t="shared" si="82"/>
        <v>Error?</v>
      </c>
    </row>
    <row r="5329" spans="1:4" x14ac:dyDescent="0.2">
      <c r="A5329" s="10">
        <v>5268</v>
      </c>
      <c r="D5329" s="2" t="str">
        <f t="shared" si="82"/>
        <v>OK</v>
      </c>
    </row>
    <row r="5330" spans="1:4" x14ac:dyDescent="0.2">
      <c r="A5330" s="5">
        <v>5269</v>
      </c>
      <c r="B5330" s="138">
        <f>'Revenues 9-14'!D6</f>
        <v>58590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645988</v>
      </c>
      <c r="C5334" s="2" t="s">
        <v>573</v>
      </c>
      <c r="D5334" s="2" t="str">
        <f t="shared" si="82"/>
        <v>Error?</v>
      </c>
    </row>
    <row r="5335" spans="1:4" x14ac:dyDescent="0.2">
      <c r="A5335" s="5">
        <v>5274</v>
      </c>
      <c r="B5335" s="138">
        <f>'Revenues 9-14'!D14</f>
        <v>1243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1243</v>
      </c>
      <c r="C5339" s="2" t="s">
        <v>573</v>
      </c>
      <c r="D5339" s="2" t="str">
        <f t="shared" si="82"/>
        <v>Error?</v>
      </c>
    </row>
    <row r="5340" spans="1:4" x14ac:dyDescent="0.2">
      <c r="A5340" s="5">
        <v>5279</v>
      </c>
      <c r="B5340" s="138">
        <f>'Revenues 9-14'!D65</f>
        <v>23146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23146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201525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131505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7952</v>
      </c>
      <c r="D5354" s="2" t="str">
        <f t="shared" si="82"/>
        <v>Error?</v>
      </c>
    </row>
    <row r="5355" spans="1:4" x14ac:dyDescent="0.2">
      <c r="A5355" s="5">
        <v>5294</v>
      </c>
      <c r="B5355" s="138">
        <f>'Revenues 9-14'!D108</f>
        <v>420982</v>
      </c>
      <c r="C5355" s="2" t="s">
        <v>573</v>
      </c>
      <c r="D5355" s="2" t="str">
        <f t="shared" si="82"/>
        <v>Error?</v>
      </c>
    </row>
    <row r="5356" spans="1:4" x14ac:dyDescent="0.2">
      <c r="A5356" s="5">
        <v>5295</v>
      </c>
      <c r="B5356" s="138">
        <f>'Revenues 9-14'!D109</f>
        <v>1091359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76658</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76658</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76658</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1168017</v>
      </c>
      <c r="C5508" s="2" t="s">
        <v>573</v>
      </c>
      <c r="D5508" s="2" t="str">
        <f t="shared" si="85"/>
        <v>Error?</v>
      </c>
    </row>
    <row r="5509" spans="1:4" x14ac:dyDescent="0.2">
      <c r="A5509" s="5">
        <v>5448</v>
      </c>
      <c r="B5509" s="138">
        <f>'Revenues 9-14'!E5</f>
        <v>1505278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1505278</v>
      </c>
      <c r="C5513" s="2" t="s">
        <v>573</v>
      </c>
      <c r="D5513" s="2" t="str">
        <f t="shared" si="85"/>
        <v>Error?</v>
      </c>
    </row>
    <row r="5514" spans="1:4" x14ac:dyDescent="0.2">
      <c r="A5514" s="5">
        <v>5453</v>
      </c>
      <c r="B5514" s="138">
        <f>'Revenues 9-14'!E14</f>
        <v>3337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3337</v>
      </c>
      <c r="C5518" s="2" t="s">
        <v>573</v>
      </c>
      <c r="D5518" s="2" t="str">
        <f t="shared" si="85"/>
        <v>Error?</v>
      </c>
    </row>
    <row r="5519" spans="1:4" x14ac:dyDescent="0.2">
      <c r="A5519" s="5">
        <v>5458</v>
      </c>
      <c r="B5519" s="138">
        <f>'Revenues 9-14'!E65</f>
        <v>3054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3054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1511669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1511669</v>
      </c>
      <c r="C5552" s="2" t="s">
        <v>573</v>
      </c>
      <c r="D5552" s="2" t="str">
        <f t="shared" si="85"/>
        <v>Error?</v>
      </c>
    </row>
    <row r="5553" spans="1:4" x14ac:dyDescent="0.2">
      <c r="A5553" s="5">
        <v>5492</v>
      </c>
      <c r="B5553" s="138">
        <f>'Revenues 9-14'!F5</f>
        <v>234906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234906</v>
      </c>
      <c r="C5557" s="2" t="s">
        <v>573</v>
      </c>
      <c r="D5557" s="2" t="str">
        <f t="shared" si="85"/>
        <v>Error?</v>
      </c>
    </row>
    <row r="5558" spans="1:4" x14ac:dyDescent="0.2">
      <c r="A5558" s="5">
        <v>5497</v>
      </c>
      <c r="B5558" s="138">
        <f>'Revenues 9-14'!F14</f>
        <v>452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18225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18677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6628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17573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13389</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37590</v>
      </c>
      <c r="C5579" s="2" t="s">
        <v>573</v>
      </c>
      <c r="D5579" s="2" t="str">
        <f t="shared" si="86"/>
        <v>Error?</v>
      </c>
    </row>
    <row r="5580" spans="1:4" x14ac:dyDescent="0.2">
      <c r="A5580" s="5">
        <v>5519</v>
      </c>
      <c r="B5580" s="138">
        <f>'Revenues 9-14'!F65</f>
        <v>10989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10989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4321</v>
      </c>
      <c r="D5585" s="2" t="str">
        <f t="shared" si="86"/>
        <v>Error?</v>
      </c>
    </row>
    <row r="5586" spans="1:4" x14ac:dyDescent="0.2">
      <c r="A5586" s="5">
        <v>5525</v>
      </c>
      <c r="B5586" s="138">
        <f>'Revenues 9-14'!F107</f>
        <v>2336</v>
      </c>
      <c r="D5586" s="2" t="str">
        <f t="shared" si="86"/>
        <v>Error?</v>
      </c>
    </row>
    <row r="5587" spans="1:4" x14ac:dyDescent="0.2">
      <c r="A5587" s="5">
        <v>5526</v>
      </c>
      <c r="B5587" s="138">
        <f>'Revenues 9-14'!F108</f>
        <v>6657</v>
      </c>
      <c r="C5587" s="2" t="s">
        <v>573</v>
      </c>
      <c r="D5587" s="2" t="str">
        <f t="shared" si="86"/>
        <v>Error?</v>
      </c>
    </row>
    <row r="5588" spans="1:4" x14ac:dyDescent="0.2">
      <c r="A5588" s="5">
        <v>5527</v>
      </c>
      <c r="B5588" s="138">
        <f>'Revenues 9-14'!F109</f>
        <v>308819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377851</v>
      </c>
      <c r="D5615" s="2" t="str">
        <f t="shared" si="86"/>
        <v>Error?</v>
      </c>
    </row>
    <row r="5616" spans="1:4" x14ac:dyDescent="0.2">
      <c r="A5616" s="10">
        <v>5555</v>
      </c>
      <c r="D5616" s="2" t="str">
        <f t="shared" si="86"/>
        <v>OK</v>
      </c>
    </row>
    <row r="5617" spans="1:5" x14ac:dyDescent="0.2">
      <c r="A5617" s="5">
        <v>5556</v>
      </c>
      <c r="B5617" s="138">
        <f>'Revenues 9-14'!F153</f>
        <v>80809</v>
      </c>
      <c r="D5617" s="2" t="str">
        <f t="shared" si="86"/>
        <v>Error?</v>
      </c>
    </row>
    <row r="5618" spans="1:5" x14ac:dyDescent="0.2">
      <c r="A5618" s="5">
        <v>5557</v>
      </c>
      <c r="B5618" s="138">
        <f>'Revenues 9-14'!F155</f>
        <v>458660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458660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458660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767479</v>
      </c>
      <c r="C5720" s="2" t="s">
        <v>573</v>
      </c>
      <c r="D5720" s="2" t="str">
        <f t="shared" si="88"/>
        <v>Error?</v>
      </c>
    </row>
    <row r="5721" spans="1:4" x14ac:dyDescent="0.2">
      <c r="A5721" s="5">
        <v>5660</v>
      </c>
      <c r="B5721" s="138">
        <f>'Revenues 9-14'!G5</f>
        <v>219987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219987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439974</v>
      </c>
      <c r="C5725" s="2" t="s">
        <v>573</v>
      </c>
      <c r="D5725" s="2" t="str">
        <f t="shared" si="88"/>
        <v>Error?</v>
      </c>
    </row>
    <row r="5726" spans="1:4" x14ac:dyDescent="0.2">
      <c r="A5726" s="5">
        <v>5665</v>
      </c>
      <c r="B5726" s="138">
        <f>'Revenues 9-14'!G14</f>
        <v>1059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26035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27094</v>
      </c>
      <c r="C5730" s="2" t="s">
        <v>573</v>
      </c>
      <c r="D5730" s="2" t="str">
        <f t="shared" si="88"/>
        <v>Error?</v>
      </c>
    </row>
    <row r="5731" spans="1:4" x14ac:dyDescent="0.2">
      <c r="A5731" s="5">
        <v>5670</v>
      </c>
      <c r="B5731" s="138">
        <f>'Revenues 9-14'!G65</f>
        <v>3524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3524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24489</v>
      </c>
      <c r="D5736" s="2" t="str">
        <f t="shared" si="88"/>
        <v>Error?</v>
      </c>
    </row>
    <row r="5737" spans="1:4" x14ac:dyDescent="0.2">
      <c r="A5737" s="5">
        <v>5676</v>
      </c>
      <c r="B5737" s="138">
        <f>'Revenues 9-14'!G108</f>
        <v>33127</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9051</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9051</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9051</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512770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10557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10709</v>
      </c>
      <c r="C5915" s="2" t="s">
        <v>573</v>
      </c>
      <c r="D5915" s="2" t="str">
        <f t="shared" si="91"/>
        <v>Error?</v>
      </c>
    </row>
    <row r="5916" spans="1:4" x14ac:dyDescent="0.2">
      <c r="A5916" s="5">
        <v>5855</v>
      </c>
      <c r="B5916" s="138">
        <f>'Revenues 9-14'!I5</f>
        <v>58729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58729</v>
      </c>
      <c r="C5918" s="2" t="s">
        <v>573</v>
      </c>
      <c r="D5918" s="2" t="str">
        <f t="shared" si="91"/>
        <v>Error?</v>
      </c>
    </row>
    <row r="5919" spans="1:4" x14ac:dyDescent="0.2">
      <c r="A5919" s="5">
        <v>5858</v>
      </c>
      <c r="B5919" s="138">
        <f>'Revenues 9-14'!I14</f>
        <v>113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113</v>
      </c>
      <c r="C5923" s="2" t="s">
        <v>573</v>
      </c>
      <c r="D5923" s="2" t="str">
        <f t="shared" si="91"/>
        <v>Error?</v>
      </c>
    </row>
    <row r="5924" spans="1:4" x14ac:dyDescent="0.2">
      <c r="A5924" s="5">
        <v>5863</v>
      </c>
      <c r="B5924" s="138">
        <f>'Revenues 9-14'!I65</f>
        <v>9506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9506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68348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58729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58729</v>
      </c>
      <c r="C5987" s="2" t="s">
        <v>573</v>
      </c>
      <c r="D5987" s="2" t="str">
        <f t="shared" si="92"/>
        <v>Error?</v>
      </c>
    </row>
    <row r="5988" spans="1:4" x14ac:dyDescent="0.2">
      <c r="A5988" s="5">
        <v>5927</v>
      </c>
      <c r="B5988" s="138">
        <f>'Revenues 9-14'!K14</f>
        <v>113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113</v>
      </c>
      <c r="C5992" s="2" t="s">
        <v>573</v>
      </c>
      <c r="D5992" s="2" t="str">
        <f t="shared" si="92"/>
        <v>Error?</v>
      </c>
    </row>
    <row r="5993" spans="1:4" x14ac:dyDescent="0.2">
      <c r="A5993" s="5">
        <v>5932</v>
      </c>
      <c r="B5993" s="138">
        <f>'Revenues 9-14'!K65</f>
        <v>4051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4051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62893</v>
      </c>
      <c r="C6023" s="2" t="s">
        <v>573</v>
      </c>
      <c r="D6023" s="2" t="str">
        <f t="shared" si="93"/>
        <v>Error?</v>
      </c>
    </row>
    <row r="6024" spans="1:5" x14ac:dyDescent="0.2">
      <c r="A6024" s="5">
        <v>5963</v>
      </c>
      <c r="B6024" s="138">
        <f>'Revenues 9-14'!G109</f>
        <v>503719</v>
      </c>
      <c r="C6024" s="2" t="s">
        <v>573</v>
      </c>
      <c r="D6024" s="2" t="str">
        <f t="shared" si="93"/>
        <v>Error?</v>
      </c>
    </row>
    <row r="6025" spans="1:5" x14ac:dyDescent="0.2">
      <c r="A6025" s="5">
        <v>5964</v>
      </c>
      <c r="B6025" s="138">
        <f>'Revenues 9-14'!H109</f>
        <v>10709</v>
      </c>
      <c r="C6025" s="2" t="s">
        <v>573</v>
      </c>
      <c r="D6025" s="2" t="str">
        <f t="shared" si="93"/>
        <v>Error?</v>
      </c>
    </row>
    <row r="6026" spans="1:5" x14ac:dyDescent="0.2">
      <c r="A6026" s="5">
        <v>5965</v>
      </c>
      <c r="B6026" s="138">
        <f>'Revenues 9-14'!I109</f>
        <v>68348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62893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204184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61082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1242.3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278547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278547</v>
      </c>
      <c r="D6215" s="2" t="str">
        <f t="shared" si="96"/>
        <v>Error?</v>
      </c>
      <c r="E6215" s="2" t="s">
        <v>190</v>
      </c>
    </row>
    <row r="6216" spans="1:5" x14ac:dyDescent="0.2">
      <c r="A6216">
        <v>6155</v>
      </c>
      <c r="B6216" s="138">
        <f>'Assets-Liab 5-6'!J41</f>
        <v>278547</v>
      </c>
      <c r="D6216" s="2" t="str">
        <f t="shared" si="96"/>
        <v>Error?</v>
      </c>
      <c r="E6216" s="2" t="s">
        <v>190</v>
      </c>
    </row>
    <row r="6217" spans="1:5" x14ac:dyDescent="0.2">
      <c r="A6217">
        <v>6156</v>
      </c>
      <c r="B6217" s="138">
        <f>'Assets-Liab 5-6'!J4</f>
        <v>10464</v>
      </c>
      <c r="D6217" s="2" t="str">
        <f t="shared" si="96"/>
        <v>Error?</v>
      </c>
      <c r="E6217" s="2" t="s">
        <v>190</v>
      </c>
    </row>
    <row r="6218" spans="1:5" x14ac:dyDescent="0.2">
      <c r="A6218">
        <v>6157</v>
      </c>
      <c r="B6218" s="138">
        <f>'Assets-Liab 5-6'!J5</f>
        <v>268083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925849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925849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925849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1007335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1007335</v>
      </c>
      <c r="D6229" s="2" t="str">
        <f t="shared" si="96"/>
        <v>Error?</v>
      </c>
      <c r="E6229" s="2" t="s">
        <v>190</v>
      </c>
    </row>
    <row r="6230" spans="1:5" x14ac:dyDescent="0.2">
      <c r="A6230">
        <v>6169</v>
      </c>
      <c r="B6230" s="138">
        <f>'Acct Summary 7-8'!J20</f>
        <v>-81486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-81486</v>
      </c>
      <c r="D6263" s="2" t="str">
        <f t="shared" si="96"/>
        <v>Error?</v>
      </c>
      <c r="E6263" s="2" t="s">
        <v>190</v>
      </c>
    </row>
    <row r="6264" spans="1:5" x14ac:dyDescent="0.2">
      <c r="A6264">
        <v>6203</v>
      </c>
      <c r="B6264" s="138">
        <f>'Acct Summary 7-8'!J79</f>
        <v>360033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278547</v>
      </c>
      <c r="D6266" s="2" t="str">
        <f t="shared" si="96"/>
        <v>Error?</v>
      </c>
      <c r="E6266" s="2" t="s">
        <v>190</v>
      </c>
    </row>
    <row r="6267" spans="1:5" x14ac:dyDescent="0.2">
      <c r="A6267">
        <v>6206</v>
      </c>
      <c r="B6267" s="138">
        <f>'Acct Summary 7-8'!C82</f>
        <v>472368</v>
      </c>
      <c r="D6267" s="2" t="str">
        <f t="shared" si="96"/>
        <v>Error?</v>
      </c>
      <c r="E6267" s="2" t="s">
        <v>190</v>
      </c>
    </row>
    <row r="6268" spans="1:5" x14ac:dyDescent="0.2">
      <c r="A6268">
        <v>6207</v>
      </c>
      <c r="B6268" s="138">
        <f>'Acct Summary 7-8'!D82</f>
        <v>-102701</v>
      </c>
      <c r="D6268" s="2" t="str">
        <f t="shared" si="96"/>
        <v>Error?</v>
      </c>
      <c r="E6268" s="2" t="s">
        <v>190</v>
      </c>
    </row>
    <row r="6269" spans="1:5" x14ac:dyDescent="0.2">
      <c r="A6269">
        <v>6208</v>
      </c>
      <c r="B6269" s="138">
        <f>'Acct Summary 7-8'!E82</f>
        <v>1232</v>
      </c>
      <c r="D6269" s="2" t="str">
        <f t="shared" si="96"/>
        <v>Error?</v>
      </c>
      <c r="E6269" s="2" t="s">
        <v>190</v>
      </c>
    </row>
    <row r="6270" spans="1:5" x14ac:dyDescent="0.2">
      <c r="A6270">
        <v>6209</v>
      </c>
      <c r="B6270" s="138">
        <f>'Acct Summary 7-8'!F82</f>
        <v>47367</v>
      </c>
      <c r="D6270" s="2" t="str">
        <f t="shared" si="96"/>
        <v>Error?</v>
      </c>
      <c r="E6270" s="2" t="s">
        <v>190</v>
      </c>
    </row>
    <row r="6271" spans="1:5" x14ac:dyDescent="0.2">
      <c r="A6271">
        <v>6210</v>
      </c>
      <c r="B6271" s="138">
        <f>'Acct Summary 7-8'!G82</f>
        <v>-29382</v>
      </c>
      <c r="D6271" s="2" t="str">
        <f t="shared" ref="D6271:D6334" si="97">IF(ISBLANK(B6271),"OK",IF(A6271-B6271=0,"OK","Error?"))</f>
        <v>Error?</v>
      </c>
      <c r="E6271" s="2" t="s">
        <v>190</v>
      </c>
    </row>
    <row r="6272" spans="1:5" x14ac:dyDescent="0.2">
      <c r="A6272">
        <v>6211</v>
      </c>
      <c r="B6272" s="138">
        <f>'Acct Summary 7-8'!H82</f>
        <v>10709</v>
      </c>
      <c r="D6272" s="2" t="str">
        <f t="shared" si="97"/>
        <v>Error?</v>
      </c>
      <c r="E6272" s="2" t="s">
        <v>190</v>
      </c>
    </row>
    <row r="6273" spans="1:5" x14ac:dyDescent="0.2">
      <c r="A6273">
        <v>6212</v>
      </c>
      <c r="B6273" s="138">
        <f>'Acct Summary 7-8'!I82</f>
        <v>68348</v>
      </c>
      <c r="D6273" s="2" t="str">
        <f t="shared" si="97"/>
        <v>Error?</v>
      </c>
      <c r="E6273" s="2" t="s">
        <v>190</v>
      </c>
    </row>
    <row r="6274" spans="1:5" x14ac:dyDescent="0.2">
      <c r="A6274">
        <v>6213</v>
      </c>
      <c r="B6274" s="138">
        <f>'Acct Summary 7-8'!J82</f>
        <v>-81486</v>
      </c>
      <c r="D6274" s="2" t="str">
        <f t="shared" si="97"/>
        <v>Error?</v>
      </c>
      <c r="E6274" s="2" t="s">
        <v>190</v>
      </c>
    </row>
    <row r="6275" spans="1:5" x14ac:dyDescent="0.2">
      <c r="A6275">
        <v>6214</v>
      </c>
      <c r="B6275" s="138">
        <f>'Acct Summary 7-8'!K82</f>
        <v>34482</v>
      </c>
      <c r="D6275" s="2" t="str">
        <f t="shared" si="97"/>
        <v>Error?</v>
      </c>
      <c r="E6275" s="2" t="s">
        <v>190</v>
      </c>
    </row>
    <row r="6276" spans="1:5" x14ac:dyDescent="0.2">
      <c r="A6276">
        <v>6215</v>
      </c>
      <c r="B6276" s="138">
        <f>'Acct Summary 7-8'!C83</f>
        <v>8.5465749325219928E-2</v>
      </c>
      <c r="D6276" s="2" t="str">
        <f t="shared" si="97"/>
        <v>Error?</v>
      </c>
      <c r="E6276" s="2" t="s">
        <v>190</v>
      </c>
    </row>
    <row r="6277" spans="1:5" x14ac:dyDescent="0.2">
      <c r="A6277">
        <v>6216</v>
      </c>
      <c r="B6277" s="138">
        <f>'Acct Summary 7-8'!D83</f>
        <v>-8.539068560486697E-2</v>
      </c>
      <c r="D6277" s="2" t="str">
        <f t="shared" si="97"/>
        <v>Error?</v>
      </c>
      <c r="E6277" s="2" t="s">
        <v>190</v>
      </c>
    </row>
    <row r="6278" spans="1:5" x14ac:dyDescent="0.2">
      <c r="A6278">
        <v>6217</v>
      </c>
      <c r="B6278" s="138">
        <f>'Acct Summary 7-8'!E83</f>
        <v>2.4540854946018088E-2</v>
      </c>
      <c r="D6278" s="2" t="str">
        <f t="shared" si="97"/>
        <v>Error?</v>
      </c>
      <c r="E6278" s="2" t="s">
        <v>190</v>
      </c>
    </row>
    <row r="6279" spans="1:5" x14ac:dyDescent="0.2">
      <c r="A6279">
        <v>6218</v>
      </c>
      <c r="B6279" s="138">
        <f>'Acct Summary 7-8'!F83</f>
        <v>6.8123472805694141E-2</v>
      </c>
      <c r="D6279" s="2" t="str">
        <f t="shared" si="97"/>
        <v>Error?</v>
      </c>
      <c r="E6279" s="2" t="s">
        <v>190</v>
      </c>
    </row>
    <row r="6280" spans="1:5" x14ac:dyDescent="0.2">
      <c r="A6280">
        <v>6219</v>
      </c>
      <c r="B6280" s="138">
        <f>'Acct Summary 7-8'!G83</f>
        <v>-0.31159658518479239</v>
      </c>
      <c r="D6280" s="2" t="str">
        <f t="shared" si="97"/>
        <v>Error?</v>
      </c>
      <c r="E6280" s="2" t="s">
        <v>190</v>
      </c>
    </row>
    <row r="6281" spans="1:5" x14ac:dyDescent="0.2">
      <c r="A6281">
        <v>6220</v>
      </c>
      <c r="B6281" s="138">
        <f>'Acct Summary 7-8'!H83</f>
        <v>0.63408135472792937</v>
      </c>
      <c r="D6281" s="2" t="str">
        <f t="shared" si="97"/>
        <v>Error?</v>
      </c>
      <c r="E6281" s="2" t="s">
        <v>190</v>
      </c>
    </row>
    <row r="6282" spans="1:5" x14ac:dyDescent="0.2">
      <c r="A6282">
        <v>6221</v>
      </c>
      <c r="B6282" s="138">
        <f>'Acct Summary 7-8'!I83</f>
        <v>0.14304280945554243</v>
      </c>
      <c r="D6282" s="2" t="str">
        <f t="shared" si="97"/>
        <v>Error?</v>
      </c>
      <c r="E6282" s="2" t="s">
        <v>190</v>
      </c>
    </row>
    <row r="6283" spans="1:5" x14ac:dyDescent="0.2">
      <c r="A6283">
        <v>6222</v>
      </c>
      <c r="B6283" s="138">
        <f>'Acct Summary 7-8'!J83</f>
        <v>-0.29253949961765879</v>
      </c>
      <c r="D6283" s="2" t="str">
        <f t="shared" si="97"/>
        <v>Error?</v>
      </c>
      <c r="E6283" s="2" t="s">
        <v>190</v>
      </c>
    </row>
    <row r="6284" spans="1:5" x14ac:dyDescent="0.2">
      <c r="A6284">
        <v>6223</v>
      </c>
      <c r="B6284" s="138">
        <f>'Acct Summary 7-8'!K83</f>
        <v>0.15942337210807611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895852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895852</v>
      </c>
      <c r="D6301" s="2" t="str">
        <f t="shared" si="97"/>
        <v>Error?</v>
      </c>
      <c r="E6301" s="2" t="s">
        <v>190</v>
      </c>
    </row>
    <row r="6302" spans="1:5" x14ac:dyDescent="0.2">
      <c r="A6302">
        <v>6241</v>
      </c>
      <c r="B6302" s="138">
        <f>'Revenues 9-14'!J14</f>
        <v>1346</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1346</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7892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7892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2202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80000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1387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8638</v>
      </c>
      <c r="D6349" s="2" t="str">
        <f t="shared" si="98"/>
        <v>Error?</v>
      </c>
      <c r="E6349" s="2" t="s">
        <v>190</v>
      </c>
    </row>
    <row r="6350" spans="1:5" x14ac:dyDescent="0.2">
      <c r="A6350">
        <v>6289</v>
      </c>
      <c r="B6350" s="138">
        <f>'Revenues 9-14'!J107</f>
        <v>18557</v>
      </c>
      <c r="D6350" s="2" t="str">
        <f t="shared" si="98"/>
        <v>Error?</v>
      </c>
      <c r="E6350" s="2" t="s">
        <v>190</v>
      </c>
    </row>
    <row r="6351" spans="1:5" x14ac:dyDescent="0.2">
      <c r="A6351">
        <v>6290</v>
      </c>
      <c r="B6351" s="138">
        <f>'Revenues 9-14'!J108</f>
        <v>20759</v>
      </c>
      <c r="D6351" s="2" t="str">
        <f t="shared" si="98"/>
        <v>Error?</v>
      </c>
      <c r="E6351" s="2" t="s">
        <v>190</v>
      </c>
    </row>
    <row r="6352" spans="1:5" x14ac:dyDescent="0.2">
      <c r="A6352">
        <v>6291</v>
      </c>
      <c r="B6352" s="138">
        <f>'Revenues 9-14'!J109</f>
        <v>925849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16373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167642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267413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30006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424165</v>
      </c>
      <c r="D6880" s="2" t="str">
        <f t="shared" si="106"/>
        <v>Error?</v>
      </c>
    </row>
    <row r="6881" spans="1:4" x14ac:dyDescent="0.2">
      <c r="A6881">
        <v>6820</v>
      </c>
      <c r="B6881" s="138">
        <f>'Expenditures 15-22'!K22</f>
        <v>424165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7985</v>
      </c>
      <c r="D6981" s="2" t="str">
        <f t="shared" si="108"/>
        <v>Error?</v>
      </c>
    </row>
    <row r="6982" spans="1:4" x14ac:dyDescent="0.2">
      <c r="A6982">
        <v>6921</v>
      </c>
      <c r="B6982" s="138">
        <f>'Expenditures 15-22'!K85</f>
        <v>7985</v>
      </c>
      <c r="D6982" s="2" t="str">
        <f t="shared" si="108"/>
        <v>Error?</v>
      </c>
    </row>
    <row r="6983" spans="1:4" x14ac:dyDescent="0.2">
      <c r="A6983">
        <v>6922</v>
      </c>
      <c r="B6983" s="138">
        <f>'Expenditures 15-22'!H86</f>
        <v>1248</v>
      </c>
      <c r="D6983" s="2" t="str">
        <f t="shared" si="108"/>
        <v>Error?</v>
      </c>
    </row>
    <row r="6984" spans="1:4" x14ac:dyDescent="0.2">
      <c r="A6984">
        <v>6923</v>
      </c>
      <c r="B6984" s="138">
        <f>'Expenditures 15-22'!K86</f>
        <v>1248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133801</v>
      </c>
      <c r="D6987" s="2" t="str">
        <f t="shared" si="108"/>
        <v>Error?</v>
      </c>
    </row>
    <row r="6988" spans="1:4" x14ac:dyDescent="0.2">
      <c r="A6988">
        <v>6927</v>
      </c>
      <c r="B6988" s="138">
        <f>'Expenditures 15-22'!K88</f>
        <v>133801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143034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1007335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925849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11749</v>
      </c>
      <c r="D7073" s="2" t="str">
        <f t="shared" si="109"/>
        <v>Error?</v>
      </c>
    </row>
    <row r="7074" spans="1:4" x14ac:dyDescent="0.2">
      <c r="A7074">
        <v>7013</v>
      </c>
      <c r="B7074" s="138">
        <f>'Expenditures 15-22'!K216</f>
        <v>11749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313</v>
      </c>
      <c r="D7079" s="2" t="str">
        <f t="shared" si="109"/>
        <v>Error?</v>
      </c>
    </row>
    <row r="7080" spans="1:4" x14ac:dyDescent="0.2">
      <c r="A7080">
        <v>7019</v>
      </c>
      <c r="B7080" s="138">
        <f>'Expenditures 15-22'!K226</f>
        <v>313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1801</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1801</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114721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114721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208690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208690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219729</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219729</v>
      </c>
      <c r="D7171" s="2" t="str">
        <f t="shared" si="111"/>
        <v>Error?</v>
      </c>
    </row>
    <row r="7172" spans="1:4" x14ac:dyDescent="0.2">
      <c r="A7172">
        <v>7111</v>
      </c>
      <c r="B7172" s="138">
        <f>'Expenditures 15-22'!C325</f>
        <v>382975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15108</v>
      </c>
      <c r="D7174" s="2" t="str">
        <f t="shared" si="111"/>
        <v>Error?</v>
      </c>
    </row>
    <row r="7175" spans="1:4" x14ac:dyDescent="0.2">
      <c r="A7175">
        <v>7114</v>
      </c>
      <c r="B7175" s="138">
        <f>'Expenditures 15-22'!F325</f>
        <v>6045</v>
      </c>
      <c r="D7175" s="2" t="str">
        <f t="shared" si="111"/>
        <v>Error?</v>
      </c>
    </row>
    <row r="7176" spans="1:4" x14ac:dyDescent="0.2">
      <c r="A7176">
        <v>7115</v>
      </c>
      <c r="B7176" s="138">
        <f>'Expenditures 15-22'!G325</f>
        <v>1642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405770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56624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56624</v>
      </c>
      <c r="D7198" s="2" t="str">
        <f t="shared" si="111"/>
        <v>Error?</v>
      </c>
    </row>
    <row r="7199" spans="1:4" x14ac:dyDescent="0.2">
      <c r="A7199">
        <v>7138</v>
      </c>
      <c r="B7199" s="138">
        <f>'Expenditures 15-22'!C330</f>
        <v>382975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616673</v>
      </c>
      <c r="D7201" s="2" t="str">
        <f t="shared" si="111"/>
        <v>Error?</v>
      </c>
    </row>
    <row r="7202" spans="1:4" x14ac:dyDescent="0.2">
      <c r="A7202">
        <v>7141</v>
      </c>
      <c r="B7202" s="138">
        <f>'Expenditures 15-22'!F330</f>
        <v>6045</v>
      </c>
      <c r="D7202" s="2" t="str">
        <f t="shared" si="111"/>
        <v>Error?</v>
      </c>
    </row>
    <row r="7203" spans="1:4" x14ac:dyDescent="0.2">
      <c r="A7203">
        <v>7142</v>
      </c>
      <c r="B7203" s="138">
        <f>'Expenditures 15-22'!G330</f>
        <v>1642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1007335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382975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616673</v>
      </c>
      <c r="D7218" s="2" t="str">
        <f t="shared" si="111"/>
        <v>Error?</v>
      </c>
    </row>
    <row r="7219" spans="1:4" x14ac:dyDescent="0.2">
      <c r="A7219">
        <v>7158</v>
      </c>
      <c r="B7219" s="138">
        <f>'Expenditures 15-22'!F342</f>
        <v>6045</v>
      </c>
      <c r="D7219" s="2" t="str">
        <f t="shared" si="111"/>
        <v>Error?</v>
      </c>
    </row>
    <row r="7220" spans="1:4" x14ac:dyDescent="0.2">
      <c r="A7220">
        <v>7159</v>
      </c>
      <c r="B7220" s="138">
        <f>'Expenditures 15-22'!G342</f>
        <v>1642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1007335</v>
      </c>
      <c r="D7224" s="2" t="str">
        <f t="shared" si="111"/>
        <v>Error?</v>
      </c>
    </row>
    <row r="7225" spans="1:4" x14ac:dyDescent="0.2">
      <c r="A7225">
        <v>7164</v>
      </c>
      <c r="B7225" s="138">
        <f>'Expenditures 15-22'!K343</f>
        <v>-81486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20616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25130</v>
      </c>
      <c r="D7248" s="2" t="str">
        <f t="shared" si="112"/>
        <v>Error?</v>
      </c>
    </row>
    <row r="7249" spans="1:4" x14ac:dyDescent="0.2">
      <c r="A7249">
        <f t="shared" si="113"/>
        <v>7188</v>
      </c>
      <c r="B7249" s="138">
        <f>'Expenditures 15-22'!G7</f>
        <v>54025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23323</v>
      </c>
      <c r="D7263" s="2" t="str">
        <f t="shared" si="112"/>
        <v>Error?</v>
      </c>
    </row>
    <row r="7264" spans="1:4" x14ac:dyDescent="0.2">
      <c r="A7264">
        <f t="shared" si="113"/>
        <v>7203</v>
      </c>
      <c r="B7264" s="138">
        <f>'Expenditures 15-22'!D17</f>
        <v>4342</v>
      </c>
      <c r="D7264" s="2" t="str">
        <f t="shared" si="112"/>
        <v>Error?</v>
      </c>
    </row>
    <row r="7265" spans="1:5" x14ac:dyDescent="0.2">
      <c r="A7265">
        <f t="shared" si="113"/>
        <v>7204</v>
      </c>
      <c r="B7265" s="138">
        <f>'Expenditures 15-22'!E17</f>
        <v>232</v>
      </c>
      <c r="D7265" s="2" t="str">
        <f t="shared" si="112"/>
        <v>Error?</v>
      </c>
    </row>
    <row r="7266" spans="1:5" x14ac:dyDescent="0.2">
      <c r="A7266">
        <f t="shared" si="113"/>
        <v>7205</v>
      </c>
      <c r="B7266" s="138">
        <f>'Expenditures 15-22'!F17</f>
        <v>2109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53345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53345</v>
      </c>
      <c r="D7618" s="2" t="str">
        <f t="shared" si="124"/>
        <v>Error?</v>
      </c>
      <c r="E7618" s="2" t="s">
        <v>19</v>
      </c>
    </row>
    <row r="7619" spans="1:5" x14ac:dyDescent="0.2">
      <c r="A7619">
        <f t="shared" si="123"/>
        <v>7558</v>
      </c>
      <c r="B7619" s="138">
        <f>'Cap Outlay Deprec 26'!H14</f>
        <v>52200</v>
      </c>
      <c r="D7619" s="2" t="str">
        <f t="shared" si="124"/>
        <v>Error?</v>
      </c>
      <c r="E7619" s="2" t="s">
        <v>19</v>
      </c>
    </row>
    <row r="7620" spans="1:5" x14ac:dyDescent="0.2">
      <c r="A7620">
        <f t="shared" si="123"/>
        <v>7559</v>
      </c>
      <c r="B7620" s="138">
        <f>'Cap Outlay Deprec 26'!I14</f>
        <v>1098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53298</v>
      </c>
      <c r="D7622" s="2" t="str">
        <f t="shared" si="124"/>
        <v>Error?</v>
      </c>
      <c r="E7622" s="2" t="s">
        <v>19</v>
      </c>
    </row>
    <row r="7623" spans="1:5" x14ac:dyDescent="0.2">
      <c r="A7623">
        <f t="shared" si="123"/>
        <v>7562</v>
      </c>
      <c r="B7623" s="138">
        <f>'Cap Outlay Deprec 26'!L14</f>
        <v>47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912970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6180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152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1387</v>
      </c>
      <c r="D7712" s="2" t="str">
        <f t="shared" si="126"/>
        <v>Error?</v>
      </c>
      <c r="E7712" s="2" t="s">
        <v>827</v>
      </c>
    </row>
    <row r="7713" spans="1:6" x14ac:dyDescent="0.2">
      <c r="A7713">
        <v>7652</v>
      </c>
      <c r="B7713" s="138">
        <f>'Rest Tax Levies-Tort Im 25'!J8</f>
        <v>10557</v>
      </c>
      <c r="D7713" s="2" t="str">
        <f t="shared" si="126"/>
        <v>Error?</v>
      </c>
      <c r="E7713" s="2" t="s">
        <v>827</v>
      </c>
    </row>
    <row r="7714" spans="1:6" x14ac:dyDescent="0.2">
      <c r="A7714">
        <v>7653</v>
      </c>
      <c r="B7714" s="138">
        <f>'Rest Tax Levies-Tort Im 25'!K9</f>
        <v>19487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10709</v>
      </c>
      <c r="D7718" s="2" t="str">
        <f t="shared" si="126"/>
        <v>Error?</v>
      </c>
      <c r="E7718" s="2" t="s">
        <v>827</v>
      </c>
    </row>
    <row r="7719" spans="1:6" x14ac:dyDescent="0.2">
      <c r="A7719">
        <v>7658</v>
      </c>
      <c r="B7719" s="138">
        <f>'Rest Tax Levies-Tort Im 25'!K12</f>
        <v>20874</v>
      </c>
      <c r="D7719" s="2" t="str">
        <f t="shared" si="126"/>
        <v>Error?</v>
      </c>
      <c r="E7719" s="2" t="s">
        <v>827</v>
      </c>
    </row>
    <row r="7720" spans="1:6" x14ac:dyDescent="0.2">
      <c r="A7720">
        <v>7659</v>
      </c>
      <c r="B7720" s="138">
        <f>'Rest Tax Levies-Tort Im 25'!H14</f>
        <v>47074</v>
      </c>
      <c r="D7720" s="2" t="str">
        <f t="shared" si="126"/>
        <v>Error?</v>
      </c>
      <c r="E7720" s="2" t="s">
        <v>827</v>
      </c>
    </row>
    <row r="7721" spans="1:6" x14ac:dyDescent="0.2">
      <c r="A7721">
        <v>7660</v>
      </c>
      <c r="B7721" s="138">
        <f>'Rest Tax Levies-Tort Im 25'!K14</f>
        <v>20874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10557</v>
      </c>
      <c r="D7731" s="2" t="str">
        <f t="shared" si="126"/>
        <v>Error?</v>
      </c>
      <c r="E7731" s="2" t="s">
        <v>827</v>
      </c>
    </row>
    <row r="7732" spans="1:6" x14ac:dyDescent="0.2">
      <c r="A7732">
        <v>7671</v>
      </c>
      <c r="B7732" s="138">
        <f>'Rest Tax Levies-Tort Im 25'!J24</f>
        <v>16889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16889</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29'!D29</f>
        <v>906820</v>
      </c>
      <c r="D7797" s="2" t="str">
        <f t="shared" si="127"/>
        <v>Error?</v>
      </c>
      <c r="E7797" s="4" t="s">
        <v>1899</v>
      </c>
    </row>
    <row r="7798" spans="1:5" x14ac:dyDescent="0.2">
      <c r="A7798">
        <v>7737</v>
      </c>
      <c r="B7798" s="138">
        <f>'Contracts Paid in CY 29'!F29</f>
        <v>225000</v>
      </c>
      <c r="D7798" s="2" t="str">
        <f t="shared" si="127"/>
        <v>Error?</v>
      </c>
      <c r="E7798" s="4" t="s">
        <v>1899</v>
      </c>
    </row>
    <row r="7799" spans="1:5" x14ac:dyDescent="0.2">
      <c r="A7799">
        <v>7738</v>
      </c>
      <c r="B7799" s="138">
        <f>'Contracts Paid in CY 29'!G29</f>
        <v>681820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9" t="s">
        <v>1191</v>
      </c>
      <c r="B2" s="2419"/>
      <c r="C2" s="2419"/>
      <c r="D2" s="2419"/>
      <c r="E2" s="2419"/>
      <c r="F2" s="2419"/>
      <c r="G2" s="2419"/>
      <c r="H2" s="2419"/>
      <c r="I2" s="2419"/>
      <c r="J2" s="2419"/>
      <c r="K2" s="2419"/>
      <c r="L2" s="2419"/>
    </row>
    <row r="3" spans="1:29" ht="13.5" customHeight="1" x14ac:dyDescent="0.2">
      <c r="A3" s="2405" t="s">
        <v>1190</v>
      </c>
      <c r="B3" s="2405"/>
      <c r="C3" s="2405"/>
      <c r="D3" s="2405"/>
      <c r="E3" s="2405"/>
      <c r="F3" s="2405"/>
      <c r="G3" s="2405"/>
      <c r="H3" s="2405"/>
      <c r="I3" s="2405"/>
      <c r="J3" s="2405"/>
      <c r="K3" s="2405"/>
      <c r="L3" s="2405"/>
    </row>
    <row r="4" spans="1:29" ht="13.5" customHeight="1" x14ac:dyDescent="0.2">
      <c r="A4" s="2419" t="s">
        <v>1983</v>
      </c>
      <c r="B4" s="2436"/>
      <c r="C4" s="2436"/>
      <c r="D4" s="2436"/>
      <c r="E4" s="2436"/>
      <c r="F4" s="2436"/>
      <c r="G4" s="2436"/>
      <c r="H4" s="2436"/>
      <c r="I4" s="2436"/>
      <c r="J4" s="2436"/>
      <c r="K4" s="2436"/>
      <c r="L4" s="243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9" t="str">
        <f>COVER!A17</f>
        <v>Vandalia CUSD 203</v>
      </c>
      <c r="B7" s="2400"/>
      <c r="C7" s="2400"/>
      <c r="D7" s="2437"/>
      <c r="E7" s="2438">
        <f>COVER!A13</f>
        <v>3026203026</v>
      </c>
      <c r="F7" s="2439"/>
      <c r="G7" s="2406" t="str">
        <f>COVER!T23</f>
        <v>066-003845</v>
      </c>
      <c r="H7" s="2407"/>
      <c r="I7" s="2407"/>
      <c r="J7" s="2407"/>
      <c r="K7" s="2407"/>
      <c r="L7" s="2408"/>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9"/>
      <c r="B9" s="2410"/>
      <c r="C9" s="2410"/>
      <c r="D9" s="2410"/>
      <c r="E9" s="2410"/>
      <c r="F9" s="2411"/>
      <c r="G9" s="2412" t="str">
        <f>COVER!T13</f>
        <v>MOSE, YOCKEY, BROWN &amp; KULL, LLC</v>
      </c>
      <c r="H9" s="2413"/>
      <c r="I9" s="2413"/>
      <c r="J9" s="2413"/>
      <c r="K9" s="2413"/>
      <c r="L9" s="2414"/>
    </row>
    <row r="10" spans="1:29" ht="13.5" customHeight="1" x14ac:dyDescent="0.2">
      <c r="A10" s="2396" t="str">
        <f>COVER!A38</f>
        <v>DR. JENNIFER GARRISON</v>
      </c>
      <c r="B10" s="2397"/>
      <c r="C10" s="2397"/>
      <c r="D10" s="2397"/>
      <c r="E10" s="2397"/>
      <c r="F10" s="2398"/>
      <c r="G10" s="2412" t="str">
        <f>COVER!T17</f>
        <v>230 N MORGAN, PO BOX 317</v>
      </c>
      <c r="H10" s="2425"/>
      <c r="I10" s="2425"/>
      <c r="J10" s="2425"/>
      <c r="K10" s="2425"/>
      <c r="L10" s="2426"/>
    </row>
    <row r="11" spans="1:29" ht="13.5" customHeight="1" x14ac:dyDescent="0.2">
      <c r="A11" s="1182" t="s">
        <v>1519</v>
      </c>
      <c r="B11" s="1183"/>
      <c r="C11" s="1184"/>
      <c r="D11" s="1189"/>
      <c r="E11" s="1184"/>
      <c r="F11" s="1188"/>
      <c r="G11" s="2412" t="str">
        <f>COVER!T19</f>
        <v>SHELBYVILLE</v>
      </c>
      <c r="H11" s="2425"/>
      <c r="I11" s="2425"/>
      <c r="J11" s="2425"/>
      <c r="K11" s="2425"/>
      <c r="L11" s="2426"/>
    </row>
    <row r="12" spans="1:29" ht="13.5" customHeight="1" x14ac:dyDescent="0.2">
      <c r="A12" s="2430" t="s">
        <v>1518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1520</v>
      </c>
      <c r="H13" s="2421"/>
      <c r="I13" s="2433" t="str">
        <f>COVER!T25</f>
        <v>mybkcpas@consolidated.net</v>
      </c>
      <c r="J13" s="2434"/>
      <c r="K13" s="2434"/>
      <c r="L13" s="2435"/>
    </row>
    <row r="14" spans="1:29" ht="13.5" customHeight="1" x14ac:dyDescent="0.2">
      <c r="A14" s="2412" t="str">
        <f>COVER!A19</f>
        <v>1109 N. 8TH ST</v>
      </c>
      <c r="B14" s="2425"/>
      <c r="C14" s="2425"/>
      <c r="D14" s="2425"/>
      <c r="E14" s="2425"/>
      <c r="F14" s="2426"/>
      <c r="G14" s="1193" t="s">
        <v>1185</v>
      </c>
      <c r="H14" s="1191"/>
      <c r="I14" s="1191"/>
      <c r="J14" s="1191"/>
      <c r="K14" s="1191"/>
      <c r="L14" s="1192"/>
    </row>
    <row r="15" spans="1:29" ht="13.5" customHeight="1" x14ac:dyDescent="0.2">
      <c r="A15" s="2412" t="str">
        <f>COVER!A21</f>
        <v>VANDALIA</v>
      </c>
      <c r="B15" s="2425"/>
      <c r="C15" s="2425"/>
      <c r="D15" s="2425"/>
      <c r="E15" s="2425"/>
      <c r="F15" s="2426"/>
      <c r="G15" s="2422" t="str">
        <f>COVER!T15</f>
        <v>ROBIN R. YOCKEY</v>
      </c>
      <c r="H15" s="2423"/>
      <c r="I15" s="2423"/>
      <c r="J15" s="2423"/>
      <c r="K15" s="2423"/>
      <c r="L15" s="2424"/>
    </row>
    <row r="16" spans="1:29" ht="12.2" customHeight="1" x14ac:dyDescent="0.2">
      <c r="A16" s="2402">
        <f>COVER!A25</f>
        <v>62471</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3" t="s">
        <v>1184</v>
      </c>
      <c r="H17" s="1191"/>
      <c r="I17" s="1191"/>
      <c r="J17" s="1191"/>
      <c r="K17" s="1195" t="s">
        <v>1183</v>
      </c>
      <c r="L17" s="1188"/>
      <c r="M17" s="1181"/>
    </row>
    <row r="18" spans="1:13" ht="12.2" customHeight="1" x14ac:dyDescent="0.2">
      <c r="A18" s="2396"/>
      <c r="B18" s="2397"/>
      <c r="C18" s="2397"/>
      <c r="D18" s="2397"/>
      <c r="E18" s="2397"/>
      <c r="F18" s="2398"/>
      <c r="G18" s="2399" t="str">
        <f>COVER!T21</f>
        <v>217-774-9587</v>
      </c>
      <c r="H18" s="2400"/>
      <c r="I18" s="2400"/>
      <c r="J18" s="2400"/>
      <c r="K18" s="2399" t="str">
        <f>COVER!X21</f>
        <v>217-774-9589</v>
      </c>
      <c r="L18" s="240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40" t="str">
        <f>'Single Audit Cover'!A7</f>
        <v>Vandalia CUSD 203</v>
      </c>
      <c r="B1" s="2436"/>
      <c r="C1" s="2436"/>
      <c r="D1" s="2436"/>
    </row>
    <row r="2" spans="1:11" s="1210" customFormat="1" ht="12.75" x14ac:dyDescent="0.2">
      <c r="A2" s="2441">
        <f>'Single Audit Cover'!E7</f>
        <v>3026203026</v>
      </c>
      <c r="B2" s="2442"/>
      <c r="C2" s="2442"/>
      <c r="D2" s="2442"/>
    </row>
    <row r="3" spans="1:11" s="1210" customFormat="1" ht="12.75" x14ac:dyDescent="0.2">
      <c r="A3" s="2440" t="s">
        <v>1513</v>
      </c>
      <c r="B3" s="2436"/>
      <c r="C3" s="2436"/>
      <c r="D3" s="2436"/>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1833</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44" t="str">
        <f>'Single Audit Cover'!A7</f>
        <v>Vandalia CUSD 203</v>
      </c>
      <c r="B1" s="2444"/>
      <c r="C1" s="2444"/>
      <c r="D1" s="2444"/>
      <c r="E1" s="2444"/>
    </row>
    <row r="2" spans="1:5" x14ac:dyDescent="0.2">
      <c r="A2" s="2445">
        <f>'Single Audit Cover'!E7</f>
        <v>3026203026</v>
      </c>
      <c r="B2" s="2445"/>
      <c r="C2" s="2445"/>
      <c r="D2" s="2445"/>
      <c r="E2" s="2445"/>
    </row>
    <row r="3" spans="1:5" ht="4.5" customHeight="1" x14ac:dyDescent="0.2"/>
    <row r="4" spans="1:5" x14ac:dyDescent="0.2">
      <c r="A4" s="2444" t="s">
        <v>1245</v>
      </c>
      <c r="B4" s="2444"/>
      <c r="C4" s="2444"/>
      <c r="D4" s="2444"/>
      <c r="E4" s="2444"/>
    </row>
    <row r="5" spans="1:5" x14ac:dyDescent="0.2">
      <c r="A5" s="2447" t="str">
        <f>'Single Audit Cover'!A4</f>
        <v>Year Ending June 30, 2019</v>
      </c>
      <c r="B5" s="2447"/>
      <c r="C5" s="2447"/>
      <c r="D5" s="2447"/>
      <c r="E5" s="2447"/>
    </row>
    <row r="6" spans="1:5" x14ac:dyDescent="0.2">
      <c r="A6" s="2444" t="s">
        <v>1244</v>
      </c>
      <c r="B6" s="2444"/>
      <c r="C6" s="2444"/>
      <c r="D6" s="2444"/>
      <c r="E6" s="2444"/>
    </row>
    <row r="8" spans="1:5" x14ac:dyDescent="0.2">
      <c r="A8" s="1255" t="s">
        <v>1243</v>
      </c>
    </row>
    <row r="10" spans="1:5" x14ac:dyDescent="0.2">
      <c r="A10" s="1256" t="s">
        <v>1242</v>
      </c>
      <c r="B10" s="1257" t="s">
        <v>1241</v>
      </c>
      <c r="C10" s="1257"/>
      <c r="D10" s="1258">
        <f>SUM('Acct Summary 7-8'!C7:K7)</f>
        <v>1476832</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61082</v>
      </c>
    </row>
    <row r="15" spans="1:5" x14ac:dyDescent="0.2">
      <c r="A15" s="1256"/>
      <c r="B15" s="1257"/>
      <c r="C15" s="1257"/>
    </row>
    <row r="16" spans="1:5" x14ac:dyDescent="0.2">
      <c r="A16" s="1256" t="s">
        <v>1839</v>
      </c>
      <c r="B16" s="1257"/>
      <c r="C16" s="1257"/>
    </row>
    <row r="17" spans="1:4" x14ac:dyDescent="0.2">
      <c r="A17" s="1256" t="s">
        <v>2055</v>
      </c>
      <c r="B17" s="1257" t="s">
        <v>1236</v>
      </c>
      <c r="C17" s="1257"/>
      <c r="D17" s="1259">
        <f>-SUM('Revenues 9-14'!C264:D264,'Revenues 9-14'!F264:G264)</f>
        <v>-58328</v>
      </c>
    </row>
    <row r="19" spans="1:4" ht="13.5" thickBot="1" x14ac:dyDescent="0.25">
      <c r="A19" s="1260" t="s">
        <v>1235</v>
      </c>
      <c r="D19" s="1261">
        <f>SUM(D10:D17)</f>
        <v>1479586</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46"/>
      <c r="B24" s="2446"/>
      <c r="D24" s="1263"/>
    </row>
    <row r="25" spans="1:4" x14ac:dyDescent="0.2">
      <c r="A25" s="2443"/>
      <c r="B25" s="2443"/>
      <c r="D25" s="1263"/>
    </row>
    <row r="26" spans="1:4" x14ac:dyDescent="0.2">
      <c r="A26" s="2443"/>
      <c r="B26" s="2443"/>
      <c r="D26" s="1263"/>
    </row>
    <row r="27" spans="1:4" x14ac:dyDescent="0.2">
      <c r="A27" s="2443"/>
      <c r="B27" s="2443"/>
      <c r="D27" s="1263"/>
    </row>
    <row r="28" spans="1:4" x14ac:dyDescent="0.2">
      <c r="A28" s="2443"/>
      <c r="B28" s="2443"/>
      <c r="D28" s="1263"/>
    </row>
    <row r="29" spans="1:4" x14ac:dyDescent="0.2">
      <c r="A29" s="2443"/>
      <c r="B29" s="2443"/>
      <c r="D29" s="1263"/>
    </row>
    <row r="30" spans="1:4" x14ac:dyDescent="0.2">
      <c r="A30" s="2443"/>
      <c r="B30" s="2443"/>
      <c r="D30" s="1263"/>
    </row>
    <row r="32" spans="1:4" x14ac:dyDescent="0.2">
      <c r="A32" s="1255" t="s">
        <v>1233</v>
      </c>
      <c r="D32" s="1258">
        <f>SUM(D19:D30)</f>
        <v>1479586</v>
      </c>
    </row>
    <row r="33" spans="1:4" x14ac:dyDescent="0.2">
      <c r="D33" s="1264"/>
    </row>
    <row r="34" spans="1:4" x14ac:dyDescent="0.2">
      <c r="A34" s="317" t="s">
        <v>1232</v>
      </c>
    </row>
    <row r="35" spans="1:4" x14ac:dyDescent="0.2">
      <c r="A35" s="317" t="s">
        <v>1231</v>
      </c>
      <c r="B35" s="1253" t="s">
        <v>1230</v>
      </c>
      <c r="D35" s="1265">
        <v>1479586</v>
      </c>
    </row>
    <row r="37" spans="1:4" x14ac:dyDescent="0.2">
      <c r="A37" s="1255" t="s">
        <v>1229</v>
      </c>
    </row>
    <row r="39" spans="1:4" ht="13.35" customHeight="1" x14ac:dyDescent="0.2">
      <c r="A39" s="1262" t="s">
        <v>1228</v>
      </c>
    </row>
    <row r="40" spans="1:4" x14ac:dyDescent="0.2">
      <c r="A40" s="2443"/>
      <c r="B40" s="2443"/>
      <c r="D40" s="1263"/>
    </row>
    <row r="41" spans="1:4" x14ac:dyDescent="0.2">
      <c r="A41" s="2443"/>
      <c r="B41" s="2443"/>
      <c r="D41" s="1266"/>
    </row>
    <row r="42" spans="1:4" x14ac:dyDescent="0.2">
      <c r="A42" s="2443"/>
      <c r="B42" s="2443"/>
      <c r="D42" s="1266"/>
    </row>
    <row r="43" spans="1:4" x14ac:dyDescent="0.2">
      <c r="A43" s="2443"/>
      <c r="B43" s="2443"/>
      <c r="D43" s="1266"/>
    </row>
    <row r="44" spans="1:4" x14ac:dyDescent="0.2">
      <c r="A44" s="2443"/>
      <c r="B44" s="2443"/>
      <c r="D44" s="1266"/>
    </row>
    <row r="45" spans="1:4" x14ac:dyDescent="0.2">
      <c r="A45" s="2443"/>
      <c r="B45" s="2443"/>
      <c r="D45" s="1266"/>
    </row>
    <row r="47" spans="1:4" x14ac:dyDescent="0.2">
      <c r="B47" s="1267" t="s">
        <v>1227</v>
      </c>
      <c r="C47" s="1267"/>
      <c r="D47" s="1268">
        <f>SUM(D35:D45)</f>
        <v>1479586</v>
      </c>
    </row>
    <row r="49" spans="2:4" x14ac:dyDescent="0.2">
      <c r="B49" s="1267" t="s">
        <v>1226</v>
      </c>
      <c r="C49" s="1267"/>
      <c r="D49" s="126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5"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Vandalia CUSD 203</v>
      </c>
      <c r="C1" s="2448"/>
      <c r="D1" s="2448"/>
      <c r="E1" s="2448"/>
      <c r="F1" s="2448"/>
      <c r="G1" s="2448"/>
      <c r="H1" s="2448"/>
      <c r="I1" s="2448"/>
      <c r="J1" s="2448"/>
      <c r="K1" s="2448"/>
      <c r="L1" s="2448"/>
      <c r="M1" s="2448"/>
    </row>
    <row r="2" spans="2:14" ht="15" x14ac:dyDescent="0.2">
      <c r="B2" s="2449">
        <f>'Single Audit Cover'!E7</f>
        <v>3026203026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34" t="s">
        <v>2117</v>
      </c>
      <c r="C11" s="1333"/>
      <c r="D11" s="1334"/>
      <c r="E11" s="1335"/>
      <c r="F11" s="1335"/>
      <c r="G11" s="1335"/>
      <c r="H11" s="1335"/>
      <c r="I11" s="1335"/>
      <c r="J11" s="1335"/>
      <c r="K11" s="1335"/>
      <c r="L11" s="1335"/>
      <c r="M11" s="1335"/>
    </row>
    <row r="12" spans="2:14" ht="20.100000000000001" customHeight="1" x14ac:dyDescent="0.2">
      <c r="B12" s="1934" t="s">
        <v>2118</v>
      </c>
      <c r="C12" s="1336"/>
      <c r="D12" s="1337"/>
      <c r="E12" s="1338"/>
      <c r="F12" s="1338"/>
      <c r="G12" s="1338"/>
      <c r="H12" s="1338"/>
      <c r="I12" s="1338"/>
      <c r="J12" s="1338"/>
      <c r="K12" s="1338"/>
      <c r="L12" s="1335"/>
      <c r="M12" s="1338"/>
    </row>
    <row r="13" spans="2:14" ht="20.100000000000001" customHeight="1" x14ac:dyDescent="0.2">
      <c r="B13" s="1332" t="s">
        <v>2119</v>
      </c>
      <c r="C13" s="1336" t="s">
        <v>2122</v>
      </c>
      <c r="D13" s="1337" t="s">
        <v>2123</v>
      </c>
      <c r="E13" s="1338">
        <v>310238</v>
      </c>
      <c r="F13" s="1338">
        <v>229231</v>
      </c>
      <c r="G13" s="1338">
        <v>317335</v>
      </c>
      <c r="H13" s="1338"/>
      <c r="I13" s="1338">
        <v>222134</v>
      </c>
      <c r="J13" s="1338"/>
      <c r="K13" s="1338"/>
      <c r="L13" s="1335">
        <f t="shared" ref="L13:L26" si="0">+G13+I13+K13</f>
        <v>539469</v>
      </c>
      <c r="M13" s="1338">
        <v>617654</v>
      </c>
    </row>
    <row r="14" spans="2:14" ht="20.100000000000001" customHeight="1" x14ac:dyDescent="0.2">
      <c r="B14" s="1332" t="s">
        <v>2119</v>
      </c>
      <c r="C14" s="1336" t="s">
        <v>2122</v>
      </c>
      <c r="D14" s="1337" t="s">
        <v>2124</v>
      </c>
      <c r="E14" s="1338"/>
      <c r="F14" s="1338">
        <v>268623</v>
      </c>
      <c r="G14" s="1338"/>
      <c r="H14" s="1338"/>
      <c r="I14" s="1338">
        <v>410642</v>
      </c>
      <c r="J14" s="1338"/>
      <c r="K14" s="1338">
        <v>25000</v>
      </c>
      <c r="L14" s="1335">
        <f t="shared" si="0"/>
        <v>435642</v>
      </c>
      <c r="M14" s="1338">
        <v>600821</v>
      </c>
    </row>
    <row r="15" spans="2:14" ht="20.100000000000001" customHeight="1" x14ac:dyDescent="0.2">
      <c r="B15" s="1332" t="s">
        <v>2120</v>
      </c>
      <c r="C15" s="1336" t="s">
        <v>2122</v>
      </c>
      <c r="D15" s="1337" t="s">
        <v>2125</v>
      </c>
      <c r="E15" s="1935"/>
      <c r="F15" s="1935">
        <v>13057</v>
      </c>
      <c r="G15" s="1935"/>
      <c r="H15" s="1935"/>
      <c r="I15" s="1935">
        <v>20906</v>
      </c>
      <c r="J15" s="1935"/>
      <c r="K15" s="1935">
        <v>24515</v>
      </c>
      <c r="L15" s="1935">
        <f t="shared" si="0"/>
        <v>45421</v>
      </c>
      <c r="M15" s="1338">
        <v>45421</v>
      </c>
    </row>
    <row r="16" spans="2:14" ht="20.100000000000001" customHeight="1" x14ac:dyDescent="0.2">
      <c r="B16" s="1332" t="s">
        <v>2121</v>
      </c>
      <c r="C16" s="1336"/>
      <c r="D16" s="1337"/>
      <c r="E16" s="1936">
        <f>SUM(E13:E15)</f>
        <v>310238</v>
      </c>
      <c r="F16" s="1936">
        <f>SUM(F13:F15)</f>
        <v>510911</v>
      </c>
      <c r="G16" s="1936">
        <f>SUM(G13:G15)</f>
        <v>317335</v>
      </c>
      <c r="H16" s="1936">
        <f>H13+H14+H15</f>
        <v>0</v>
      </c>
      <c r="I16" s="1936">
        <f>SUM(I13:I15)</f>
        <v>653682</v>
      </c>
      <c r="J16" s="1936">
        <f>J13+J14+J15</f>
        <v>0</v>
      </c>
      <c r="K16" s="1936">
        <f>SUM(K13:K15)</f>
        <v>49515</v>
      </c>
      <c r="L16" s="1936">
        <f t="shared" si="0"/>
        <v>1020532</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934" t="s">
        <v>2118</v>
      </c>
      <c r="C18" s="1336"/>
      <c r="D18" s="1337"/>
      <c r="E18" s="1338"/>
      <c r="F18" s="1338"/>
      <c r="G18" s="1338"/>
      <c r="H18" s="1338"/>
      <c r="I18" s="1338"/>
      <c r="J18" s="1338"/>
      <c r="K18" s="1338"/>
      <c r="L18" s="1335"/>
      <c r="M18" s="1338"/>
    </row>
    <row r="19" spans="2:14" ht="20.100000000000001" customHeight="1" x14ac:dyDescent="0.2">
      <c r="B19" s="1332" t="s">
        <v>2126</v>
      </c>
      <c r="C19" s="1336" t="s">
        <v>2128</v>
      </c>
      <c r="D19" s="1337" t="s">
        <v>2129</v>
      </c>
      <c r="E19" s="1338">
        <v>57431</v>
      </c>
      <c r="F19" s="1338">
        <v>17762</v>
      </c>
      <c r="G19" s="1338">
        <v>67776</v>
      </c>
      <c r="H19" s="1338"/>
      <c r="I19" s="1338">
        <v>7417</v>
      </c>
      <c r="J19" s="1338"/>
      <c r="K19" s="1338"/>
      <c r="L19" s="1335">
        <f t="shared" si="0"/>
        <v>75193</v>
      </c>
      <c r="M19" s="1338">
        <v>87189</v>
      </c>
    </row>
    <row r="20" spans="2:14" ht="20.100000000000001" customHeight="1" x14ac:dyDescent="0.2">
      <c r="B20" s="1332" t="s">
        <v>2126</v>
      </c>
      <c r="C20" s="1336" t="s">
        <v>2128</v>
      </c>
      <c r="D20" s="1337" t="s">
        <v>2130</v>
      </c>
      <c r="E20" s="1935"/>
      <c r="F20" s="1935">
        <v>47782</v>
      </c>
      <c r="G20" s="1935"/>
      <c r="H20" s="1935"/>
      <c r="I20" s="1935">
        <v>56189</v>
      </c>
      <c r="J20" s="1935"/>
      <c r="K20" s="1935">
        <v>3000</v>
      </c>
      <c r="L20" s="1935">
        <f t="shared" si="0"/>
        <v>59189</v>
      </c>
      <c r="M20" s="1338">
        <v>79525</v>
      </c>
    </row>
    <row r="21" spans="2:14" ht="20.100000000000001" customHeight="1" x14ac:dyDescent="0.2">
      <c r="B21" s="1332" t="s">
        <v>2127</v>
      </c>
      <c r="C21" s="1336"/>
      <c r="D21" s="1337"/>
      <c r="E21" s="1935">
        <f t="shared" ref="E21:K21" si="1">E19+E20</f>
        <v>57431</v>
      </c>
      <c r="F21" s="1935">
        <f t="shared" si="1"/>
        <v>65544</v>
      </c>
      <c r="G21" s="1935">
        <f t="shared" si="1"/>
        <v>67776</v>
      </c>
      <c r="H21" s="1935">
        <f t="shared" si="1"/>
        <v>0</v>
      </c>
      <c r="I21" s="1935">
        <f t="shared" si="1"/>
        <v>63606</v>
      </c>
      <c r="J21" s="1935">
        <f t="shared" si="1"/>
        <v>0</v>
      </c>
      <c r="K21" s="1935">
        <f t="shared" si="1"/>
        <v>3000</v>
      </c>
      <c r="L21" s="1935">
        <f t="shared" si="0"/>
        <v>134382</v>
      </c>
      <c r="M21" s="1338"/>
    </row>
    <row r="22" spans="2:14" ht="20.100000000000001" customHeight="1" x14ac:dyDescent="0.2">
      <c r="B22" s="1332"/>
      <c r="C22" s="1336"/>
      <c r="D22" s="1337"/>
      <c r="E22" s="1335"/>
      <c r="F22" s="1335"/>
      <c r="G22" s="1335"/>
      <c r="H22" s="1335"/>
      <c r="I22" s="1335"/>
      <c r="J22" s="1335"/>
      <c r="K22" s="1335"/>
      <c r="L22" s="1335"/>
      <c r="M22" s="1338"/>
    </row>
    <row r="23" spans="2:14" ht="20.100000000000001" customHeight="1" x14ac:dyDescent="0.2">
      <c r="B23" s="1934" t="s">
        <v>2131</v>
      </c>
      <c r="C23" s="1336"/>
      <c r="D23" s="1337"/>
      <c r="E23" s="1338"/>
      <c r="F23" s="1338"/>
      <c r="G23" s="1338"/>
      <c r="H23" s="1338"/>
      <c r="I23" s="1338"/>
      <c r="J23" s="1338"/>
      <c r="K23" s="1338"/>
      <c r="L23" s="1335"/>
      <c r="M23" s="1338"/>
    </row>
    <row r="24" spans="2:14" ht="20.100000000000001" customHeight="1" x14ac:dyDescent="0.2">
      <c r="B24" s="1332" t="s">
        <v>2206</v>
      </c>
      <c r="C24" s="1336" t="s">
        <v>2132</v>
      </c>
      <c r="D24" s="1337" t="s">
        <v>2133</v>
      </c>
      <c r="E24" s="1338">
        <v>211088</v>
      </c>
      <c r="F24" s="1338"/>
      <c r="G24" s="1338">
        <v>211088</v>
      </c>
      <c r="H24" s="1338"/>
      <c r="I24" s="1338"/>
      <c r="J24" s="1338"/>
      <c r="K24" s="1338"/>
      <c r="L24" s="1335">
        <f t="shared" si="0"/>
        <v>211088</v>
      </c>
      <c r="M24" s="1338">
        <v>219363</v>
      </c>
    </row>
    <row r="25" spans="2:14" ht="20.100000000000001" customHeight="1" x14ac:dyDescent="0.2">
      <c r="B25" s="1332" t="s">
        <v>2215</v>
      </c>
      <c r="C25" s="1336" t="s">
        <v>2132</v>
      </c>
      <c r="D25" s="1337" t="s">
        <v>2134</v>
      </c>
      <c r="E25" s="1935"/>
      <c r="F25" s="1935">
        <v>265066</v>
      </c>
      <c r="G25" s="1935"/>
      <c r="H25" s="1935"/>
      <c r="I25" s="1935">
        <v>265287</v>
      </c>
      <c r="J25" s="1935"/>
      <c r="K25" s="1935"/>
      <c r="L25" s="1935">
        <f t="shared" si="0"/>
        <v>265287</v>
      </c>
      <c r="M25" s="1338">
        <v>265287</v>
      </c>
    </row>
    <row r="26" spans="2:14" ht="20.100000000000001" customHeight="1" x14ac:dyDescent="0.2">
      <c r="B26" s="1332" t="s">
        <v>2214</v>
      </c>
      <c r="C26" s="1336"/>
      <c r="D26" s="1337"/>
      <c r="E26" s="1936">
        <f>E24+E25</f>
        <v>211088</v>
      </c>
      <c r="F26" s="1936">
        <f t="shared" ref="F26:G26" si="2">F24+F25</f>
        <v>265066</v>
      </c>
      <c r="G26" s="1936">
        <f t="shared" si="2"/>
        <v>211088</v>
      </c>
      <c r="H26" s="1936">
        <f>H24+H25</f>
        <v>0</v>
      </c>
      <c r="I26" s="1936">
        <f>I24+I25</f>
        <v>265287</v>
      </c>
      <c r="J26" s="1936">
        <f>J24+J25</f>
        <v>0</v>
      </c>
      <c r="K26" s="1936">
        <f>K24+K25</f>
        <v>0</v>
      </c>
      <c r="L26" s="1936">
        <f t="shared" si="0"/>
        <v>476375</v>
      </c>
      <c r="M26" s="1338"/>
    </row>
    <row r="27" spans="2:14" ht="20.100000000000001" customHeight="1" x14ac:dyDescent="0.2">
      <c r="B27" s="1332"/>
      <c r="C27" s="1336"/>
      <c r="D27" s="1337"/>
      <c r="E27" s="1335"/>
      <c r="F27" s="1335"/>
      <c r="G27" s="1335"/>
      <c r="H27" s="1335"/>
      <c r="I27" s="1335"/>
      <c r="J27" s="1335"/>
      <c r="K27" s="1335"/>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7"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Vandalia CUSD 203</v>
      </c>
      <c r="C1" s="2448"/>
      <c r="D1" s="2448"/>
      <c r="E1" s="2448"/>
      <c r="F1" s="2448"/>
      <c r="G1" s="2448"/>
      <c r="H1" s="2448"/>
      <c r="I1" s="2448"/>
      <c r="J1" s="2448"/>
      <c r="K1" s="2448"/>
      <c r="L1" s="2448"/>
      <c r="M1" s="2448"/>
    </row>
    <row r="2" spans="2:14" ht="15" x14ac:dyDescent="0.2">
      <c r="B2" s="2449">
        <f>'Single Audit Cover'!E7</f>
        <v>3026203026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34" t="s">
        <v>2118</v>
      </c>
      <c r="C11" s="1333"/>
      <c r="D11" s="1334"/>
      <c r="E11" s="1335"/>
      <c r="F11" s="1335"/>
      <c r="G11" s="1335"/>
      <c r="H11" s="1335"/>
      <c r="I11" s="1335"/>
      <c r="J11" s="1335"/>
      <c r="K11" s="1335"/>
      <c r="L11" s="1335"/>
      <c r="M11" s="1335"/>
    </row>
    <row r="12" spans="2:14" ht="20.100000000000001" customHeight="1" x14ac:dyDescent="0.2">
      <c r="B12" s="1332" t="s">
        <v>2168</v>
      </c>
      <c r="C12" s="1336" t="s">
        <v>2135</v>
      </c>
      <c r="D12" s="1337" t="s">
        <v>2136</v>
      </c>
      <c r="E12" s="1338">
        <v>27285</v>
      </c>
      <c r="F12" s="1338">
        <v>701</v>
      </c>
      <c r="G12" s="1338">
        <v>27986</v>
      </c>
      <c r="H12" s="1338"/>
      <c r="I12" s="1338"/>
      <c r="J12" s="1338"/>
      <c r="K12" s="1338"/>
      <c r="L12" s="1335">
        <f t="shared" ref="L12:L26" si="0">+G12+I12+K12</f>
        <v>27986</v>
      </c>
      <c r="M12" s="1338">
        <v>27986</v>
      </c>
    </row>
    <row r="13" spans="2:14" ht="20.100000000000001" customHeight="1" x14ac:dyDescent="0.2">
      <c r="B13" s="1332" t="s">
        <v>2168</v>
      </c>
      <c r="C13" s="1336" t="s">
        <v>2135</v>
      </c>
      <c r="D13" s="1337" t="s">
        <v>2137</v>
      </c>
      <c r="E13" s="1935"/>
      <c r="F13" s="1935">
        <v>26632</v>
      </c>
      <c r="G13" s="1935"/>
      <c r="H13" s="1935"/>
      <c r="I13" s="1935">
        <v>26632</v>
      </c>
      <c r="J13" s="1935"/>
      <c r="K13" s="1935"/>
      <c r="L13" s="1935">
        <f t="shared" si="0"/>
        <v>26632</v>
      </c>
      <c r="M13" s="1338">
        <v>26632</v>
      </c>
    </row>
    <row r="14" spans="2:14" ht="20.100000000000001" customHeight="1" x14ac:dyDescent="0.2">
      <c r="B14" s="1332" t="s">
        <v>2169</v>
      </c>
      <c r="C14" s="1336"/>
      <c r="D14" s="1337"/>
      <c r="E14" s="1936">
        <f>E12+E13</f>
        <v>27285</v>
      </c>
      <c r="F14" s="1936">
        <f t="shared" ref="F14:G14" si="1">F12+F13</f>
        <v>27333</v>
      </c>
      <c r="G14" s="1936">
        <f t="shared" si="1"/>
        <v>27986</v>
      </c>
      <c r="H14" s="1936">
        <f t="shared" ref="H14" si="2">H12+H13</f>
        <v>0</v>
      </c>
      <c r="I14" s="1936">
        <f t="shared" ref="I14" si="3">I12+I13</f>
        <v>26632</v>
      </c>
      <c r="J14" s="1936">
        <f t="shared" ref="J14" si="4">J12+J13</f>
        <v>0</v>
      </c>
      <c r="K14" s="1936">
        <f>K12+K13</f>
        <v>0</v>
      </c>
      <c r="L14" s="1936">
        <f t="shared" si="0"/>
        <v>54618</v>
      </c>
      <c r="M14" s="1338"/>
    </row>
    <row r="15" spans="2:14" ht="20.100000000000001" customHeight="1" x14ac:dyDescent="0.2">
      <c r="B15" s="1332" t="s">
        <v>1169</v>
      </c>
      <c r="C15" s="1336"/>
      <c r="D15" s="1337"/>
      <c r="E15" s="1335"/>
      <c r="F15" s="1335"/>
      <c r="G15" s="1335"/>
      <c r="H15" s="1335"/>
      <c r="I15" s="1335"/>
      <c r="J15" s="1335"/>
      <c r="K15" s="1335"/>
      <c r="L15" s="1335"/>
      <c r="M15" s="1338"/>
    </row>
    <row r="16" spans="2:14" ht="20.100000000000001" customHeight="1" x14ac:dyDescent="0.2">
      <c r="B16" s="1934" t="s">
        <v>2118</v>
      </c>
      <c r="C16" s="1336"/>
      <c r="D16" s="1337"/>
      <c r="E16" s="1338"/>
      <c r="F16" s="1338"/>
      <c r="G16" s="1338"/>
      <c r="H16" s="1338"/>
      <c r="I16" s="1338"/>
      <c r="J16" s="1338"/>
      <c r="K16" s="1338"/>
      <c r="L16" s="1335"/>
      <c r="M16" s="1338"/>
    </row>
    <row r="17" spans="2:14" ht="20.100000000000001" customHeight="1" x14ac:dyDescent="0.2">
      <c r="B17" s="1332" t="s">
        <v>2138</v>
      </c>
      <c r="C17" s="1336" t="s">
        <v>2140</v>
      </c>
      <c r="D17" s="1337" t="s">
        <v>2141</v>
      </c>
      <c r="E17" s="1338">
        <v>6231</v>
      </c>
      <c r="F17" s="1338">
        <v>10881</v>
      </c>
      <c r="G17" s="1338">
        <v>7340</v>
      </c>
      <c r="H17" s="1338"/>
      <c r="I17" s="1338">
        <v>9772</v>
      </c>
      <c r="J17" s="1338"/>
      <c r="K17" s="1338"/>
      <c r="L17" s="1335">
        <f t="shared" si="0"/>
        <v>17112</v>
      </c>
      <c r="M17" s="1338">
        <v>17112</v>
      </c>
    </row>
    <row r="18" spans="2:14" ht="20.100000000000001" customHeight="1" x14ac:dyDescent="0.2">
      <c r="B18" s="1332" t="s">
        <v>2138</v>
      </c>
      <c r="C18" s="1336" t="s">
        <v>2140</v>
      </c>
      <c r="D18" s="1337" t="s">
        <v>2142</v>
      </c>
      <c r="E18" s="1935"/>
      <c r="F18" s="1935">
        <v>3237</v>
      </c>
      <c r="G18" s="1935"/>
      <c r="H18" s="1935"/>
      <c r="I18" s="1935">
        <v>14137</v>
      </c>
      <c r="J18" s="1935"/>
      <c r="K18" s="1935">
        <v>5000</v>
      </c>
      <c r="L18" s="1935">
        <f t="shared" si="0"/>
        <v>19137</v>
      </c>
      <c r="M18" s="1338">
        <v>40813</v>
      </c>
    </row>
    <row r="19" spans="2:14" ht="20.100000000000001" customHeight="1" x14ac:dyDescent="0.2">
      <c r="B19" s="1332" t="s">
        <v>2139</v>
      </c>
      <c r="C19" s="1336"/>
      <c r="D19" s="1337"/>
      <c r="E19" s="1935">
        <f>E17+E18</f>
        <v>6231</v>
      </c>
      <c r="F19" s="1935">
        <f t="shared" ref="F19:K19" si="5">F17+F18</f>
        <v>14118</v>
      </c>
      <c r="G19" s="1935">
        <f t="shared" si="5"/>
        <v>7340</v>
      </c>
      <c r="H19" s="1935">
        <f>H17+H12+' SEFA'!H24+' SEFA'!H19+' SEFA'!H14</f>
        <v>0</v>
      </c>
      <c r="I19" s="1935">
        <f t="shared" si="5"/>
        <v>23909</v>
      </c>
      <c r="J19" s="1935">
        <f>J17+J12+' SEFA'!J24+' SEFA'!J19+' SEFA'!J14</f>
        <v>0</v>
      </c>
      <c r="K19" s="1935">
        <f t="shared" si="5"/>
        <v>5000</v>
      </c>
      <c r="L19" s="1935">
        <f t="shared" si="0"/>
        <v>36249</v>
      </c>
      <c r="M19" s="1338"/>
    </row>
    <row r="20" spans="2:14" ht="20.100000000000001" customHeight="1" x14ac:dyDescent="0.2">
      <c r="B20" s="1332"/>
      <c r="C20" s="1336"/>
      <c r="D20" s="1337"/>
      <c r="E20" s="1335"/>
      <c r="F20" s="1335"/>
      <c r="G20" s="1335"/>
      <c r="H20" s="1335"/>
      <c r="I20" s="1335"/>
      <c r="J20" s="1335"/>
      <c r="K20" s="1335"/>
      <c r="L20" s="1335"/>
      <c r="M20" s="1338"/>
    </row>
    <row r="21" spans="2:14" ht="20.100000000000001" customHeight="1" x14ac:dyDescent="0.2">
      <c r="B21" s="1934" t="s">
        <v>2163</v>
      </c>
      <c r="C21" s="1934"/>
      <c r="D21" s="1934"/>
      <c r="E21" s="1934"/>
      <c r="F21" s="1934"/>
      <c r="G21" s="1934"/>
      <c r="H21" s="1934"/>
      <c r="I21" s="1934"/>
      <c r="J21" s="1934"/>
      <c r="K21" s="1934"/>
      <c r="L21" s="1335"/>
      <c r="M21" s="1338"/>
    </row>
    <row r="22" spans="2:14" ht="20.100000000000001" customHeight="1" x14ac:dyDescent="0.2">
      <c r="B22" s="1332" t="s">
        <v>2164</v>
      </c>
      <c r="C22" s="1336">
        <v>84.334000000000003</v>
      </c>
      <c r="D22" s="1337" t="s">
        <v>2165</v>
      </c>
      <c r="E22" s="1335"/>
      <c r="F22" s="1335">
        <v>8309</v>
      </c>
      <c r="G22" s="1335"/>
      <c r="H22" s="1335"/>
      <c r="I22" s="1335">
        <v>15733</v>
      </c>
      <c r="J22" s="1335"/>
      <c r="K22" s="1335"/>
      <c r="L22" s="1335">
        <f t="shared" si="0"/>
        <v>15733</v>
      </c>
      <c r="M22" s="1338">
        <v>17515</v>
      </c>
    </row>
    <row r="23" spans="2:14" ht="20.100000000000001" customHeight="1" x14ac:dyDescent="0.2">
      <c r="B23" s="1332" t="s">
        <v>2164</v>
      </c>
      <c r="C23" s="1336">
        <v>84.334000000000003</v>
      </c>
      <c r="D23" s="1337" t="s">
        <v>2165</v>
      </c>
      <c r="E23" s="1935"/>
      <c r="F23" s="1935"/>
      <c r="G23" s="1935"/>
      <c r="H23" s="1935"/>
      <c r="I23" s="1935">
        <v>7125</v>
      </c>
      <c r="J23" s="1935"/>
      <c r="K23" s="1935"/>
      <c r="L23" s="1935">
        <f t="shared" si="0"/>
        <v>7125</v>
      </c>
      <c r="M23" s="1338">
        <v>35694</v>
      </c>
    </row>
    <row r="24" spans="2:14" ht="20.100000000000001" customHeight="1" x14ac:dyDescent="0.2">
      <c r="B24" s="1332" t="s">
        <v>2166</v>
      </c>
      <c r="C24" s="1336"/>
      <c r="D24" s="1337"/>
      <c r="E24" s="1935">
        <f>E22+E23</f>
        <v>0</v>
      </c>
      <c r="F24" s="1935">
        <f t="shared" ref="F24:K24" si="6">F22+F23</f>
        <v>8309</v>
      </c>
      <c r="G24" s="1935">
        <f t="shared" si="6"/>
        <v>0</v>
      </c>
      <c r="H24" s="1935">
        <f>H22+H17+' SEFA'!H29+' SEFA'!H24+' SEFA'!H19</f>
        <v>0</v>
      </c>
      <c r="I24" s="1935">
        <f>I22+I23</f>
        <v>22858</v>
      </c>
      <c r="J24" s="1935">
        <f>J22+J17+' SEFA'!J29+' SEFA'!J24+' SEFA'!J19</f>
        <v>0</v>
      </c>
      <c r="K24" s="1935">
        <f t="shared" si="6"/>
        <v>0</v>
      </c>
      <c r="L24" s="1935">
        <f t="shared" si="0"/>
        <v>22858</v>
      </c>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934" t="s">
        <v>2143</v>
      </c>
      <c r="C26" s="1937"/>
      <c r="D26" s="1938"/>
      <c r="E26" s="1939">
        <f>E19+E14+' SEFA'!E26+' SEFA'!E21+' SEFA'!E16+E24</f>
        <v>612273</v>
      </c>
      <c r="F26" s="1939">
        <f>F19+F14+' SEFA'!F26+' SEFA'!F21+' SEFA'!F16+F24</f>
        <v>891281</v>
      </c>
      <c r="G26" s="1939">
        <f>G19+G14+' SEFA'!G26+' SEFA'!G21+' SEFA'!G16+G24</f>
        <v>631525</v>
      </c>
      <c r="H26" s="1939">
        <f>H19+H14+' SEFA'!H26+' SEFA'!H21+' SEFA'!H16+H24</f>
        <v>0</v>
      </c>
      <c r="I26" s="1939">
        <f>I19+I14+' SEFA'!I26+' SEFA'!I21+' SEFA'!I16+I24</f>
        <v>1055974</v>
      </c>
      <c r="J26" s="1939">
        <f>J19+J14+' SEFA'!J26+' SEFA'!J21+' SEFA'!J16+J24</f>
        <v>0</v>
      </c>
      <c r="K26" s="1939">
        <f>K19+K14+' SEFA'!K26+' SEFA'!K21+' SEFA'!K16+K24</f>
        <v>57515</v>
      </c>
      <c r="L26" s="1939">
        <f t="shared" si="0"/>
        <v>1745014</v>
      </c>
      <c r="M26" s="1338"/>
    </row>
    <row r="27" spans="2:14" ht="20.100000000000001" customHeight="1" x14ac:dyDescent="0.2">
      <c r="B27" s="1934"/>
      <c r="C27" s="1937"/>
      <c r="D27" s="1938"/>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B89" colorId="8" zoomScale="110" zoomScaleNormal="110" workbookViewId="0">
      <selection activeCell="E116" sqref="E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2061</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2071</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t="s">
        <v>2232</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2062</v>
      </c>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1901</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topLeftCell="A7"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Vandalia CUSD 203</v>
      </c>
      <c r="C1" s="2448"/>
      <c r="D1" s="2448"/>
      <c r="E1" s="2448"/>
      <c r="F1" s="2448"/>
      <c r="G1" s="2448"/>
      <c r="H1" s="2448"/>
      <c r="I1" s="2448"/>
      <c r="J1" s="2448"/>
      <c r="K1" s="2448"/>
      <c r="L1" s="2448"/>
      <c r="M1" s="2448"/>
    </row>
    <row r="2" spans="2:14" ht="15" x14ac:dyDescent="0.2">
      <c r="B2" s="2449">
        <f>'Single Audit Cover'!E7</f>
        <v>3026203026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34" t="s">
        <v>2148</v>
      </c>
      <c r="C11" s="1333"/>
      <c r="D11" s="1334"/>
      <c r="E11" s="1335"/>
      <c r="F11" s="1335"/>
      <c r="G11" s="1335"/>
      <c r="H11" s="1335"/>
      <c r="I11" s="1335"/>
      <c r="J11" s="1335"/>
      <c r="K11" s="1335"/>
      <c r="L11" s="1335"/>
      <c r="M11" s="1335"/>
    </row>
    <row r="12" spans="2:14" ht="20.100000000000001" customHeight="1" x14ac:dyDescent="0.2">
      <c r="B12" s="1934" t="s">
        <v>2149</v>
      </c>
      <c r="C12" s="1336"/>
      <c r="D12" s="1337"/>
      <c r="E12" s="1338"/>
      <c r="F12" s="1338"/>
      <c r="G12" s="1338"/>
      <c r="H12" s="1338"/>
      <c r="I12" s="1338"/>
      <c r="J12" s="1338"/>
      <c r="K12" s="1338"/>
      <c r="L12" s="1335"/>
      <c r="M12" s="1338"/>
    </row>
    <row r="13" spans="2:14" ht="20.100000000000001" customHeight="1" x14ac:dyDescent="0.2">
      <c r="B13" s="1934" t="s">
        <v>2150</v>
      </c>
      <c r="C13" s="1336"/>
      <c r="D13" s="1337"/>
      <c r="E13" s="1338"/>
      <c r="F13" s="1338"/>
      <c r="G13" s="1338"/>
      <c r="H13" s="1338"/>
      <c r="I13" s="1338"/>
      <c r="J13" s="1338"/>
      <c r="K13" s="1338"/>
      <c r="L13" s="1335"/>
      <c r="M13" s="1338"/>
    </row>
    <row r="14" spans="2:14" ht="20.100000000000001" customHeight="1" x14ac:dyDescent="0.2">
      <c r="B14" s="1332" t="s">
        <v>2207</v>
      </c>
      <c r="C14" s="1336">
        <v>10.555</v>
      </c>
      <c r="D14" s="1337" t="s">
        <v>2153</v>
      </c>
      <c r="E14" s="1338"/>
      <c r="F14" s="1338">
        <v>23995</v>
      </c>
      <c r="G14" s="1338"/>
      <c r="H14" s="1338"/>
      <c r="I14" s="1338">
        <v>23995</v>
      </c>
      <c r="J14" s="1338"/>
      <c r="K14" s="1338"/>
      <c r="L14" s="1335">
        <f t="shared" ref="L14:L24" si="0">+G14+I14+K14</f>
        <v>23995</v>
      </c>
      <c r="M14" s="1338" t="s">
        <v>2167</v>
      </c>
    </row>
    <row r="15" spans="2:14" ht="20.100000000000001" customHeight="1" x14ac:dyDescent="0.2">
      <c r="B15" s="1934" t="s">
        <v>2118</v>
      </c>
      <c r="C15" s="1336"/>
      <c r="D15" s="1337"/>
      <c r="E15" s="1338"/>
      <c r="F15" s="1338"/>
      <c r="G15" s="1338"/>
      <c r="H15" s="1338"/>
      <c r="I15" s="1338"/>
      <c r="J15" s="1338"/>
      <c r="K15" s="1338"/>
      <c r="L15" s="1335"/>
      <c r="M15" s="1338"/>
    </row>
    <row r="16" spans="2:14" ht="20.100000000000001" customHeight="1" x14ac:dyDescent="0.2">
      <c r="B16" s="1332" t="s">
        <v>2208</v>
      </c>
      <c r="C16" s="1336">
        <v>10.555</v>
      </c>
      <c r="D16" s="1337" t="s">
        <v>2153</v>
      </c>
      <c r="E16" s="1338"/>
      <c r="F16" s="1338">
        <v>37087</v>
      </c>
      <c r="G16" s="1338"/>
      <c r="H16" s="1338"/>
      <c r="I16" s="1338">
        <v>37087</v>
      </c>
      <c r="J16" s="1338"/>
      <c r="K16" s="1338"/>
      <c r="L16" s="1335">
        <f t="shared" si="0"/>
        <v>37087</v>
      </c>
      <c r="M16" s="1338" t="s">
        <v>2167</v>
      </c>
    </row>
    <row r="17" spans="2:14" ht="20.100000000000001" customHeight="1" x14ac:dyDescent="0.2">
      <c r="B17" s="1332" t="s">
        <v>2209</v>
      </c>
      <c r="C17" s="1336">
        <v>10.555</v>
      </c>
      <c r="D17" s="1337" t="s">
        <v>2154</v>
      </c>
      <c r="E17" s="1338">
        <v>271273</v>
      </c>
      <c r="F17" s="1338">
        <v>95170</v>
      </c>
      <c r="G17" s="1338">
        <v>271273</v>
      </c>
      <c r="H17" s="1338"/>
      <c r="I17" s="1338">
        <v>95170</v>
      </c>
      <c r="J17" s="1338"/>
      <c r="K17" s="1338"/>
      <c r="L17" s="1335">
        <f t="shared" si="0"/>
        <v>366443</v>
      </c>
      <c r="M17" s="1338" t="s">
        <v>2167</v>
      </c>
    </row>
    <row r="18" spans="2:14" ht="20.100000000000001" customHeight="1" x14ac:dyDescent="0.2">
      <c r="B18" s="1332" t="s">
        <v>2209</v>
      </c>
      <c r="C18" s="1336">
        <v>10.555</v>
      </c>
      <c r="D18" s="1337" t="s">
        <v>2155</v>
      </c>
      <c r="E18" s="1935"/>
      <c r="F18" s="1935">
        <v>287514</v>
      </c>
      <c r="G18" s="1935"/>
      <c r="H18" s="1935"/>
      <c r="I18" s="1935">
        <v>287514</v>
      </c>
      <c r="J18" s="1935"/>
      <c r="K18" s="1935"/>
      <c r="L18" s="1935">
        <f t="shared" si="0"/>
        <v>287514</v>
      </c>
      <c r="M18" s="1338" t="s">
        <v>2167</v>
      </c>
    </row>
    <row r="19" spans="2:14" ht="20.100000000000001" customHeight="1" x14ac:dyDescent="0.2">
      <c r="B19" s="1332" t="s">
        <v>2151</v>
      </c>
      <c r="C19" s="1336"/>
      <c r="D19" s="1337"/>
      <c r="E19" s="1935">
        <f>SUM(E14:E18)</f>
        <v>271273</v>
      </c>
      <c r="F19" s="1935">
        <f t="shared" ref="F19:K19" si="1">SUM(F14:F18)</f>
        <v>443766</v>
      </c>
      <c r="G19" s="1935">
        <f t="shared" si="1"/>
        <v>271273</v>
      </c>
      <c r="H19" s="1935">
        <f t="shared" si="1"/>
        <v>0</v>
      </c>
      <c r="I19" s="1935">
        <f t="shared" si="1"/>
        <v>443766</v>
      </c>
      <c r="J19" s="1935">
        <f t="shared" si="1"/>
        <v>0</v>
      </c>
      <c r="K19" s="1935">
        <f t="shared" si="1"/>
        <v>0</v>
      </c>
      <c r="L19" s="1935">
        <f t="shared" si="0"/>
        <v>715039</v>
      </c>
      <c r="M19" s="1338"/>
    </row>
    <row r="20" spans="2:14" ht="20.100000000000001" customHeight="1" x14ac:dyDescent="0.2">
      <c r="B20" s="1332"/>
      <c r="C20" s="1336"/>
      <c r="D20" s="1337"/>
      <c r="E20" s="1335"/>
      <c r="F20" s="1335"/>
      <c r="G20" s="1335"/>
      <c r="H20" s="1335"/>
      <c r="I20" s="1335"/>
      <c r="J20" s="1335"/>
      <c r="K20" s="1335"/>
      <c r="L20" s="1335"/>
      <c r="M20" s="1338"/>
    </row>
    <row r="21" spans="2:14" ht="20.100000000000001" customHeight="1" x14ac:dyDescent="0.2">
      <c r="B21" s="1934" t="s">
        <v>2118</v>
      </c>
      <c r="C21" s="1336"/>
      <c r="D21" s="1337"/>
      <c r="E21" s="1338"/>
      <c r="F21" s="1338"/>
      <c r="G21" s="1338"/>
      <c r="H21" s="1338"/>
      <c r="I21" s="1338"/>
      <c r="J21" s="1338"/>
      <c r="K21" s="1338"/>
      <c r="L21" s="1335"/>
      <c r="M21" s="1338"/>
    </row>
    <row r="22" spans="2:14" ht="20.100000000000001" customHeight="1" x14ac:dyDescent="0.2">
      <c r="B22" s="1332" t="s">
        <v>2210</v>
      </c>
      <c r="C22" s="1336">
        <v>10.553000000000001</v>
      </c>
      <c r="D22" s="1337" t="s">
        <v>2156</v>
      </c>
      <c r="E22" s="1338">
        <v>83551</v>
      </c>
      <c r="F22" s="1338">
        <v>27486</v>
      </c>
      <c r="G22" s="1338">
        <v>83551</v>
      </c>
      <c r="H22" s="1338"/>
      <c r="I22" s="1338">
        <v>27486</v>
      </c>
      <c r="J22" s="1338"/>
      <c r="K22" s="1338"/>
      <c r="L22" s="1335">
        <f t="shared" si="0"/>
        <v>111037</v>
      </c>
      <c r="M22" s="1338" t="s">
        <v>2167</v>
      </c>
    </row>
    <row r="23" spans="2:14" ht="20.100000000000001" customHeight="1" x14ac:dyDescent="0.2">
      <c r="B23" s="1332" t="s">
        <v>2210</v>
      </c>
      <c r="C23" s="1336">
        <v>10.553000000000001</v>
      </c>
      <c r="D23" s="1337" t="s">
        <v>2157</v>
      </c>
      <c r="E23" s="1935"/>
      <c r="F23" s="1935">
        <v>89448</v>
      </c>
      <c r="G23" s="1935"/>
      <c r="H23" s="1935"/>
      <c r="I23" s="1935">
        <v>89448</v>
      </c>
      <c r="J23" s="1935"/>
      <c r="K23" s="1935"/>
      <c r="L23" s="1935">
        <f t="shared" si="0"/>
        <v>89448</v>
      </c>
      <c r="M23" s="1338" t="s">
        <v>2167</v>
      </c>
    </row>
    <row r="24" spans="2:14" ht="20.100000000000001" customHeight="1" x14ac:dyDescent="0.2">
      <c r="B24" s="1332" t="s">
        <v>2152</v>
      </c>
      <c r="C24" s="1336"/>
      <c r="D24" s="1337"/>
      <c r="E24" s="1935">
        <f>E22+E23</f>
        <v>83551</v>
      </c>
      <c r="F24" s="1935">
        <f t="shared" ref="F24:K24" si="2">F22+F23</f>
        <v>116934</v>
      </c>
      <c r="G24" s="1935">
        <f t="shared" si="2"/>
        <v>83551</v>
      </c>
      <c r="H24" s="1935">
        <f t="shared" si="2"/>
        <v>0</v>
      </c>
      <c r="I24" s="1935">
        <f t="shared" si="2"/>
        <v>116934</v>
      </c>
      <c r="J24" s="1935">
        <f t="shared" si="2"/>
        <v>0</v>
      </c>
      <c r="K24" s="1935">
        <f t="shared" si="2"/>
        <v>0</v>
      </c>
      <c r="L24" s="1935">
        <f t="shared" si="0"/>
        <v>200485</v>
      </c>
      <c r="M24" s="1338"/>
    </row>
    <row r="25" spans="2:14" ht="20.100000000000001" customHeight="1" x14ac:dyDescent="0.2">
      <c r="B25" s="1332"/>
      <c r="C25" s="1336"/>
      <c r="D25" s="1337"/>
      <c r="E25" s="1335"/>
      <c r="F25" s="1335"/>
      <c r="G25" s="1335"/>
      <c r="H25" s="1335"/>
      <c r="I25" s="1335"/>
      <c r="J25" s="1335"/>
      <c r="K25" s="1335"/>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K24" sqref="K2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05" t="str">
        <f>'Single Audit Cover'!A7</f>
        <v>Vandalia CUSD 203</v>
      </c>
      <c r="C1" s="2448"/>
      <c r="D1" s="2448"/>
      <c r="E1" s="2448"/>
      <c r="F1" s="2448"/>
      <c r="G1" s="2448"/>
      <c r="H1" s="2448"/>
      <c r="I1" s="2448"/>
      <c r="J1" s="2448"/>
      <c r="K1" s="2448"/>
      <c r="L1" s="2448"/>
      <c r="M1" s="2448"/>
    </row>
    <row r="2" spans="2:14" ht="15" x14ac:dyDescent="0.2">
      <c r="B2" s="2449">
        <f>'Single Audit Cover'!E7</f>
        <v>3026203026</v>
      </c>
      <c r="C2" s="2449"/>
      <c r="D2" s="2449"/>
      <c r="E2" s="2449"/>
      <c r="F2" s="2449"/>
      <c r="G2" s="2449"/>
      <c r="H2" s="2449"/>
      <c r="I2" s="2449"/>
      <c r="J2" s="2449"/>
      <c r="K2" s="2449"/>
      <c r="L2" s="2449"/>
      <c r="M2" s="2449"/>
      <c r="N2" s="1297"/>
    </row>
    <row r="3" spans="2:14" ht="15" x14ac:dyDescent="0.2">
      <c r="B3" s="2450" t="s">
        <v>1219</v>
      </c>
      <c r="C3" s="2450"/>
      <c r="D3" s="2450"/>
      <c r="E3" s="2450"/>
      <c r="F3" s="2450"/>
      <c r="G3" s="2450"/>
      <c r="H3" s="2450"/>
      <c r="I3" s="2450"/>
      <c r="J3" s="2450"/>
      <c r="K3" s="2450"/>
      <c r="L3" s="2450"/>
      <c r="M3" s="2450"/>
      <c r="N3" s="1297"/>
    </row>
    <row r="4" spans="2:14" ht="15" x14ac:dyDescent="0.2">
      <c r="B4" s="2451" t="str">
        <f>'Single Audit Cover'!A4</f>
        <v>Year Ending June 30, 2019</v>
      </c>
      <c r="C4" s="2451"/>
      <c r="D4" s="2451"/>
      <c r="E4" s="2451"/>
      <c r="F4" s="2451"/>
      <c r="G4" s="2451"/>
      <c r="H4" s="2451"/>
      <c r="I4" s="2451"/>
      <c r="J4" s="2451"/>
      <c r="K4" s="2451"/>
      <c r="L4" s="2451"/>
      <c r="M4" s="2451"/>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34" t="s">
        <v>2118</v>
      </c>
      <c r="C11" s="1333"/>
      <c r="D11" s="1334"/>
      <c r="E11" s="1335"/>
      <c r="F11" s="1335"/>
      <c r="G11" s="1335"/>
      <c r="H11" s="1335"/>
      <c r="I11" s="1335"/>
      <c r="J11" s="1335"/>
      <c r="K11" s="1335"/>
      <c r="L11" s="1335"/>
      <c r="M11" s="1335"/>
    </row>
    <row r="12" spans="2:14" ht="20.100000000000001" customHeight="1" x14ac:dyDescent="0.2">
      <c r="B12" s="1332" t="s">
        <v>2211</v>
      </c>
      <c r="C12" s="1336">
        <v>10.555999999999999</v>
      </c>
      <c r="D12" s="1337" t="s">
        <v>2159</v>
      </c>
      <c r="E12" s="1338">
        <v>1667</v>
      </c>
      <c r="F12" s="1338">
        <v>488</v>
      </c>
      <c r="G12" s="1338">
        <v>1667</v>
      </c>
      <c r="H12" s="1338"/>
      <c r="I12" s="1338">
        <v>488</v>
      </c>
      <c r="J12" s="1338"/>
      <c r="K12" s="1338"/>
      <c r="L12" s="1335">
        <f t="shared" ref="L12:L24" si="0">+G12+I12+K12</f>
        <v>2155</v>
      </c>
      <c r="M12" s="1338" t="s">
        <v>2167</v>
      </c>
    </row>
    <row r="13" spans="2:14" ht="20.100000000000001" customHeight="1" x14ac:dyDescent="0.2">
      <c r="B13" s="1332" t="s">
        <v>2211</v>
      </c>
      <c r="C13" s="1336">
        <v>10.555999999999999</v>
      </c>
      <c r="D13" s="1337" t="s">
        <v>2160</v>
      </c>
      <c r="E13" s="1935"/>
      <c r="F13" s="1935">
        <v>2403</v>
      </c>
      <c r="G13" s="1935"/>
      <c r="H13" s="1935"/>
      <c r="I13" s="1935">
        <v>2403</v>
      </c>
      <c r="J13" s="1935"/>
      <c r="K13" s="1935"/>
      <c r="L13" s="1935">
        <f t="shared" si="0"/>
        <v>2403</v>
      </c>
      <c r="M13" s="1338" t="s">
        <v>2167</v>
      </c>
    </row>
    <row r="14" spans="2:14" ht="20.100000000000001" customHeight="1" x14ac:dyDescent="0.2">
      <c r="B14" s="1332" t="s">
        <v>2158</v>
      </c>
      <c r="C14" s="1336"/>
      <c r="D14" s="1337"/>
      <c r="E14" s="1936">
        <f>E12+E13</f>
        <v>1667</v>
      </c>
      <c r="F14" s="1936">
        <f t="shared" ref="F14:K14" si="1">F12+F13</f>
        <v>2891</v>
      </c>
      <c r="G14" s="1936">
        <f t="shared" si="1"/>
        <v>1667</v>
      </c>
      <c r="H14" s="1936">
        <f t="shared" si="1"/>
        <v>0</v>
      </c>
      <c r="I14" s="1936">
        <f t="shared" si="1"/>
        <v>2891</v>
      </c>
      <c r="J14" s="1936">
        <f t="shared" si="1"/>
        <v>0</v>
      </c>
      <c r="K14" s="1936">
        <f t="shared" si="1"/>
        <v>0</v>
      </c>
      <c r="L14" s="1936">
        <f t="shared" si="0"/>
        <v>4558</v>
      </c>
      <c r="M14" s="1338"/>
    </row>
    <row r="15" spans="2:14" ht="20.100000000000001" customHeight="1" x14ac:dyDescent="0.2">
      <c r="B15" s="1332" t="s">
        <v>1169</v>
      </c>
      <c r="C15" s="1336"/>
      <c r="D15" s="1337"/>
      <c r="E15" s="1335"/>
      <c r="F15" s="1338"/>
      <c r="G15" s="1338"/>
      <c r="H15" s="1338"/>
      <c r="I15" s="1338"/>
      <c r="J15" s="1338"/>
      <c r="K15" s="1338"/>
      <c r="L15" s="1335"/>
      <c r="M15" s="1338"/>
    </row>
    <row r="16" spans="2:14" ht="20.100000000000001" customHeight="1" x14ac:dyDescent="0.2">
      <c r="B16" s="1934" t="s">
        <v>2161</v>
      </c>
      <c r="C16" s="1937"/>
      <c r="D16" s="1938"/>
      <c r="E16" s="1939">
        <f>E14+' SEFA (3)'!E24+' SEFA (3)'!E19</f>
        <v>356491</v>
      </c>
      <c r="F16" s="1939">
        <f>F14+' SEFA (3)'!F24+' SEFA (3)'!F19</f>
        <v>563591</v>
      </c>
      <c r="G16" s="1939">
        <f>G14+' SEFA (3)'!G24+' SEFA (3)'!G19</f>
        <v>356491</v>
      </c>
      <c r="H16" s="1939">
        <f>H14+' SEFA (3)'!H24+' SEFA (3)'!H19</f>
        <v>0</v>
      </c>
      <c r="I16" s="1939">
        <f>I14+' SEFA (3)'!I24+' SEFA (3)'!I19</f>
        <v>563591</v>
      </c>
      <c r="J16" s="1939">
        <f>J14+' SEFA (3)'!J24+' SEFA (3)'!J19</f>
        <v>0</v>
      </c>
      <c r="K16" s="1939">
        <f>K14+' SEFA (3)'!K24+' SEFA (3)'!K19</f>
        <v>0</v>
      </c>
      <c r="L16" s="1939">
        <f t="shared" si="0"/>
        <v>920082</v>
      </c>
      <c r="M16" s="1338"/>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934" t="s">
        <v>2144</v>
      </c>
      <c r="C18" s="1336"/>
      <c r="D18" s="1337"/>
      <c r="E18" s="1338"/>
      <c r="F18" s="1338"/>
      <c r="G18" s="1338"/>
      <c r="H18" s="1338"/>
      <c r="I18" s="1338"/>
      <c r="J18" s="1338"/>
      <c r="K18" s="1338"/>
      <c r="L18" s="1335"/>
      <c r="M18" s="1338"/>
    </row>
    <row r="19" spans="2:14" ht="20.100000000000001" customHeight="1" x14ac:dyDescent="0.2">
      <c r="B19" s="1934" t="s">
        <v>2145</v>
      </c>
      <c r="C19" s="1336"/>
      <c r="D19" s="1337"/>
      <c r="E19" s="1338"/>
      <c r="F19" s="1338"/>
      <c r="G19" s="1338"/>
      <c r="H19" s="1338"/>
      <c r="I19" s="1338"/>
      <c r="J19" s="1338"/>
      <c r="K19" s="1338"/>
      <c r="L19" s="1335"/>
      <c r="M19" s="1338"/>
    </row>
    <row r="20" spans="2:14" ht="20.100000000000001" customHeight="1" x14ac:dyDescent="0.2">
      <c r="B20" s="1332" t="s">
        <v>2146</v>
      </c>
      <c r="C20" s="1336">
        <v>93.778000000000006</v>
      </c>
      <c r="D20" s="1337" t="s">
        <v>2212</v>
      </c>
      <c r="E20" s="1338">
        <v>17142</v>
      </c>
      <c r="F20" s="1338"/>
      <c r="G20" s="1338">
        <v>17142</v>
      </c>
      <c r="H20" s="1338"/>
      <c r="I20" s="1338"/>
      <c r="J20" s="1338"/>
      <c r="K20" s="1338"/>
      <c r="L20" s="1335">
        <f t="shared" ref="L20" si="2">+G20+I20+K20</f>
        <v>17142</v>
      </c>
      <c r="M20" s="1338" t="s">
        <v>2167</v>
      </c>
    </row>
    <row r="21" spans="2:14" ht="20.100000000000001" customHeight="1" x14ac:dyDescent="0.2">
      <c r="B21" s="1332" t="s">
        <v>2146</v>
      </c>
      <c r="C21" s="1336">
        <v>93.778000000000006</v>
      </c>
      <c r="D21" s="1337" t="s">
        <v>2213</v>
      </c>
      <c r="E21" s="1935"/>
      <c r="F21" s="1935">
        <v>24714</v>
      </c>
      <c r="G21" s="1935"/>
      <c r="H21" s="1935"/>
      <c r="I21" s="1935">
        <v>30696</v>
      </c>
      <c r="J21" s="1935"/>
      <c r="K21" s="1935"/>
      <c r="L21" s="1935">
        <f t="shared" si="0"/>
        <v>30696</v>
      </c>
      <c r="M21" s="1338" t="s">
        <v>2167</v>
      </c>
    </row>
    <row r="22" spans="2:14" ht="20.100000000000001" customHeight="1" x14ac:dyDescent="0.2">
      <c r="B22" s="1934" t="s">
        <v>2147</v>
      </c>
      <c r="C22" s="1937"/>
      <c r="D22" s="1938"/>
      <c r="E22" s="1939">
        <f>E20+E21</f>
        <v>17142</v>
      </c>
      <c r="F22" s="1939">
        <f t="shared" ref="F22:K22" si="3">F20+F21</f>
        <v>24714</v>
      </c>
      <c r="G22" s="1939">
        <f t="shared" si="3"/>
        <v>17142</v>
      </c>
      <c r="H22" s="1939">
        <f t="shared" si="3"/>
        <v>0</v>
      </c>
      <c r="I22" s="1939">
        <f t="shared" si="3"/>
        <v>30696</v>
      </c>
      <c r="J22" s="1939">
        <f t="shared" si="3"/>
        <v>0</v>
      </c>
      <c r="K22" s="1939">
        <f t="shared" si="3"/>
        <v>0</v>
      </c>
      <c r="L22" s="1935">
        <f t="shared" si="0"/>
        <v>47838</v>
      </c>
      <c r="M22" s="1338"/>
    </row>
    <row r="23" spans="2:14" ht="20.100000000000001" customHeight="1" x14ac:dyDescent="0.2">
      <c r="B23" s="1934"/>
      <c r="C23" s="1937"/>
      <c r="D23" s="1938"/>
      <c r="E23" s="1941"/>
      <c r="F23" s="1941"/>
      <c r="G23" s="1941"/>
      <c r="H23" s="1941"/>
      <c r="I23" s="1941"/>
      <c r="J23" s="1941"/>
      <c r="K23" s="1941"/>
      <c r="L23" s="1335"/>
      <c r="M23" s="1338"/>
    </row>
    <row r="24" spans="2:14" ht="20.100000000000001" customHeight="1" thickBot="1" x14ac:dyDescent="0.25">
      <c r="B24" s="1934" t="s">
        <v>2162</v>
      </c>
      <c r="C24" s="1937"/>
      <c r="D24" s="1938"/>
      <c r="E24" s="1940">
        <f>E16+' SEFA (4)'!E22+' SEFA (2)'!E26</f>
        <v>985906</v>
      </c>
      <c r="F24" s="1940">
        <f>F16+' SEFA (4)'!F22+' SEFA (2)'!F26</f>
        <v>1479586</v>
      </c>
      <c r="G24" s="1940">
        <f>G16+' SEFA (4)'!G22+' SEFA (2)'!G26</f>
        <v>1005158</v>
      </c>
      <c r="H24" s="1940">
        <f>H16+' SEFA (4)'!H22+' SEFA (2)'!H26</f>
        <v>0</v>
      </c>
      <c r="I24" s="1940">
        <f>I16+' SEFA (4)'!I22+' SEFA (2)'!I26</f>
        <v>1650261</v>
      </c>
      <c r="J24" s="1940">
        <f>J16+' SEFA (4)'!J22+' SEFA (2)'!J26</f>
        <v>0</v>
      </c>
      <c r="K24" s="1940">
        <f>K16+' SEFA (4)'!K22+' SEFA (2)'!K26</f>
        <v>57515</v>
      </c>
      <c r="L24" s="1942">
        <f t="shared" si="0"/>
        <v>2712934</v>
      </c>
      <c r="M24" s="1338"/>
    </row>
    <row r="25" spans="2:14" ht="20.100000000000001" customHeight="1" thickTop="1" x14ac:dyDescent="0.2">
      <c r="B25" s="1332"/>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2"/>
  <sheetViews>
    <sheetView showGridLines="0" zoomScale="120" zoomScaleNormal="120" workbookViewId="0">
      <selection activeCell="E33" sqref="E33"/>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Vandalia CUSD 203</v>
      </c>
      <c r="B1" s="2453"/>
      <c r="C1" s="2453"/>
      <c r="D1" s="2453"/>
      <c r="E1" s="2453"/>
      <c r="F1" s="2453"/>
    </row>
    <row r="2" spans="1:7" ht="13.5" customHeight="1" x14ac:dyDescent="0.2">
      <c r="A2" s="2449">
        <f>'Single Audit Cover'!E7</f>
        <v>3026203026</v>
      </c>
      <c r="B2" s="2449"/>
      <c r="C2" s="2449"/>
      <c r="D2" s="2449"/>
      <c r="E2" s="2449"/>
      <c r="F2" s="2449"/>
      <c r="G2" s="1270"/>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1" t="s">
        <v>1728</v>
      </c>
      <c r="C6" s="317"/>
      <c r="D6" s="317"/>
    </row>
    <row r="7" spans="1:7" ht="60.95" customHeight="1" x14ac:dyDescent="0.2">
      <c r="A7" s="2452" t="s">
        <v>2170</v>
      </c>
      <c r="B7" s="2452"/>
      <c r="C7" s="2452"/>
      <c r="D7" s="2452"/>
      <c r="E7" s="2452"/>
      <c r="F7" s="2452"/>
    </row>
    <row r="8" spans="1:7" ht="8.25"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1547</v>
      </c>
      <c r="B10" s="1275"/>
      <c r="C10" s="1276"/>
      <c r="D10" s="1275" t="s">
        <v>1548</v>
      </c>
      <c r="E10" s="1276" t="s">
        <v>2061</v>
      </c>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22.5" customHeight="1" x14ac:dyDescent="0.2">
      <c r="A13" s="2452" t="s">
        <v>2205</v>
      </c>
      <c r="B13" s="2452"/>
      <c r="C13" s="2452"/>
      <c r="D13" s="2452"/>
      <c r="E13" s="2452"/>
      <c r="F13" s="2452"/>
    </row>
    <row r="14" spans="1:7" ht="9.75" customHeight="1" x14ac:dyDescent="0.2">
      <c r="C14" s="1255"/>
      <c r="D14" s="1255"/>
    </row>
    <row r="15" spans="1:7" ht="10.5" customHeight="1" x14ac:dyDescent="0.2">
      <c r="C15" s="1839" t="s">
        <v>1270</v>
      </c>
      <c r="D15" s="2456" t="s">
        <v>1269</v>
      </c>
      <c r="E15" s="2456"/>
      <c r="F15" s="2456"/>
    </row>
    <row r="16" spans="1:7" ht="13.5" customHeight="1" x14ac:dyDescent="0.2">
      <c r="A16" s="1277"/>
      <c r="B16" s="1271" t="s">
        <v>1268</v>
      </c>
      <c r="C16" s="1839" t="s">
        <v>1267</v>
      </c>
      <c r="D16" s="2457" t="s">
        <v>1588</v>
      </c>
      <c r="E16" s="2457"/>
      <c r="F16" s="2457"/>
    </row>
    <row r="17" spans="1:6" ht="20.45" customHeight="1" x14ac:dyDescent="0.2">
      <c r="A17" s="1278"/>
      <c r="B17" s="1279" t="s">
        <v>2171</v>
      </c>
      <c r="C17" s="1280"/>
      <c r="D17" s="2458"/>
      <c r="E17" s="2458"/>
      <c r="F17" s="2458"/>
    </row>
    <row r="18" spans="1:6" ht="20.65" customHeight="1" x14ac:dyDescent="0.2">
      <c r="A18" s="1278"/>
      <c r="B18" s="1279"/>
      <c r="C18" s="1280"/>
      <c r="D18" s="2458"/>
      <c r="E18" s="2458"/>
      <c r="F18" s="2458"/>
    </row>
    <row r="19" spans="1:6" ht="20.65" customHeight="1" x14ac:dyDescent="0.2">
      <c r="A19" s="1278"/>
      <c r="B19" s="1279"/>
      <c r="C19" s="1280"/>
      <c r="D19" s="2458"/>
      <c r="E19" s="2458"/>
      <c r="F19" s="2458"/>
    </row>
    <row r="20" spans="1:6" ht="12" customHeight="1" x14ac:dyDescent="0.2">
      <c r="A20" s="328"/>
      <c r="B20" s="328"/>
      <c r="C20" s="1460"/>
      <c r="D20" s="1896"/>
      <c r="E20" s="1281"/>
    </row>
    <row r="21" spans="1:6" ht="12" customHeight="1" x14ac:dyDescent="0.2">
      <c r="A21" s="1282" t="s">
        <v>1549</v>
      </c>
      <c r="B21" s="328"/>
      <c r="C21" s="1460"/>
      <c r="D21" s="1896"/>
      <c r="E21" s="1281"/>
    </row>
    <row r="22" spans="1:6" ht="30" customHeight="1" x14ac:dyDescent="0.2">
      <c r="A22" s="2460" t="s">
        <v>2172</v>
      </c>
      <c r="B22" s="2460"/>
      <c r="C22" s="2460"/>
      <c r="D22" s="2460"/>
      <c r="E22" s="2460"/>
      <c r="F22" s="2460"/>
    </row>
    <row r="23" spans="1:6" ht="13.5" customHeight="1" x14ac:dyDescent="0.2">
      <c r="A23" s="328" t="s">
        <v>1434</v>
      </c>
      <c r="B23" s="328"/>
      <c r="C23" s="1283">
        <v>37087</v>
      </c>
      <c r="D23" s="1896"/>
      <c r="E23" s="1281"/>
    </row>
    <row r="24" spans="1:6" ht="13.5" customHeight="1" x14ac:dyDescent="0.2">
      <c r="A24" s="328" t="s">
        <v>1834</v>
      </c>
      <c r="B24" s="328"/>
      <c r="C24" s="1284">
        <v>23995</v>
      </c>
      <c r="D24" s="1896" t="s">
        <v>1589</v>
      </c>
      <c r="E24" s="2461">
        <f>+C23+C24</f>
        <v>61082</v>
      </c>
      <c r="F24" s="2462"/>
    </row>
    <row r="25" spans="1:6" ht="12" customHeight="1" x14ac:dyDescent="0.2">
      <c r="A25" s="328"/>
      <c r="B25" s="328"/>
      <c r="C25" s="1897"/>
      <c r="D25" s="1896"/>
      <c r="E25" s="1285"/>
      <c r="F25" s="1286"/>
    </row>
    <row r="26" spans="1:6" ht="13.5" customHeight="1" x14ac:dyDescent="0.2">
      <c r="A26" s="1282" t="s">
        <v>1550</v>
      </c>
      <c r="B26" s="328"/>
      <c r="C26" s="1460"/>
      <c r="D26" s="1896"/>
      <c r="E26" s="1281"/>
    </row>
    <row r="27" spans="1:6" ht="14.25" customHeight="1" x14ac:dyDescent="0.2">
      <c r="A27" s="328" t="s">
        <v>1484</v>
      </c>
      <c r="B27" s="328"/>
      <c r="C27" s="1898"/>
      <c r="D27" s="1896"/>
      <c r="E27" s="1281"/>
    </row>
    <row r="28" spans="1:6" ht="14.25" customHeight="1" x14ac:dyDescent="0.2">
      <c r="A28" s="328"/>
      <c r="B28" s="328" t="s">
        <v>1435</v>
      </c>
      <c r="C28" s="1287" t="s">
        <v>2171</v>
      </c>
      <c r="D28" s="1896"/>
      <c r="E28" s="1281"/>
    </row>
    <row r="29" spans="1:6" ht="14.25" customHeight="1" x14ac:dyDescent="0.2">
      <c r="A29" s="328"/>
      <c r="B29" s="328" t="s">
        <v>1436</v>
      </c>
      <c r="C29" s="1287" t="s">
        <v>2171</v>
      </c>
      <c r="D29" s="1896"/>
      <c r="E29" s="1281"/>
    </row>
    <row r="30" spans="1:6" ht="14.25" customHeight="1" x14ac:dyDescent="0.2">
      <c r="A30" s="328"/>
      <c r="B30" s="328" t="s">
        <v>1437</v>
      </c>
      <c r="C30" s="1287" t="s">
        <v>2171</v>
      </c>
      <c r="D30" s="1896"/>
      <c r="E30" s="1281"/>
    </row>
    <row r="31" spans="1:6" ht="14.25" customHeight="1" x14ac:dyDescent="0.2">
      <c r="A31" s="328"/>
      <c r="B31" s="328" t="s">
        <v>1438</v>
      </c>
      <c r="C31" s="1287" t="s">
        <v>2171</v>
      </c>
      <c r="D31" s="1896"/>
      <c r="E31" s="1281"/>
    </row>
    <row r="32" spans="1:6" ht="14.25" customHeight="1" x14ac:dyDescent="0.2">
      <c r="A32" s="328" t="s">
        <v>1439</v>
      </c>
      <c r="B32" s="328"/>
      <c r="C32" s="1894" t="s">
        <v>2171</v>
      </c>
      <c r="D32" s="1896"/>
      <c r="E32" s="1281"/>
    </row>
    <row r="33" spans="1:6" ht="14.25" customHeight="1" x14ac:dyDescent="0.2">
      <c r="A33" s="328" t="s">
        <v>1440</v>
      </c>
      <c r="B33" s="328"/>
      <c r="C33" s="1288" t="s">
        <v>383</v>
      </c>
      <c r="D33" s="1896"/>
      <c r="E33" s="1281"/>
    </row>
    <row r="34" spans="1:6" ht="14.25" customHeight="1" x14ac:dyDescent="0.2">
      <c r="A34" s="328"/>
      <c r="B34" s="328"/>
      <c r="C34" s="1898" t="s">
        <v>1441</v>
      </c>
      <c r="D34" s="1896"/>
      <c r="E34" s="1281"/>
    </row>
    <row r="35" spans="1:6" ht="13.5" customHeight="1" x14ac:dyDescent="0.2">
      <c r="B35" s="322"/>
      <c r="C35" s="1289"/>
      <c r="D35" s="1289"/>
    </row>
    <row r="36" spans="1:6" x14ac:dyDescent="0.2">
      <c r="A36" s="1290" t="s">
        <v>1730</v>
      </c>
      <c r="C36" s="317"/>
      <c r="D36" s="317"/>
    </row>
    <row r="37" spans="1:6" s="322" customFormat="1" ht="11.25" customHeight="1" x14ac:dyDescent="0.2">
      <c r="A37" s="1291"/>
      <c r="B37" s="1292"/>
      <c r="C37" s="1292"/>
      <c r="D37" s="1292"/>
      <c r="E37" s="1292"/>
      <c r="F37" s="1292"/>
    </row>
    <row r="38" spans="1:6" s="322" customFormat="1" ht="6" customHeight="1" x14ac:dyDescent="0.2">
      <c r="A38" s="1293"/>
    </row>
    <row r="39" spans="1:6" s="1295" customFormat="1" ht="23.25" customHeight="1" x14ac:dyDescent="0.2">
      <c r="A39" s="1294">
        <v>5</v>
      </c>
      <c r="B39" s="2463" t="s">
        <v>1590</v>
      </c>
      <c r="C39" s="2463"/>
      <c r="D39" s="2463"/>
      <c r="E39" s="1394"/>
    </row>
    <row r="40" spans="1:6" s="1295" customFormat="1" ht="3.75" customHeight="1" x14ac:dyDescent="0.2">
      <c r="A40" s="1294"/>
      <c r="B40" s="1838"/>
      <c r="C40" s="1838"/>
      <c r="D40" s="1838"/>
      <c r="E40" s="1394"/>
    </row>
    <row r="41" spans="1:6" s="1295" customFormat="1" ht="20.25" customHeight="1" x14ac:dyDescent="0.2">
      <c r="A41" s="1296">
        <v>6</v>
      </c>
      <c r="B41" s="2459" t="s">
        <v>1551</v>
      </c>
      <c r="C41" s="2459"/>
      <c r="D41" s="2459"/>
    </row>
    <row r="42" spans="1:6" ht="14.25" customHeight="1" x14ac:dyDescent="0.2">
      <c r="A42" s="1296"/>
      <c r="B42" s="2459"/>
      <c r="C42" s="2459"/>
      <c r="D42" s="2459"/>
    </row>
  </sheetData>
  <mergeCells count="16">
    <mergeCell ref="B41:D41"/>
    <mergeCell ref="B42:D42"/>
    <mergeCell ref="A22:F22"/>
    <mergeCell ref="E24:F24"/>
    <mergeCell ref="B39:D39"/>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5" zoomScale="110" zoomScaleNormal="110" workbookViewId="0">
      <selection activeCell="P43" sqref="P43"/>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Vandalia CUSD 203</v>
      </c>
      <c r="C1" s="2469"/>
      <c r="D1" s="2469"/>
      <c r="E1" s="2469"/>
      <c r="F1" s="2469"/>
      <c r="G1" s="2469"/>
      <c r="H1" s="2469"/>
      <c r="I1" s="2469"/>
      <c r="J1" s="1404"/>
    </row>
    <row r="2" spans="2:10" s="317" customFormat="1" ht="12.75" customHeight="1" x14ac:dyDescent="0.2">
      <c r="B2" s="2470">
        <f>'Single Audit Cover'!E7</f>
        <v>3026203026</v>
      </c>
      <c r="C2" s="2471"/>
      <c r="D2" s="2471"/>
      <c r="E2" s="2471"/>
      <c r="F2" s="2471"/>
      <c r="G2" s="2471"/>
      <c r="H2" s="2471"/>
      <c r="I2" s="2471"/>
      <c r="J2" s="1404"/>
    </row>
    <row r="3" spans="2:10" s="317" customFormat="1" ht="12.75" customHeight="1" x14ac:dyDescent="0.2">
      <c r="B3" s="2472" t="s">
        <v>1285</v>
      </c>
      <c r="C3" s="2473"/>
      <c r="D3" s="2473"/>
      <c r="E3" s="2473"/>
      <c r="F3" s="2473"/>
      <c r="G3" s="2473"/>
      <c r="H3" s="2473"/>
      <c r="I3" s="2473"/>
      <c r="J3" s="1405"/>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2" t="s">
        <v>1284</v>
      </c>
      <c r="C7" s="2473"/>
      <c r="D7" s="2473"/>
      <c r="E7" s="2473"/>
      <c r="F7" s="2473"/>
      <c r="G7" s="2473"/>
      <c r="H7" s="2473"/>
      <c r="I7" s="2473"/>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74" t="s">
        <v>1164</v>
      </c>
      <c r="D11" s="2474"/>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t="s">
        <v>2061</v>
      </c>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t="s">
        <v>2061</v>
      </c>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t="s">
        <v>2061</v>
      </c>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t="s">
        <v>2061</v>
      </c>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t="s">
        <v>2061</v>
      </c>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5" t="s">
        <v>2216</v>
      </c>
      <c r="E29" s="2475"/>
      <c r="F29" s="2475"/>
      <c r="G29" s="2475"/>
      <c r="H29" s="2475"/>
      <c r="I29" s="2475"/>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t="s">
        <v>2061</v>
      </c>
      <c r="H33" s="1295" t="s">
        <v>99</v>
      </c>
    </row>
    <row r="35" spans="2:9" x14ac:dyDescent="0.2">
      <c r="B35" s="1423" t="s">
        <v>1746</v>
      </c>
      <c r="C35" s="1424"/>
      <c r="D35" s="1262"/>
    </row>
    <row r="36" spans="2:9" ht="6" customHeight="1" x14ac:dyDescent="0.2">
      <c r="B36" s="1423"/>
      <c r="C36" s="1424"/>
      <c r="D36" s="1262"/>
    </row>
    <row r="37" spans="2:9" ht="17.25" customHeight="1" x14ac:dyDescent="0.2">
      <c r="B37" s="1425" t="s">
        <v>1747</v>
      </c>
      <c r="C37" s="2476" t="s">
        <v>1748</v>
      </c>
      <c r="D37" s="2477"/>
      <c r="E37" s="2477"/>
      <c r="F37" s="2478"/>
      <c r="G37" s="2476" t="s">
        <v>1592</v>
      </c>
      <c r="H37" s="2477"/>
      <c r="I37" s="2478"/>
    </row>
    <row r="38" spans="2:9" ht="16.5" customHeight="1" x14ac:dyDescent="0.2">
      <c r="B38" s="1426" t="s">
        <v>2132</v>
      </c>
      <c r="C38" s="2464" t="s">
        <v>2217</v>
      </c>
      <c r="D38" s="2465"/>
      <c r="E38" s="2465"/>
      <c r="F38" s="2466"/>
      <c r="G38" s="2479">
        <v>265287</v>
      </c>
      <c r="H38" s="2480"/>
      <c r="I38" s="2481"/>
    </row>
    <row r="39" spans="2:9" ht="16.5" customHeight="1" x14ac:dyDescent="0.2">
      <c r="B39" s="1426" t="s">
        <v>2218</v>
      </c>
      <c r="C39" s="2464" t="s">
        <v>2149</v>
      </c>
      <c r="D39" s="2465"/>
      <c r="E39" s="2465"/>
      <c r="F39" s="2466"/>
      <c r="G39" s="2467">
        <v>563591</v>
      </c>
      <c r="H39" s="2467"/>
      <c r="I39" s="2467"/>
    </row>
    <row r="40" spans="2:9" ht="16.5" customHeight="1" x14ac:dyDescent="0.2">
      <c r="B40" s="1426"/>
      <c r="C40" s="2464"/>
      <c r="D40" s="2465"/>
      <c r="E40" s="2465"/>
      <c r="F40" s="2466"/>
      <c r="G40" s="2467"/>
      <c r="H40" s="2467"/>
      <c r="I40" s="2467"/>
    </row>
    <row r="41" spans="2:9" ht="16.5" customHeight="1" x14ac:dyDescent="0.2">
      <c r="B41" s="1426"/>
      <c r="C41" s="2464"/>
      <c r="D41" s="2465"/>
      <c r="E41" s="2465"/>
      <c r="F41" s="2466"/>
      <c r="G41" s="2467"/>
      <c r="H41" s="2467"/>
      <c r="I41" s="2467"/>
    </row>
    <row r="42" spans="2:9" ht="16.5" customHeight="1" x14ac:dyDescent="0.2">
      <c r="B42" s="1426"/>
      <c r="C42" s="2464"/>
      <c r="D42" s="2465"/>
      <c r="E42" s="2465"/>
      <c r="F42" s="2466"/>
      <c r="G42" s="2467"/>
      <c r="H42" s="2467"/>
      <c r="I42" s="2467"/>
    </row>
    <row r="43" spans="2:9" ht="16.5" customHeight="1" x14ac:dyDescent="0.2">
      <c r="B43" s="1426"/>
      <c r="C43" s="2482" t="s">
        <v>1593</v>
      </c>
      <c r="D43" s="2483"/>
      <c r="E43" s="2483"/>
      <c r="F43" s="2484"/>
      <c r="G43" s="2485">
        <f>SUM(G38:I42)</f>
        <v>828878</v>
      </c>
      <c r="H43" s="2485"/>
      <c r="I43" s="2485"/>
    </row>
    <row r="44" spans="2:9" ht="12.75" customHeight="1" x14ac:dyDescent="0.2"/>
    <row r="45" spans="2:9" ht="12.75" customHeight="1" x14ac:dyDescent="0.2">
      <c r="B45" s="1417" t="s">
        <v>2058</v>
      </c>
      <c r="D45" s="2486">
        <v>1650261</v>
      </c>
      <c r="E45" s="2487"/>
    </row>
    <row r="46" spans="2:9" ht="5.25" customHeight="1" x14ac:dyDescent="0.2">
      <c r="B46" s="1427"/>
      <c r="D46" s="1428"/>
      <c r="E46" s="1429"/>
    </row>
    <row r="47" spans="2:9" ht="12.75" customHeight="1" x14ac:dyDescent="0.2">
      <c r="B47" s="1295" t="s">
        <v>1594</v>
      </c>
      <c r="C47" s="1295"/>
      <c r="D47" s="1430">
        <f>+G43/D45</f>
        <v>0.50227085291356943</v>
      </c>
      <c r="E47" s="1431"/>
      <c r="F47" s="1432"/>
      <c r="I47" s="1433"/>
    </row>
    <row r="48" spans="2:9" ht="9.9499999999999993" customHeight="1" x14ac:dyDescent="0.2"/>
    <row r="49" spans="1:9" x14ac:dyDescent="0.2">
      <c r="B49" s="1363" t="s">
        <v>1273</v>
      </c>
      <c r="C49" s="1277"/>
      <c r="D49" s="1277"/>
      <c r="E49" s="2488">
        <v>750000</v>
      </c>
      <c r="F49" s="2488"/>
      <c r="G49" s="2488"/>
      <c r="H49" s="322"/>
    </row>
    <row r="51" spans="1:9" ht="13.5" customHeight="1" x14ac:dyDescent="0.2">
      <c r="B51" s="1363" t="s">
        <v>1272</v>
      </c>
      <c r="C51" s="1277"/>
      <c r="E51" s="1420"/>
      <c r="F51" s="1295" t="s">
        <v>885</v>
      </c>
      <c r="G51" s="1420" t="s">
        <v>2072</v>
      </c>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Vandalia CUSD 203</v>
      </c>
      <c r="C1" s="2468"/>
      <c r="D1" s="2468"/>
      <c r="E1" s="2468"/>
      <c r="F1" s="2468"/>
      <c r="G1" s="2468"/>
      <c r="H1" s="2468"/>
      <c r="I1" s="2468"/>
      <c r="J1" s="2468"/>
      <c r="K1" s="2468"/>
      <c r="L1" s="1369"/>
      <c r="M1" s="1369"/>
    </row>
    <row r="2" spans="1:13" ht="12" customHeight="1" x14ac:dyDescent="0.2">
      <c r="B2" s="2470">
        <f>'Single Audit Cover'!E7</f>
        <v>3026203026</v>
      </c>
      <c r="C2" s="2470"/>
      <c r="D2" s="2470"/>
      <c r="E2" s="2470"/>
      <c r="F2" s="2470"/>
      <c r="G2" s="2470"/>
      <c r="H2" s="2470"/>
      <c r="I2" s="2470"/>
      <c r="J2" s="2470"/>
      <c r="K2" s="2470"/>
      <c r="L2" s="1370"/>
      <c r="M2" s="1371"/>
    </row>
    <row r="3" spans="1:13" ht="10.35" customHeight="1" x14ac:dyDescent="0.2">
      <c r="B3" s="2491" t="s">
        <v>1285</v>
      </c>
      <c r="C3" s="2491"/>
      <c r="D3" s="2491"/>
      <c r="E3" s="2491"/>
      <c r="F3" s="2491"/>
      <c r="G3" s="2491"/>
      <c r="H3" s="2491"/>
      <c r="I3" s="2491"/>
      <c r="J3" s="2491"/>
      <c r="K3" s="2491"/>
      <c r="L3" s="1372"/>
      <c r="M3" s="1372"/>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92" t="s">
        <v>1296</v>
      </c>
      <c r="C7" s="2492"/>
      <c r="D7" s="2493"/>
      <c r="E7" s="2493"/>
      <c r="F7" s="2493"/>
      <c r="G7" s="2493"/>
      <c r="H7" s="2493"/>
      <c r="I7" s="2493"/>
      <c r="J7" s="2493"/>
      <c r="K7" s="249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1</v>
      </c>
      <c r="E10" s="322"/>
      <c r="F10" s="1382" t="s">
        <v>1295</v>
      </c>
      <c r="G10" s="1383" t="s">
        <v>2061</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90" t="s">
        <v>969</v>
      </c>
      <c r="C14" s="2490"/>
      <c r="D14" s="2490"/>
      <c r="E14" s="2490"/>
      <c r="F14" s="2490"/>
      <c r="G14" s="2490"/>
      <c r="H14" s="2490"/>
      <c r="I14" s="2490"/>
      <c r="J14" s="2490"/>
      <c r="K14" s="2490"/>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90" t="s">
        <v>2189</v>
      </c>
      <c r="C17" s="2490"/>
      <c r="D17" s="2490"/>
      <c r="E17" s="2490"/>
      <c r="F17" s="2490"/>
      <c r="G17" s="2490"/>
      <c r="H17" s="2490"/>
      <c r="I17" s="2490"/>
      <c r="J17" s="2490"/>
      <c r="K17" s="2490"/>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494" t="s">
        <v>2190</v>
      </c>
      <c r="C20" s="2494"/>
      <c r="D20" s="2490"/>
      <c r="E20" s="2490"/>
      <c r="F20" s="2490"/>
      <c r="G20" s="2490"/>
      <c r="H20" s="2490"/>
      <c r="I20" s="2490"/>
      <c r="J20" s="2490"/>
      <c r="K20" s="2490"/>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0" t="s">
        <v>2200</v>
      </c>
      <c r="C23" s="2490"/>
      <c r="D23" s="2490"/>
      <c r="E23" s="2490"/>
      <c r="F23" s="2490"/>
      <c r="G23" s="2490"/>
      <c r="H23" s="2490"/>
      <c r="I23" s="2490"/>
      <c r="J23" s="2490"/>
      <c r="K23" s="2490"/>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0" t="s">
        <v>2202</v>
      </c>
      <c r="C26" s="2490"/>
      <c r="D26" s="2490"/>
      <c r="E26" s="2490"/>
      <c r="F26" s="2490"/>
      <c r="G26" s="2490"/>
      <c r="H26" s="2490"/>
      <c r="I26" s="2490"/>
      <c r="J26" s="2490"/>
      <c r="K26" s="2490"/>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9" t="s">
        <v>2191</v>
      </c>
      <c r="C29" s="2489"/>
      <c r="D29" s="2490"/>
      <c r="E29" s="2490"/>
      <c r="F29" s="2490"/>
      <c r="G29" s="2490"/>
      <c r="H29" s="2490"/>
      <c r="I29" s="2490"/>
      <c r="J29" s="2490"/>
      <c r="K29" s="249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89" t="s">
        <v>2201</v>
      </c>
      <c r="C32" s="2489"/>
      <c r="D32" s="2490"/>
      <c r="E32" s="2490"/>
      <c r="F32" s="2490"/>
      <c r="G32" s="2490"/>
      <c r="H32" s="2490"/>
      <c r="I32" s="2490"/>
      <c r="J32" s="2490"/>
      <c r="K32" s="2490"/>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Vandalia CUSD 203</v>
      </c>
      <c r="C1" s="2468"/>
      <c r="D1" s="2468"/>
      <c r="E1" s="2468"/>
      <c r="F1" s="2468"/>
      <c r="G1" s="2468"/>
      <c r="H1" s="2468"/>
      <c r="I1" s="2468"/>
      <c r="J1" s="2468"/>
      <c r="K1" s="2468"/>
      <c r="L1" s="1369"/>
      <c r="M1" s="1369"/>
    </row>
    <row r="2" spans="1:13" ht="12" customHeight="1" x14ac:dyDescent="0.2">
      <c r="B2" s="2470">
        <f>'Single Audit Cover'!E7</f>
        <v>3026203026</v>
      </c>
      <c r="C2" s="2470"/>
      <c r="D2" s="2470"/>
      <c r="E2" s="2470"/>
      <c r="F2" s="2470"/>
      <c r="G2" s="2470"/>
      <c r="H2" s="2470"/>
      <c r="I2" s="2470"/>
      <c r="J2" s="2470"/>
      <c r="K2" s="2470"/>
      <c r="L2" s="1370"/>
      <c r="M2" s="1371"/>
    </row>
    <row r="3" spans="1:13" ht="10.35" customHeight="1" x14ac:dyDescent="0.2">
      <c r="B3" s="2491" t="s">
        <v>1285</v>
      </c>
      <c r="C3" s="2491"/>
      <c r="D3" s="2491"/>
      <c r="E3" s="2491"/>
      <c r="F3" s="2491"/>
      <c r="G3" s="2491"/>
      <c r="H3" s="2491"/>
      <c r="I3" s="2491"/>
      <c r="J3" s="2491"/>
      <c r="K3" s="2491"/>
      <c r="L3" s="1947"/>
      <c r="M3" s="1947"/>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92" t="s">
        <v>1296</v>
      </c>
      <c r="C7" s="2492"/>
      <c r="D7" s="2493"/>
      <c r="E7" s="2493"/>
      <c r="F7" s="2493"/>
      <c r="G7" s="2493"/>
      <c r="H7" s="2493"/>
      <c r="I7" s="2493"/>
      <c r="J7" s="2493"/>
      <c r="K7" s="249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3</v>
      </c>
      <c r="E10" s="322"/>
      <c r="F10" s="1382" t="s">
        <v>1295</v>
      </c>
      <c r="G10" s="1383" t="s">
        <v>2061</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56.25" customHeight="1" x14ac:dyDescent="0.2">
      <c r="B14" s="2490" t="s">
        <v>2225</v>
      </c>
      <c r="C14" s="2490"/>
      <c r="D14" s="2490"/>
      <c r="E14" s="2490"/>
      <c r="F14" s="2490"/>
      <c r="G14" s="2490"/>
      <c r="H14" s="2490"/>
      <c r="I14" s="2490"/>
      <c r="J14" s="2490"/>
      <c r="K14" s="2490"/>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90" t="s">
        <v>2226</v>
      </c>
      <c r="C17" s="2490"/>
      <c r="D17" s="2490"/>
      <c r="E17" s="2490"/>
      <c r="F17" s="2490"/>
      <c r="G17" s="2490"/>
      <c r="H17" s="2490"/>
      <c r="I17" s="2490"/>
      <c r="J17" s="2490"/>
      <c r="K17" s="2490"/>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494" t="s">
        <v>2227</v>
      </c>
      <c r="C20" s="2494"/>
      <c r="D20" s="2490"/>
      <c r="E20" s="2490"/>
      <c r="F20" s="2490"/>
      <c r="G20" s="2490"/>
      <c r="H20" s="2490"/>
      <c r="I20" s="2490"/>
      <c r="J20" s="2490"/>
      <c r="K20" s="2490"/>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0" t="s">
        <v>2228</v>
      </c>
      <c r="C23" s="2490"/>
      <c r="D23" s="2490"/>
      <c r="E23" s="2490"/>
      <c r="F23" s="2490"/>
      <c r="G23" s="2490"/>
      <c r="H23" s="2490"/>
      <c r="I23" s="2490"/>
      <c r="J23" s="2490"/>
      <c r="K23" s="2490"/>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0" t="s">
        <v>2231</v>
      </c>
      <c r="C26" s="2490"/>
      <c r="D26" s="2490"/>
      <c r="E26" s="2490"/>
      <c r="F26" s="2490"/>
      <c r="G26" s="2490"/>
      <c r="H26" s="2490"/>
      <c r="I26" s="2490"/>
      <c r="J26" s="2490"/>
      <c r="K26" s="2490"/>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9" t="s">
        <v>2229</v>
      </c>
      <c r="C29" s="2489"/>
      <c r="D29" s="2490"/>
      <c r="E29" s="2490"/>
      <c r="F29" s="2490"/>
      <c r="G29" s="2490"/>
      <c r="H29" s="2490"/>
      <c r="I29" s="2490"/>
      <c r="J29" s="2490"/>
      <c r="K29" s="249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89" t="s">
        <v>2230</v>
      </c>
      <c r="C32" s="2489"/>
      <c r="D32" s="2490"/>
      <c r="E32" s="2490"/>
      <c r="F32" s="2490"/>
      <c r="G32" s="2490"/>
      <c r="H32" s="2490"/>
      <c r="I32" s="2490"/>
      <c r="J32" s="2490"/>
      <c r="K32" s="2490"/>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48"/>
  <sheetViews>
    <sheetView showGridLines="0" zoomScale="110" zoomScaleNormal="110" workbookViewId="0">
      <selection activeCell="O24" sqref="O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9.28515625" style="317" customWidth="1"/>
    <col min="11" max="11" width="10.42578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Vandalia CUSD 203</v>
      </c>
      <c r="C1" s="2495"/>
      <c r="D1" s="2495"/>
      <c r="E1" s="2495"/>
      <c r="F1" s="2495"/>
      <c r="G1" s="2495"/>
      <c r="H1" s="2495"/>
      <c r="I1" s="2495"/>
      <c r="J1" s="2495"/>
      <c r="K1" s="2495"/>
      <c r="L1" s="1447"/>
    </row>
    <row r="2" spans="1:12" ht="12.75" customHeight="1" x14ac:dyDescent="0.2">
      <c r="B2" s="2496">
        <f>'Single Audit Cover'!E7</f>
        <v>3026203026</v>
      </c>
      <c r="C2" s="2496"/>
      <c r="D2" s="2496"/>
      <c r="E2" s="2496"/>
      <c r="F2" s="2496"/>
      <c r="G2" s="2496"/>
      <c r="H2" s="2496"/>
      <c r="I2" s="2496"/>
      <c r="J2" s="2496"/>
      <c r="K2" s="2496"/>
      <c r="L2" s="1448"/>
    </row>
    <row r="3" spans="1:12" ht="12.75" customHeight="1" x14ac:dyDescent="0.2">
      <c r="B3" s="2491" t="s">
        <v>1285</v>
      </c>
      <c r="C3" s="2491"/>
      <c r="D3" s="2491"/>
      <c r="E3" s="2491"/>
      <c r="F3" s="2491"/>
      <c r="G3" s="2491"/>
      <c r="H3" s="2491"/>
      <c r="I3" s="2491"/>
      <c r="J3" s="2491"/>
      <c r="K3" s="2491"/>
      <c r="L3" s="1372"/>
    </row>
    <row r="4" spans="1:12" ht="12.75" customHeight="1" x14ac:dyDescent="0.2">
      <c r="B4" s="2491" t="str">
        <f>'Single Audit Cover'!A4</f>
        <v>Year Ending June 30, 2019</v>
      </c>
      <c r="C4" s="2491"/>
      <c r="D4" s="2491"/>
      <c r="E4" s="2491"/>
      <c r="F4" s="2491"/>
      <c r="G4" s="2491"/>
      <c r="H4" s="2491"/>
      <c r="I4" s="2491"/>
      <c r="J4" s="2491"/>
      <c r="K4" s="2491"/>
      <c r="L4" s="1372"/>
    </row>
    <row r="5" spans="1:12" ht="5.25" customHeight="1" x14ac:dyDescent="0.2">
      <c r="B5" s="1255" t="s">
        <v>1169</v>
      </c>
      <c r="C5" s="1255"/>
      <c r="L5" s="322"/>
    </row>
    <row r="6" spans="1:12" ht="30.75" customHeight="1" x14ac:dyDescent="0.2">
      <c r="A6" s="322"/>
      <c r="B6" s="2497" t="s">
        <v>1308</v>
      </c>
      <c r="C6" s="2497"/>
      <c r="D6" s="2497"/>
      <c r="E6" s="2497"/>
      <c r="F6" s="2497"/>
      <c r="G6" s="2497"/>
      <c r="H6" s="2497"/>
      <c r="I6" s="2497"/>
      <c r="J6" s="2497"/>
      <c r="K6" s="2497"/>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1985</v>
      </c>
      <c r="D8" s="1450">
        <v>2</v>
      </c>
      <c r="E8" s="322"/>
      <c r="F8" s="1379" t="s">
        <v>1295</v>
      </c>
      <c r="G8" s="1451" t="s">
        <v>2061</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5" t="s">
        <v>2149</v>
      </c>
      <c r="G12" s="2475"/>
      <c r="H12" s="2475"/>
      <c r="I12" s="2475"/>
      <c r="J12" s="2475"/>
      <c r="K12" s="2475"/>
      <c r="L12" s="322"/>
    </row>
    <row r="13" spans="1:12" ht="9.6" customHeight="1" x14ac:dyDescent="0.2">
      <c r="B13" s="1252"/>
      <c r="C13" s="1252"/>
      <c r="D13" s="304"/>
      <c r="E13" s="322"/>
      <c r="F13" s="322"/>
      <c r="G13" s="1378"/>
      <c r="H13" s="322"/>
      <c r="I13" s="1378"/>
      <c r="J13" s="322"/>
      <c r="K13" s="1414"/>
      <c r="L13" s="322"/>
    </row>
    <row r="14" spans="1:12" ht="37.5" customHeight="1" x14ac:dyDescent="0.2">
      <c r="B14" s="1382" t="s">
        <v>1304</v>
      </c>
      <c r="C14" s="1382"/>
      <c r="D14" s="2498" t="s">
        <v>2203</v>
      </c>
      <c r="E14" s="2498"/>
      <c r="F14" s="2498"/>
      <c r="H14" s="1457" t="s">
        <v>1303</v>
      </c>
      <c r="I14" s="2499" t="s">
        <v>2204</v>
      </c>
      <c r="J14" s="2499"/>
      <c r="K14" s="2499"/>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9" t="s">
        <v>2192</v>
      </c>
      <c r="E16" s="2499"/>
      <c r="F16" s="2499"/>
      <c r="G16" s="2499"/>
      <c r="H16" s="2499"/>
      <c r="I16" s="2499"/>
      <c r="J16" s="2499"/>
      <c r="K16" s="2499"/>
      <c r="L16" s="322"/>
    </row>
    <row r="17" spans="2:12" ht="13.5" customHeight="1" x14ac:dyDescent="0.2">
      <c r="B17" s="1382" t="s">
        <v>1301</v>
      </c>
      <c r="C17" s="1382"/>
      <c r="D17" s="2500" t="s">
        <v>2148</v>
      </c>
      <c r="E17" s="2500"/>
      <c r="F17" s="2500"/>
      <c r="G17" s="2500"/>
      <c r="H17" s="2500"/>
      <c r="I17" s="2500"/>
      <c r="J17" s="2500"/>
      <c r="K17" s="2500"/>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45.75" customHeight="1" x14ac:dyDescent="0.2">
      <c r="B20" s="2490" t="s">
        <v>2197</v>
      </c>
      <c r="C20" s="2490"/>
      <c r="D20" s="2490"/>
      <c r="E20" s="2490"/>
      <c r="F20" s="2490"/>
      <c r="G20" s="2490"/>
      <c r="H20" s="2490"/>
      <c r="I20" s="2490"/>
      <c r="J20" s="2490"/>
      <c r="K20" s="2490"/>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16.5" customHeight="1" x14ac:dyDescent="0.2">
      <c r="B23" s="2490" t="s">
        <v>2193</v>
      </c>
      <c r="C23" s="2490"/>
      <c r="D23" s="2490"/>
      <c r="E23" s="2490"/>
      <c r="F23" s="2490"/>
      <c r="G23" s="2490"/>
      <c r="H23" s="2490"/>
      <c r="I23" s="2490"/>
      <c r="J23" s="2490"/>
      <c r="K23" s="2490"/>
      <c r="L23" s="322"/>
    </row>
    <row r="24" spans="2:12" ht="9.7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23.25" customHeight="1" x14ac:dyDescent="0.2">
      <c r="B26" s="2490" t="s">
        <v>2171</v>
      </c>
      <c r="C26" s="2490"/>
      <c r="D26" s="2490"/>
      <c r="E26" s="2490"/>
      <c r="F26" s="2490"/>
      <c r="G26" s="2490"/>
      <c r="H26" s="2490"/>
      <c r="I26" s="2490"/>
      <c r="J26" s="2490"/>
      <c r="K26" s="2490"/>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25.5" customHeight="1" x14ac:dyDescent="0.2">
      <c r="B29" s="2490" t="s">
        <v>2194</v>
      </c>
      <c r="C29" s="2490"/>
      <c r="D29" s="2490"/>
      <c r="E29" s="2490"/>
      <c r="F29" s="2490"/>
      <c r="G29" s="2490"/>
      <c r="H29" s="2490"/>
      <c r="I29" s="2490"/>
      <c r="J29" s="2490"/>
      <c r="K29" s="2490"/>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25.5" customHeight="1" x14ac:dyDescent="0.2">
      <c r="B32" s="2490" t="s">
        <v>2198</v>
      </c>
      <c r="C32" s="2490"/>
      <c r="D32" s="2490"/>
      <c r="E32" s="2490"/>
      <c r="F32" s="2490"/>
      <c r="G32" s="2490"/>
      <c r="H32" s="2490"/>
      <c r="I32" s="2490"/>
      <c r="J32" s="2490"/>
      <c r="K32" s="2490"/>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0" t="s">
        <v>2199</v>
      </c>
      <c r="C35" s="2490"/>
      <c r="D35" s="2490"/>
      <c r="E35" s="2490"/>
      <c r="F35" s="2490"/>
      <c r="G35" s="2490"/>
      <c r="H35" s="2490"/>
      <c r="I35" s="2490"/>
      <c r="J35" s="2490"/>
      <c r="K35" s="2490"/>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0" t="s">
        <v>2195</v>
      </c>
      <c r="C38" s="2490"/>
      <c r="D38" s="2490"/>
      <c r="E38" s="2490"/>
      <c r="F38" s="2490"/>
      <c r="G38" s="2490"/>
      <c r="H38" s="2490"/>
      <c r="I38" s="2490"/>
      <c r="J38" s="2490"/>
      <c r="K38" s="2490"/>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90" t="s">
        <v>2196</v>
      </c>
      <c r="C41" s="2490"/>
      <c r="D41" s="2490"/>
      <c r="E41" s="2490"/>
      <c r="F41" s="2490"/>
      <c r="G41" s="2490"/>
      <c r="H41" s="2490"/>
      <c r="I41" s="2490"/>
      <c r="J41" s="2490"/>
      <c r="K41" s="2490"/>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8" firstPageNumber="42" fitToHeight="0"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8" t="str">
        <f>'Single Audit Cover'!A7</f>
        <v>Vandalia CUSD 203</v>
      </c>
      <c r="C1" s="2468"/>
      <c r="D1" s="2468"/>
      <c r="E1" s="1467"/>
    </row>
    <row r="2" spans="2:5" s="1277" customFormat="1" ht="12.75" customHeight="1" x14ac:dyDescent="0.2">
      <c r="B2" s="2470">
        <f>'Single Audit Cover'!E7</f>
        <v>3026203026</v>
      </c>
      <c r="C2" s="2470"/>
      <c r="D2" s="2470"/>
      <c r="E2" s="1468"/>
    </row>
    <row r="3" spans="2:5" ht="12.75" customHeight="1" x14ac:dyDescent="0.2">
      <c r="B3" s="2491" t="s">
        <v>1763</v>
      </c>
      <c r="C3" s="2491"/>
      <c r="D3" s="2491"/>
      <c r="E3" s="1269"/>
    </row>
    <row r="4" spans="2:5" s="1277" customFormat="1" ht="12.75" customHeight="1" x14ac:dyDescent="0.2">
      <c r="B4" s="2501" t="str">
        <f>'Single Audit Cover'!A4</f>
        <v>Year Ending June 30, 2019</v>
      </c>
      <c r="C4" s="2501"/>
      <c r="D4" s="2501"/>
      <c r="E4" s="1469"/>
    </row>
    <row r="5" spans="2:5" s="1277" customFormat="1" ht="40.15" customHeight="1" x14ac:dyDescent="0.2">
      <c r="B5" s="1470"/>
      <c r="C5" s="328"/>
      <c r="D5" s="328"/>
      <c r="E5" s="328"/>
    </row>
    <row r="6" spans="2:5" s="1277" customFormat="1" ht="13.5" customHeight="1" x14ac:dyDescent="0.2">
      <c r="B6" s="1471" t="s">
        <v>1315</v>
      </c>
      <c r="C6" s="1471" t="s">
        <v>1314</v>
      </c>
      <c r="D6" s="1471" t="s">
        <v>1764</v>
      </c>
    </row>
    <row r="7" spans="2:5" ht="13.5" customHeight="1" x14ac:dyDescent="0.2">
      <c r="B7" s="1472"/>
      <c r="C7" s="324"/>
      <c r="D7" s="324"/>
      <c r="E7" s="324"/>
    </row>
    <row r="8" spans="2:5" ht="13.5" customHeight="1" x14ac:dyDescent="0.2">
      <c r="B8" s="1472" t="s">
        <v>2171</v>
      </c>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1765</v>
      </c>
    </row>
    <row r="46" spans="2:5" ht="12.2" customHeight="1" x14ac:dyDescent="0.2">
      <c r="B46" s="1481" t="s">
        <v>1766</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U46" sqref="U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121487127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2.5495000000000001E-3</v>
      </c>
      <c r="G10" s="356" t="s">
        <v>1005</v>
      </c>
      <c r="H10" s="355">
        <v>2E-3</v>
      </c>
      <c r="I10" s="356" t="s">
        <v>1006</v>
      </c>
      <c r="J10" s="1726">
        <f>ROUND(D10+F10+H10,5)</f>
        <v>2.2950000000000002E-2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15124007</v>
      </c>
      <c r="E16" s="356"/>
      <c r="F16" s="1727">
        <f>SUM('Acct Summary 7-8'!C17,'Acct Summary 7-8'!D17,'Acct Summary 7-8'!F17)</f>
        <v>14638625</v>
      </c>
      <c r="G16" s="356"/>
      <c r="H16" s="1727">
        <f>SUM(D16-F16)</f>
        <v>485382</v>
      </c>
      <c r="I16" s="222"/>
      <c r="J16" s="1727">
        <f>SUM('Acct Summary 7-8'!C81,'Acct Summary 7-8'!D81,'Acct Summary 7-8'!F81,'Acct Summary 7-8'!I81)</f>
        <v>7902831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16765223.526000001</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13500500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3" sqref="D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Vandalia CUSD 203</v>
      </c>
      <c r="E7" s="391"/>
      <c r="G7" s="252"/>
      <c r="H7" s="387"/>
      <c r="I7" s="387"/>
      <c r="J7" s="387"/>
      <c r="K7" s="387"/>
      <c r="L7" s="329"/>
      <c r="M7" s="329"/>
      <c r="N7" s="329"/>
      <c r="O7" s="329"/>
      <c r="P7" s="329"/>
    </row>
    <row r="8" spans="1:18" ht="12.75" x14ac:dyDescent="0.2">
      <c r="A8" s="329"/>
      <c r="B8" s="329"/>
      <c r="C8" s="389" t="s">
        <v>1125</v>
      </c>
      <c r="D8" s="392">
        <f>COVER!A13</f>
        <v>3026203026</v>
      </c>
      <c r="E8" s="393"/>
      <c r="G8" s="329"/>
      <c r="H8" s="329"/>
      <c r="I8" s="329"/>
      <c r="J8" s="329"/>
      <c r="K8" s="329"/>
      <c r="L8" s="329"/>
      <c r="M8" s="329"/>
      <c r="N8" s="329"/>
      <c r="O8" s="329"/>
      <c r="P8" s="329"/>
    </row>
    <row r="9" spans="1:18" ht="12.75" x14ac:dyDescent="0.2">
      <c r="A9" s="329"/>
      <c r="B9" s="329"/>
      <c r="C9" s="389" t="s">
        <v>713</v>
      </c>
      <c r="D9" s="394" t="str">
        <f>COVER!A15</f>
        <v>FAYETTE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7902831</v>
      </c>
      <c r="I12" s="404"/>
      <c r="J12" s="404"/>
      <c r="K12" s="405">
        <f>TRUNC((H12/H13*100000),5)/100000</f>
        <v>0.52253552910000001</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15124007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14638625</v>
      </c>
      <c r="I17" s="404"/>
      <c r="J17" s="416"/>
      <c r="K17" s="405">
        <f>TRUNC((H17/H18*100000),5)/100000</f>
        <v>0.96790652100000008</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15124007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7907618</v>
      </c>
      <c r="I24" s="422"/>
      <c r="J24" s="422"/>
      <c r="K24" s="423">
        <f>TRUNC(((H24/H25*100000)/100000),2)</f>
        <v>194.46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40662.847220000003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2369910.12995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13500500</v>
      </c>
      <c r="I32" s="420"/>
      <c r="J32" s="420"/>
      <c r="K32" s="423">
        <f>TRUNC(100-((((H32/H33*100))*100)/100),2)</f>
        <v>19.47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16765223.526000001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557"/>
      <c r="D3" s="1558"/>
      <c r="E3" s="1558"/>
      <c r="F3" s="1558"/>
      <c r="G3" s="1558"/>
      <c r="H3" s="1558"/>
      <c r="I3" s="1558"/>
      <c r="J3" s="1558"/>
      <c r="K3" s="1558"/>
      <c r="L3" s="1558"/>
      <c r="M3" s="1559"/>
      <c r="N3" s="1560"/>
    </row>
    <row r="4" spans="1:14" ht="13.5" customHeight="1" x14ac:dyDescent="0.2">
      <c r="A4" s="463" t="s">
        <v>1651</v>
      </c>
      <c r="B4" s="464"/>
      <c r="C4" s="465">
        <v>484243</v>
      </c>
      <c r="D4" s="466">
        <v>143167</v>
      </c>
      <c r="E4" s="466">
        <v>36</v>
      </c>
      <c r="F4" s="466">
        <v>63068</v>
      </c>
      <c r="G4" s="466">
        <v>46240</v>
      </c>
      <c r="H4" s="466">
        <v>6307</v>
      </c>
      <c r="I4" s="466">
        <v>2073</v>
      </c>
      <c r="J4" s="467">
        <v>10464</v>
      </c>
      <c r="K4" s="466">
        <v>1339</v>
      </c>
      <c r="L4" s="466">
        <v>234623</v>
      </c>
      <c r="M4" s="468"/>
      <c r="N4" s="469"/>
    </row>
    <row r="5" spans="1:14" x14ac:dyDescent="0.2">
      <c r="A5" s="463" t="s">
        <v>992</v>
      </c>
      <c r="B5" s="470">
        <v>120</v>
      </c>
      <c r="C5" s="465">
        <v>5049393</v>
      </c>
      <c r="D5" s="466">
        <v>1059552</v>
      </c>
      <c r="E5" s="466">
        <v>50166</v>
      </c>
      <c r="F5" s="466">
        <v>630380</v>
      </c>
      <c r="G5" s="466">
        <v>47265</v>
      </c>
      <c r="H5" s="466">
        <v>10582</v>
      </c>
      <c r="I5" s="466">
        <v>475742</v>
      </c>
      <c r="J5" s="467">
        <v>268083</v>
      </c>
      <c r="K5" s="471">
        <v>214953</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1863</v>
      </c>
      <c r="G12" s="466">
        <v>790</v>
      </c>
      <c r="H12" s="466">
        <v>0</v>
      </c>
      <c r="I12" s="466">
        <v>0</v>
      </c>
      <c r="J12" s="467">
        <v>0</v>
      </c>
      <c r="K12" s="466">
        <v>0</v>
      </c>
      <c r="L12" s="466"/>
      <c r="M12" s="469"/>
      <c r="N12" s="469"/>
    </row>
    <row r="13" spans="1:14" ht="13.5" customHeight="1" thickBot="1" x14ac:dyDescent="0.25">
      <c r="A13" s="1730" t="s">
        <v>644</v>
      </c>
      <c r="B13" s="1703"/>
      <c r="C13" s="1731">
        <f>SUM(C4:C12)</f>
        <v>5533636</v>
      </c>
      <c r="D13" s="1731">
        <f t="shared" ref="D13:L13" si="0">SUM(D4:D12)</f>
        <v>1202719</v>
      </c>
      <c r="E13" s="1731">
        <f t="shared" si="0"/>
        <v>50202</v>
      </c>
      <c r="F13" s="1731">
        <f t="shared" si="0"/>
        <v>695311</v>
      </c>
      <c r="G13" s="1731">
        <f t="shared" si="0"/>
        <v>94295</v>
      </c>
      <c r="H13" s="1731">
        <f t="shared" si="0"/>
        <v>16889</v>
      </c>
      <c r="I13" s="1731">
        <f t="shared" si="0"/>
        <v>477815</v>
      </c>
      <c r="J13" s="1731">
        <f t="shared" si="0"/>
        <v>278547</v>
      </c>
      <c r="K13" s="1731">
        <f t="shared" si="0"/>
        <v>216292</v>
      </c>
      <c r="L13" s="1731">
        <f t="shared" si="0"/>
        <v>234623</v>
      </c>
      <c r="M13" s="468"/>
      <c r="N13" s="469"/>
    </row>
    <row r="14" spans="1:14" ht="18" customHeight="1" thickTop="1" x14ac:dyDescent="0.2">
      <c r="A14" s="2125" t="s">
        <v>147</v>
      </c>
      <c r="B14" s="2126"/>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143601</v>
      </c>
      <c r="N16" s="484"/>
    </row>
    <row r="17" spans="1:14" s="485" customFormat="1" ht="12.75" customHeight="1" x14ac:dyDescent="0.2">
      <c r="A17" s="482" t="s">
        <v>1403</v>
      </c>
      <c r="B17" s="483">
        <v>230</v>
      </c>
      <c r="C17" s="477"/>
      <c r="D17" s="477"/>
      <c r="E17" s="477"/>
      <c r="F17" s="477"/>
      <c r="G17" s="477"/>
      <c r="H17" s="477"/>
      <c r="I17" s="477"/>
      <c r="J17" s="477"/>
      <c r="K17" s="477"/>
      <c r="L17" s="477"/>
      <c r="M17" s="467">
        <v>26855962</v>
      </c>
      <c r="N17" s="484"/>
    </row>
    <row r="18" spans="1:14" s="485" customFormat="1" ht="12.75" customHeight="1" x14ac:dyDescent="0.2">
      <c r="A18" s="482" t="s">
        <v>1404</v>
      </c>
      <c r="B18" s="483">
        <v>240</v>
      </c>
      <c r="C18" s="477"/>
      <c r="D18" s="477"/>
      <c r="E18" s="477"/>
      <c r="F18" s="477"/>
      <c r="G18" s="477"/>
      <c r="H18" s="477"/>
      <c r="I18" s="477"/>
      <c r="J18" s="477"/>
      <c r="K18" s="477"/>
      <c r="L18" s="477"/>
      <c r="M18" s="467">
        <v>2674928</v>
      </c>
      <c r="N18" s="484"/>
    </row>
    <row r="19" spans="1:14" s="485" customFormat="1" ht="12.75" customHeight="1" x14ac:dyDescent="0.2">
      <c r="A19" s="482" t="s">
        <v>1405</v>
      </c>
      <c r="B19" s="483">
        <v>250</v>
      </c>
      <c r="C19" s="477"/>
      <c r="D19" s="477"/>
      <c r="E19" s="477"/>
      <c r="F19" s="477"/>
      <c r="G19" s="477"/>
      <c r="H19" s="477"/>
      <c r="I19" s="477"/>
      <c r="J19" s="477"/>
      <c r="K19" s="477"/>
      <c r="L19" s="477"/>
      <c r="M19" s="467">
        <v>3964382</v>
      </c>
      <c r="N19" s="484"/>
    </row>
    <row r="20" spans="1:14" s="485" customFormat="1" ht="12.75" customHeight="1" x14ac:dyDescent="0.2">
      <c r="A20" s="482" t="s">
        <v>1406</v>
      </c>
      <c r="B20" s="483">
        <v>260</v>
      </c>
      <c r="C20" s="477"/>
      <c r="D20" s="477"/>
      <c r="E20" s="477"/>
      <c r="F20" s="477"/>
      <c r="G20" s="477"/>
      <c r="H20" s="477"/>
      <c r="I20" s="477"/>
      <c r="J20" s="477"/>
      <c r="K20" s="477"/>
      <c r="L20" s="477"/>
      <c r="M20" s="467">
        <v>468654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50202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13450298</v>
      </c>
    </row>
    <row r="23" spans="1:14" ht="13.5" customHeight="1" thickBot="1" x14ac:dyDescent="0.25">
      <c r="A23" s="1730" t="s">
        <v>643</v>
      </c>
      <c r="B23" s="1735"/>
      <c r="C23" s="468"/>
      <c r="D23" s="468"/>
      <c r="E23" s="468"/>
      <c r="F23" s="468"/>
      <c r="G23" s="468"/>
      <c r="H23" s="468"/>
      <c r="I23" s="468"/>
      <c r="J23" s="468"/>
      <c r="K23" s="468"/>
      <c r="L23" s="468"/>
      <c r="M23" s="1682">
        <f>SUM(M15:M22)</f>
        <v>34107527</v>
      </c>
      <c r="N23" s="1682">
        <f>SUM(N21:N22)</f>
        <v>13500500</v>
      </c>
    </row>
    <row r="24" spans="1:14" ht="18" customHeight="1" thickTop="1" x14ac:dyDescent="0.2">
      <c r="A24" s="2127" t="s">
        <v>598</v>
      </c>
      <c r="B24" s="2128"/>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6650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234623</v>
      </c>
      <c r="M33" s="468"/>
      <c r="N33" s="469"/>
    </row>
    <row r="34" spans="1:14" ht="13.5" customHeight="1" thickBot="1" x14ac:dyDescent="0.25">
      <c r="A34" s="1732" t="s">
        <v>654</v>
      </c>
      <c r="B34" s="1733"/>
      <c r="C34" s="1734">
        <f>SUM(C25:C33)</f>
        <v>6650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234623</v>
      </c>
      <c r="M34" s="468"/>
      <c r="N34" s="480"/>
    </row>
    <row r="35" spans="1:14" ht="18" customHeight="1" thickTop="1" x14ac:dyDescent="0.2">
      <c r="A35" s="2129" t="s">
        <v>529</v>
      </c>
      <c r="B35" s="213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13500500</v>
      </c>
    </row>
    <row r="37" spans="1:14" ht="13.5" thickBot="1" x14ac:dyDescent="0.25">
      <c r="A37" s="1730" t="s">
        <v>653</v>
      </c>
      <c r="B37" s="1735"/>
      <c r="C37" s="477"/>
      <c r="D37" s="477"/>
      <c r="E37" s="477"/>
      <c r="F37" s="477"/>
      <c r="G37" s="477"/>
      <c r="H37" s="477"/>
      <c r="I37" s="477"/>
      <c r="J37" s="477"/>
      <c r="K37" s="477"/>
      <c r="L37" s="480"/>
      <c r="M37" s="468"/>
      <c r="N37" s="1682">
        <f>SUM(N36:N36)</f>
        <v>13500500</v>
      </c>
    </row>
    <row r="38" spans="1:14" s="329" customFormat="1" ht="13.5" customHeight="1" thickTop="1" x14ac:dyDescent="0.2">
      <c r="A38" s="496" t="s">
        <v>420</v>
      </c>
      <c r="B38" s="483">
        <v>714</v>
      </c>
      <c r="C38" s="466"/>
      <c r="D38" s="466">
        <v>61890</v>
      </c>
      <c r="E38" s="466"/>
      <c r="F38" s="466"/>
      <c r="G38" s="466"/>
      <c r="H38" s="466">
        <v>16889</v>
      </c>
      <c r="I38" s="466"/>
      <c r="J38" s="467"/>
      <c r="K38" s="466"/>
      <c r="L38" s="568"/>
      <c r="M38" s="497"/>
      <c r="N38" s="497"/>
    </row>
    <row r="39" spans="1:14" s="329" customFormat="1" ht="13.5" customHeight="1" x14ac:dyDescent="0.2">
      <c r="A39" s="496" t="s">
        <v>342</v>
      </c>
      <c r="B39" s="483">
        <v>730</v>
      </c>
      <c r="C39" s="466">
        <v>5526986</v>
      </c>
      <c r="D39" s="466">
        <v>1140829</v>
      </c>
      <c r="E39" s="466">
        <v>50202</v>
      </c>
      <c r="F39" s="466">
        <v>695311</v>
      </c>
      <c r="G39" s="466">
        <v>94295</v>
      </c>
      <c r="H39" s="466">
        <v>0</v>
      </c>
      <c r="I39" s="466">
        <v>477815</v>
      </c>
      <c r="J39" s="467">
        <v>278547</v>
      </c>
      <c r="K39" s="466">
        <v>216292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34107527</v>
      </c>
      <c r="N40" s="497"/>
    </row>
    <row r="41" spans="1:14" ht="13.5" customHeight="1" thickBot="1" x14ac:dyDescent="0.25">
      <c r="A41" s="1730" t="s">
        <v>655</v>
      </c>
      <c r="B41" s="1700"/>
      <c r="C41" s="1682">
        <f>(SUM(C34,C37,C38,C39))</f>
        <v>5533636</v>
      </c>
      <c r="D41" s="1682">
        <f t="shared" ref="D41:L41" si="2">SUM(D34,D37,D38:D39)</f>
        <v>1202719</v>
      </c>
      <c r="E41" s="1682">
        <f t="shared" si="2"/>
        <v>50202</v>
      </c>
      <c r="F41" s="1682">
        <f t="shared" si="2"/>
        <v>695311</v>
      </c>
      <c r="G41" s="1682">
        <f t="shared" si="2"/>
        <v>94295</v>
      </c>
      <c r="H41" s="1682">
        <f t="shared" si="2"/>
        <v>16889</v>
      </c>
      <c r="I41" s="1682">
        <f t="shared" si="2"/>
        <v>477815</v>
      </c>
      <c r="J41" s="1682">
        <f t="shared" si="2"/>
        <v>278547</v>
      </c>
      <c r="K41" s="1682">
        <f t="shared" si="2"/>
        <v>216292</v>
      </c>
      <c r="L41" s="1682">
        <f t="shared" si="2"/>
        <v>234623</v>
      </c>
      <c r="M41" s="1682">
        <f>SUM(M40)</f>
        <v>34107527</v>
      </c>
      <c r="N41" s="1682">
        <f>SUM(N37)</f>
        <v>13500500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51" activePane="bottomLeft" state="frozen"/>
      <selection pane="bottomLeft" activeCell="N31" sqref="N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71"/>
      <c r="D3" s="1572"/>
      <c r="E3" s="1572"/>
      <c r="F3" s="1572"/>
      <c r="G3" s="1572"/>
      <c r="H3" s="1572"/>
      <c r="I3" s="1572"/>
      <c r="J3" s="1572"/>
      <c r="K3" s="1573"/>
      <c r="L3" s="506"/>
    </row>
    <row r="4" spans="1:13" ht="15.75" customHeight="1" x14ac:dyDescent="0.2">
      <c r="A4" s="1921" t="s">
        <v>1499</v>
      </c>
      <c r="B4" s="1922">
        <v>1000</v>
      </c>
      <c r="C4" s="1736">
        <f>'Revenues 9-14'!C109</f>
        <v>3975983</v>
      </c>
      <c r="D4" s="1736">
        <f>'Revenues 9-14'!D109</f>
        <v>1091359</v>
      </c>
      <c r="E4" s="1736">
        <f>'Revenues 9-14'!E109</f>
        <v>1511669</v>
      </c>
      <c r="F4" s="1736">
        <f>'Revenues 9-14'!F109</f>
        <v>308819</v>
      </c>
      <c r="G4" s="1736">
        <f>'Revenues 9-14'!G109</f>
        <v>503719</v>
      </c>
      <c r="H4" s="1736">
        <f>'Revenues 9-14'!H109</f>
        <v>10709</v>
      </c>
      <c r="I4" s="1736">
        <f>'Revenues 9-14'!I109</f>
        <v>68348</v>
      </c>
      <c r="J4" s="1736">
        <f>'Revenues 9-14'!J109</f>
        <v>925849</v>
      </c>
      <c r="K4" s="1736">
        <f>'Revenues 9-14'!K109</f>
        <v>62893</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7667348</v>
      </c>
      <c r="D6" s="1737">
        <f>'Revenues 9-14'!D170</f>
        <v>76658</v>
      </c>
      <c r="E6" s="1737">
        <f>'Revenues 9-14'!E170</f>
        <v>0</v>
      </c>
      <c r="F6" s="1737">
        <f>'Revenues 9-14'!F170</f>
        <v>458660</v>
      </c>
      <c r="G6" s="1737">
        <f>'Revenues 9-14'!G170</f>
        <v>9051</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1476832</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13120163</v>
      </c>
      <c r="D8" s="1682">
        <f t="shared" ref="D8:K8" si="0">SUM(D4:D7)</f>
        <v>1168017</v>
      </c>
      <c r="E8" s="1682">
        <f t="shared" si="0"/>
        <v>1511669</v>
      </c>
      <c r="F8" s="1682">
        <f t="shared" si="0"/>
        <v>767479</v>
      </c>
      <c r="G8" s="1682">
        <f t="shared" si="0"/>
        <v>512770</v>
      </c>
      <c r="H8" s="1682">
        <f t="shared" si="0"/>
        <v>10709</v>
      </c>
      <c r="I8" s="1682">
        <f t="shared" si="0"/>
        <v>68348</v>
      </c>
      <c r="J8" s="1682">
        <f t="shared" si="0"/>
        <v>925849</v>
      </c>
      <c r="K8" s="1682">
        <f t="shared" si="0"/>
        <v>62893</v>
      </c>
      <c r="L8" s="347"/>
    </row>
    <row r="9" spans="1:13" ht="15.75" thickTop="1" x14ac:dyDescent="0.2">
      <c r="A9" s="514" t="s">
        <v>1653</v>
      </c>
      <c r="B9" s="515">
        <v>3998</v>
      </c>
      <c r="C9" s="568">
        <v>5409493</v>
      </c>
      <c r="D9" s="516"/>
      <c r="E9" s="481"/>
      <c r="F9" s="481"/>
      <c r="G9" s="517"/>
      <c r="H9" s="481"/>
      <c r="I9" s="509" t="s">
        <v>1169</v>
      </c>
      <c r="J9" s="478"/>
      <c r="K9" s="481"/>
      <c r="L9" s="347"/>
    </row>
    <row r="10" spans="1:13" s="519" customFormat="1" ht="13.5" thickBot="1" x14ac:dyDescent="0.25">
      <c r="A10" s="1730" t="s">
        <v>1173</v>
      </c>
      <c r="B10" s="1703"/>
      <c r="C10" s="1682">
        <f>SUM(C8:C9)</f>
        <v>18529656</v>
      </c>
      <c r="D10" s="1682">
        <f t="shared" ref="D10:K10" si="1">SUM(D8:D9)</f>
        <v>1168017</v>
      </c>
      <c r="E10" s="1682">
        <f t="shared" si="1"/>
        <v>1511669</v>
      </c>
      <c r="F10" s="1682">
        <f t="shared" si="1"/>
        <v>767479</v>
      </c>
      <c r="G10" s="1682">
        <f t="shared" si="1"/>
        <v>512770</v>
      </c>
      <c r="H10" s="1682">
        <f t="shared" si="1"/>
        <v>10709</v>
      </c>
      <c r="I10" s="1682">
        <f t="shared" si="1"/>
        <v>68348</v>
      </c>
      <c r="J10" s="1682">
        <f t="shared" si="1"/>
        <v>925849</v>
      </c>
      <c r="K10" s="1682">
        <f t="shared" si="1"/>
        <v>62893</v>
      </c>
      <c r="L10" s="518"/>
    </row>
    <row r="11" spans="1:13" s="519" customFormat="1" ht="16.7" customHeight="1" thickTop="1" x14ac:dyDescent="0.2">
      <c r="A11" s="2125" t="s">
        <v>1176</v>
      </c>
      <c r="B11" s="2126"/>
      <c r="C11" s="1568"/>
      <c r="D11" s="1569"/>
      <c r="E11" s="1569"/>
      <c r="F11" s="1569"/>
      <c r="G11" s="1569"/>
      <c r="H11" s="1569"/>
      <c r="I11" s="1569"/>
      <c r="J11" s="1569"/>
      <c r="K11" s="1570"/>
      <c r="L11" s="518"/>
    </row>
    <row r="12" spans="1:13" ht="15.75" customHeight="1" x14ac:dyDescent="0.2">
      <c r="A12" s="1574" t="s">
        <v>456</v>
      </c>
      <c r="B12" s="1576">
        <v>1000</v>
      </c>
      <c r="C12" s="1736">
        <f>'Expenditures 15-22'!K33</f>
        <v>8755623</v>
      </c>
      <c r="D12" s="520" t="s">
        <v>1169</v>
      </c>
      <c r="E12" s="468" t="s">
        <v>1169</v>
      </c>
      <c r="F12" s="468" t="s">
        <v>1169</v>
      </c>
      <c r="G12" s="1736">
        <f>'Expenditures 15-22'!K229</f>
        <v>165811</v>
      </c>
      <c r="H12" s="521"/>
      <c r="I12" s="468" t="s">
        <v>1169</v>
      </c>
      <c r="J12" s="468" t="s">
        <v>1169</v>
      </c>
      <c r="K12" s="521" t="s">
        <v>1169</v>
      </c>
      <c r="L12" s="347"/>
    </row>
    <row r="13" spans="1:13" ht="15.75" customHeight="1" x14ac:dyDescent="0.2">
      <c r="A13" s="1574" t="s">
        <v>457</v>
      </c>
      <c r="B13" s="1576">
        <v>2000</v>
      </c>
      <c r="C13" s="1737">
        <f>'Expenditures 15-22'!K74</f>
        <v>3456555</v>
      </c>
      <c r="D13" s="1737">
        <f>'Expenditures 15-22'!K129</f>
        <v>1270718</v>
      </c>
      <c r="E13" s="469" t="s">
        <v>1169</v>
      </c>
      <c r="F13" s="1737">
        <f>'Expenditures 15-22'!K184</f>
        <v>720112</v>
      </c>
      <c r="G13" s="1737">
        <f>'Expenditures 15-22'!K279</f>
        <v>376089</v>
      </c>
      <c r="H13" s="1737">
        <f>'Expenditures 15-22'!K303</f>
        <v>0</v>
      </c>
      <c r="I13" s="468" t="s">
        <v>1169</v>
      </c>
      <c r="J13" s="1737">
        <f>'Expenditures 15-22'!K330</f>
        <v>1007335</v>
      </c>
      <c r="K13" s="1741">
        <f>'Expenditures 15-22'!K352</f>
        <v>28411</v>
      </c>
      <c r="L13" s="347"/>
    </row>
    <row r="14" spans="1:13" ht="15.75" customHeight="1" x14ac:dyDescent="0.2">
      <c r="A14" s="1574" t="s">
        <v>449</v>
      </c>
      <c r="B14" s="1576">
        <v>3000</v>
      </c>
      <c r="C14" s="1737">
        <f>'Expenditures 15-22'!K75</f>
        <v>25786</v>
      </c>
      <c r="D14" s="1737">
        <f>'Expenditures 15-22'!K130</f>
        <v>0</v>
      </c>
      <c r="E14" s="520" t="s">
        <v>1169</v>
      </c>
      <c r="F14" s="1737">
        <f>'Expenditures 15-22'!K185</f>
        <v>0</v>
      </c>
      <c r="G14" s="1737">
        <f>'Expenditures 15-22'!K280</f>
        <v>252</v>
      </c>
      <c r="H14" s="512"/>
      <c r="I14" s="468" t="s">
        <v>1169</v>
      </c>
      <c r="J14" s="468" t="s">
        <v>1169</v>
      </c>
      <c r="K14" s="512" t="s">
        <v>1169</v>
      </c>
      <c r="L14" s="347"/>
    </row>
    <row r="15" spans="1:13" ht="15.75" customHeight="1" x14ac:dyDescent="0.2">
      <c r="A15" s="1574" t="s">
        <v>107</v>
      </c>
      <c r="B15" s="1576">
        <v>4000</v>
      </c>
      <c r="C15" s="1737">
        <f>'Expenditures 15-22'!K102</f>
        <v>409831</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1510437</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12647795</v>
      </c>
      <c r="D17" s="1682">
        <f t="shared" si="2"/>
        <v>1270718</v>
      </c>
      <c r="E17" s="1682">
        <f t="shared" si="2"/>
        <v>1510437</v>
      </c>
      <c r="F17" s="1682">
        <f t="shared" si="2"/>
        <v>720112</v>
      </c>
      <c r="G17" s="1682">
        <f t="shared" si="2"/>
        <v>542152</v>
      </c>
      <c r="H17" s="1682">
        <f t="shared" si="2"/>
        <v>0</v>
      </c>
      <c r="I17" s="468"/>
      <c r="J17" s="1682">
        <f>SUM(J12:J16)</f>
        <v>1007335</v>
      </c>
      <c r="K17" s="1682">
        <f>SUM(K12:K16)</f>
        <v>28411</v>
      </c>
      <c r="L17" s="347"/>
    </row>
    <row r="18" spans="1:12" ht="15" customHeight="1" thickTop="1" x14ac:dyDescent="0.2">
      <c r="A18" s="1738" t="s">
        <v>1654</v>
      </c>
      <c r="B18" s="1739">
        <v>4180</v>
      </c>
      <c r="C18" s="1736">
        <f t="shared" ref="C18:H18" si="3">C9</f>
        <v>5409493</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18057288</v>
      </c>
      <c r="D19" s="1682">
        <f t="shared" si="4"/>
        <v>1270718</v>
      </c>
      <c r="E19" s="1682">
        <f t="shared" si="4"/>
        <v>1510437</v>
      </c>
      <c r="F19" s="1682">
        <f t="shared" si="4"/>
        <v>720112</v>
      </c>
      <c r="G19" s="1682">
        <f t="shared" si="4"/>
        <v>542152</v>
      </c>
      <c r="H19" s="1682">
        <f t="shared" si="4"/>
        <v>0</v>
      </c>
      <c r="I19" s="468"/>
      <c r="J19" s="1682">
        <f>SUM(J17:J18)</f>
        <v>1007335</v>
      </c>
      <c r="K19" s="1682">
        <f>SUM(K17:K18)</f>
        <v>28411</v>
      </c>
      <c r="L19" s="347"/>
    </row>
    <row r="20" spans="1:12" ht="16.5" thickTop="1" thickBot="1" x14ac:dyDescent="0.25">
      <c r="A20" s="2141" t="s">
        <v>1655</v>
      </c>
      <c r="B20" s="2142"/>
      <c r="C20" s="1740">
        <f>C8-C17</f>
        <v>472368</v>
      </c>
      <c r="D20" s="1740">
        <f t="shared" ref="D20:K20" si="5">D8-D17</f>
        <v>-102701</v>
      </c>
      <c r="E20" s="1740">
        <f t="shared" si="5"/>
        <v>1232</v>
      </c>
      <c r="F20" s="1740">
        <f t="shared" si="5"/>
        <v>47367</v>
      </c>
      <c r="G20" s="1740">
        <f t="shared" si="5"/>
        <v>-29382</v>
      </c>
      <c r="H20" s="1740">
        <f t="shared" si="5"/>
        <v>10709</v>
      </c>
      <c r="I20" s="1740">
        <f t="shared" si="5"/>
        <v>68348</v>
      </c>
      <c r="J20" s="1740">
        <f t="shared" si="5"/>
        <v>-81486</v>
      </c>
      <c r="K20" s="1740">
        <f t="shared" si="5"/>
        <v>34482</v>
      </c>
      <c r="L20" s="347"/>
    </row>
    <row r="21" spans="1:12" ht="16.7" customHeight="1" thickTop="1" x14ac:dyDescent="0.2">
      <c r="A21" s="2153" t="s">
        <v>595</v>
      </c>
      <c r="B21" s="2154"/>
      <c r="C21" s="1568"/>
      <c r="D21" s="1569"/>
      <c r="E21" s="1569"/>
      <c r="F21" s="1569"/>
      <c r="G21" s="1569"/>
      <c r="H21" s="1569"/>
      <c r="I21" s="1569"/>
      <c r="J21" s="1569"/>
      <c r="K21" s="1570"/>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1790</v>
      </c>
      <c r="B30" s="527">
        <v>7160</v>
      </c>
      <c r="C30" s="477"/>
      <c r="D30" s="467">
        <v>0</v>
      </c>
      <c r="E30" s="477"/>
      <c r="F30" s="477"/>
      <c r="G30" s="477"/>
      <c r="H30" s="477"/>
      <c r="I30" s="477"/>
      <c r="J30" s="477"/>
      <c r="K30" s="477"/>
      <c r="L30" s="524"/>
    </row>
    <row r="31" spans="1:12" s="485" customFormat="1" ht="26.25" x14ac:dyDescent="0.2">
      <c r="A31" s="1487" t="s">
        <v>1794</v>
      </c>
      <c r="B31" s="527">
        <v>7170</v>
      </c>
      <c r="C31" s="477"/>
      <c r="D31" s="477"/>
      <c r="E31" s="474">
        <v>0</v>
      </c>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5" t="s">
        <v>374</v>
      </c>
      <c r="B44" s="2156"/>
      <c r="C44" s="1697">
        <f>SUM(C24:C43)</f>
        <v>0</v>
      </c>
      <c r="D44" s="1697">
        <f t="shared" ref="D44:K44" si="6">SUM(D24:D43)</f>
        <v>0</v>
      </c>
      <c r="E44" s="1697">
        <f t="shared" si="6"/>
        <v>0</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1793</v>
      </c>
      <c r="B52" s="483">
        <v>8160</v>
      </c>
      <c r="C52" s="477"/>
      <c r="D52" s="477"/>
      <c r="E52" s="477"/>
      <c r="F52" s="477"/>
      <c r="G52" s="477"/>
      <c r="H52" s="477"/>
      <c r="I52" s="477"/>
      <c r="J52" s="477"/>
      <c r="K52" s="1737">
        <f>D30</f>
        <v>0</v>
      </c>
      <c r="L52" s="524"/>
    </row>
    <row r="53" spans="1:12" s="485" customFormat="1" ht="26.25" x14ac:dyDescent="0.2">
      <c r="A53" s="1488" t="s">
        <v>1792</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1" t="s">
        <v>440</v>
      </c>
      <c r="B76" s="2132"/>
      <c r="C76" s="1697">
        <f t="shared" ref="C76:K76" si="7">SUM(C47:C75)</f>
        <v>0</v>
      </c>
      <c r="D76" s="1697">
        <f t="shared" si="7"/>
        <v>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33" t="s">
        <v>1177</v>
      </c>
      <c r="B77" s="2134"/>
      <c r="C77" s="1697">
        <f t="shared" ref="C77:K77" si="8">C44-C76</f>
        <v>0</v>
      </c>
      <c r="D77" s="1697">
        <f t="shared" si="8"/>
        <v>0</v>
      </c>
      <c r="E77" s="1697">
        <f t="shared" si="8"/>
        <v>0</v>
      </c>
      <c r="F77" s="1697">
        <f t="shared" si="8"/>
        <v>0</v>
      </c>
      <c r="G77" s="1697">
        <f t="shared" si="8"/>
        <v>0</v>
      </c>
      <c r="H77" s="1697">
        <f t="shared" si="8"/>
        <v>0</v>
      </c>
      <c r="I77" s="1697">
        <f t="shared" si="8"/>
        <v>0</v>
      </c>
      <c r="J77" s="1697">
        <f t="shared" si="8"/>
        <v>0</v>
      </c>
      <c r="K77" s="1697">
        <f t="shared" si="8"/>
        <v>0</v>
      </c>
      <c r="L77" s="347"/>
    </row>
    <row r="78" spans="1:12" ht="21.75" customHeight="1" thickTop="1" thickBot="1" x14ac:dyDescent="0.25">
      <c r="A78" s="2137" t="s">
        <v>597</v>
      </c>
      <c r="B78" s="2138"/>
      <c r="C78" s="1696">
        <f t="shared" ref="C78:K78" si="9">C20+C77</f>
        <v>472368</v>
      </c>
      <c r="D78" s="1696">
        <f t="shared" si="9"/>
        <v>-102701</v>
      </c>
      <c r="E78" s="1696">
        <f t="shared" si="9"/>
        <v>1232</v>
      </c>
      <c r="F78" s="1696">
        <f t="shared" si="9"/>
        <v>47367</v>
      </c>
      <c r="G78" s="1696">
        <f t="shared" si="9"/>
        <v>-29382</v>
      </c>
      <c r="H78" s="1696">
        <f t="shared" si="9"/>
        <v>10709</v>
      </c>
      <c r="I78" s="1696">
        <f t="shared" si="9"/>
        <v>68348</v>
      </c>
      <c r="J78" s="1696">
        <f t="shared" si="9"/>
        <v>-81486</v>
      </c>
      <c r="K78" s="1696">
        <f t="shared" si="9"/>
        <v>34482</v>
      </c>
      <c r="L78" s="533"/>
    </row>
    <row r="79" spans="1:12" ht="13.5" thickTop="1" x14ac:dyDescent="0.2">
      <c r="A79" s="1492" t="s">
        <v>1943</v>
      </c>
      <c r="B79" s="534"/>
      <c r="C79" s="639">
        <v>5054618</v>
      </c>
      <c r="D79" s="535">
        <v>1305420</v>
      </c>
      <c r="E79" s="535">
        <v>48970</v>
      </c>
      <c r="F79" s="535">
        <v>647944</v>
      </c>
      <c r="G79" s="535">
        <v>123677</v>
      </c>
      <c r="H79" s="535">
        <v>6180</v>
      </c>
      <c r="I79" s="535">
        <v>409467</v>
      </c>
      <c r="J79" s="535">
        <v>360033</v>
      </c>
      <c r="K79" s="535">
        <v>181810</v>
      </c>
      <c r="L79" s="347"/>
    </row>
    <row r="80" spans="1:12" x14ac:dyDescent="0.2">
      <c r="A80" s="2143" t="s">
        <v>1791</v>
      </c>
      <c r="B80" s="2144"/>
      <c r="C80" s="467"/>
      <c r="D80" s="467"/>
      <c r="E80" s="467"/>
      <c r="F80" s="467"/>
      <c r="G80" s="467"/>
      <c r="H80" s="467"/>
      <c r="I80" s="467"/>
      <c r="J80" s="467"/>
      <c r="K80" s="467"/>
      <c r="L80" s="347"/>
    </row>
    <row r="81" spans="1:12" ht="13.5" thickBot="1" x14ac:dyDescent="0.25">
      <c r="A81" s="2135" t="s">
        <v>1944</v>
      </c>
      <c r="B81" s="2136"/>
      <c r="C81" s="1682">
        <f>(SUM(C78:C80))</f>
        <v>5526986</v>
      </c>
      <c r="D81" s="1682">
        <f>SUM(D78:D80)</f>
        <v>1202719</v>
      </c>
      <c r="E81" s="1682">
        <f t="shared" ref="E81:K81" si="10">SUM(E78:E80)</f>
        <v>50202</v>
      </c>
      <c r="F81" s="1682">
        <f t="shared" si="10"/>
        <v>695311</v>
      </c>
      <c r="G81" s="1682">
        <f t="shared" si="10"/>
        <v>94295</v>
      </c>
      <c r="H81" s="1682">
        <f t="shared" si="10"/>
        <v>16889</v>
      </c>
      <c r="I81" s="1682">
        <f t="shared" si="10"/>
        <v>477815</v>
      </c>
      <c r="J81" s="1682">
        <f t="shared" si="10"/>
        <v>278547</v>
      </c>
      <c r="K81" s="1682">
        <f t="shared" si="10"/>
        <v>216292</v>
      </c>
      <c r="L81" s="347"/>
    </row>
    <row r="82" spans="1:12" ht="0.75" customHeight="1" thickTop="1" thickBot="1" x14ac:dyDescent="0.25">
      <c r="A82" s="536" t="s">
        <v>343</v>
      </c>
      <c r="B82" s="537"/>
      <c r="C82" s="538">
        <f>(C81-C79)</f>
        <v>472368</v>
      </c>
      <c r="D82" s="538">
        <f t="shared" ref="D82:K82" si="11">(D81-D79)</f>
        <v>-102701</v>
      </c>
      <c r="E82" s="538">
        <f t="shared" si="11"/>
        <v>1232</v>
      </c>
      <c r="F82" s="538">
        <f t="shared" si="11"/>
        <v>47367</v>
      </c>
      <c r="G82" s="538">
        <f t="shared" si="11"/>
        <v>-29382</v>
      </c>
      <c r="H82" s="538">
        <f t="shared" si="11"/>
        <v>10709</v>
      </c>
      <c r="I82" s="538">
        <f t="shared" si="11"/>
        <v>68348</v>
      </c>
      <c r="J82" s="538">
        <f t="shared" si="11"/>
        <v>-81486</v>
      </c>
      <c r="K82" s="538">
        <f t="shared" si="11"/>
        <v>34482</v>
      </c>
    </row>
    <row r="83" spans="1:12" ht="14.25" hidden="1" thickTop="1" thickBot="1" x14ac:dyDescent="0.25">
      <c r="A83" s="539" t="s">
        <v>344</v>
      </c>
      <c r="B83" s="464"/>
      <c r="C83" s="540">
        <f>C82/C81</f>
        <v>8.5465749325219928E-2</v>
      </c>
      <c r="D83" s="540">
        <f t="shared" ref="D83:K83" si="12">D82/D81</f>
        <v>-8.539068560486697E-2</v>
      </c>
      <c r="E83" s="540">
        <f t="shared" si="12"/>
        <v>2.4540854946018088E-2</v>
      </c>
      <c r="F83" s="540">
        <f t="shared" si="12"/>
        <v>6.8123472805694141E-2</v>
      </c>
      <c r="G83" s="540">
        <f t="shared" si="12"/>
        <v>-0.31159658518479239</v>
      </c>
      <c r="H83" s="540">
        <f t="shared" si="12"/>
        <v>0.63408135472792937</v>
      </c>
      <c r="I83" s="540">
        <f t="shared" si="12"/>
        <v>0.14304280945554243</v>
      </c>
      <c r="J83" s="540">
        <f t="shared" si="12"/>
        <v>-0.29253949961765879</v>
      </c>
      <c r="K83" s="540">
        <f t="shared" si="12"/>
        <v>0.15942337210807611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17" activePane="bottomLeft" state="frozen"/>
      <selection pane="bottomLeft" activeCell="C148" sqref="C148"/>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1798</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2161125</v>
      </c>
      <c r="D5" s="568">
        <v>587398</v>
      </c>
      <c r="E5" s="466">
        <v>1505278</v>
      </c>
      <c r="F5" s="548">
        <v>234906</v>
      </c>
      <c r="G5" s="466">
        <v>219987</v>
      </c>
      <c r="H5" s="466">
        <v>0</v>
      </c>
      <c r="I5" s="466">
        <v>58729</v>
      </c>
      <c r="J5" s="467">
        <v>895852</v>
      </c>
      <c r="K5" s="466">
        <v>58729</v>
      </c>
    </row>
    <row r="6" spans="1:12" ht="15" x14ac:dyDescent="0.2">
      <c r="A6" s="463" t="s">
        <v>1662</v>
      </c>
      <c r="B6" s="470">
        <v>1130</v>
      </c>
      <c r="C6" s="466">
        <v>0</v>
      </c>
      <c r="D6" s="466">
        <v>58590</v>
      </c>
      <c r="E6" s="475"/>
      <c r="F6" s="475"/>
      <c r="G6" s="468"/>
      <c r="H6" s="468"/>
      <c r="I6" s="468"/>
      <c r="J6" s="468"/>
      <c r="K6" s="468"/>
    </row>
    <row r="7" spans="1:12" x14ac:dyDescent="0.2">
      <c r="A7" s="463" t="s">
        <v>110</v>
      </c>
      <c r="B7" s="549">
        <v>1140</v>
      </c>
      <c r="C7" s="466">
        <v>46984</v>
      </c>
      <c r="D7" s="466">
        <v>0</v>
      </c>
      <c r="E7" s="468"/>
      <c r="F7" s="467">
        <v>0</v>
      </c>
      <c r="G7" s="467">
        <v>0</v>
      </c>
      <c r="H7" s="467">
        <v>0</v>
      </c>
      <c r="I7" s="468"/>
      <c r="J7" s="468"/>
      <c r="K7" s="468"/>
    </row>
    <row r="8" spans="1:12" x14ac:dyDescent="0.2">
      <c r="A8" s="463" t="s">
        <v>413</v>
      </c>
      <c r="B8" s="470">
        <v>1150</v>
      </c>
      <c r="C8" s="475"/>
      <c r="D8" s="475"/>
      <c r="E8" s="477"/>
      <c r="F8" s="477"/>
      <c r="G8" s="568">
        <v>219987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2208109</v>
      </c>
      <c r="D12" s="1701">
        <f t="shared" si="0"/>
        <v>645988</v>
      </c>
      <c r="E12" s="1701">
        <f t="shared" si="0"/>
        <v>1505278</v>
      </c>
      <c r="F12" s="1701">
        <f t="shared" si="0"/>
        <v>234906</v>
      </c>
      <c r="G12" s="1701">
        <f t="shared" si="0"/>
        <v>439974</v>
      </c>
      <c r="H12" s="1701">
        <f t="shared" si="0"/>
        <v>0</v>
      </c>
      <c r="I12" s="1701">
        <f t="shared" si="0"/>
        <v>58729</v>
      </c>
      <c r="J12" s="1701">
        <f t="shared" si="0"/>
        <v>895852</v>
      </c>
      <c r="K12" s="1682">
        <f t="shared" si="0"/>
        <v>58729</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4249</v>
      </c>
      <c r="D14" s="466">
        <v>1243</v>
      </c>
      <c r="E14" s="466">
        <v>3337</v>
      </c>
      <c r="F14" s="466">
        <v>452</v>
      </c>
      <c r="G14" s="466">
        <v>1059</v>
      </c>
      <c r="H14" s="466">
        <v>0</v>
      </c>
      <c r="I14" s="466">
        <v>113</v>
      </c>
      <c r="J14" s="467">
        <v>1346</v>
      </c>
      <c r="K14" s="466">
        <v>113</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216092</v>
      </c>
      <c r="D16" s="466">
        <v>0</v>
      </c>
      <c r="E16" s="466">
        <v>0</v>
      </c>
      <c r="F16" s="466">
        <v>18225</v>
      </c>
      <c r="G16" s="466">
        <v>26035</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220341</v>
      </c>
      <c r="D18" s="1704">
        <f t="shared" ref="D18:K18" si="1">SUM(D14:D17)</f>
        <v>1243</v>
      </c>
      <c r="E18" s="1704">
        <f t="shared" si="1"/>
        <v>3337</v>
      </c>
      <c r="F18" s="1704">
        <f t="shared" si="1"/>
        <v>18677</v>
      </c>
      <c r="G18" s="1704">
        <f t="shared" si="1"/>
        <v>27094</v>
      </c>
      <c r="H18" s="1704">
        <f t="shared" si="1"/>
        <v>0</v>
      </c>
      <c r="I18" s="1704">
        <f t="shared" si="1"/>
        <v>113</v>
      </c>
      <c r="J18" s="1704">
        <f t="shared" si="1"/>
        <v>1346</v>
      </c>
      <c r="K18" s="1705">
        <f t="shared" si="1"/>
        <v>113</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67670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67670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6628</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17573</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13389</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37590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66866</v>
      </c>
      <c r="D65" s="466">
        <v>23146</v>
      </c>
      <c r="E65" s="466">
        <v>3054</v>
      </c>
      <c r="F65" s="467">
        <v>10989</v>
      </c>
      <c r="G65" s="466">
        <v>3524</v>
      </c>
      <c r="H65" s="466">
        <v>152</v>
      </c>
      <c r="I65" s="466">
        <v>9506</v>
      </c>
      <c r="J65" s="467">
        <v>7892</v>
      </c>
      <c r="K65" s="466">
        <v>4051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66866</v>
      </c>
      <c r="D67" s="1682">
        <f t="shared" ref="D67:K67" si="2">SUM(D65:D66)</f>
        <v>23146</v>
      </c>
      <c r="E67" s="1682">
        <f t="shared" si="2"/>
        <v>3054</v>
      </c>
      <c r="F67" s="1682">
        <f t="shared" si="2"/>
        <v>10989</v>
      </c>
      <c r="G67" s="1682">
        <f t="shared" si="2"/>
        <v>3524</v>
      </c>
      <c r="H67" s="1682">
        <f t="shared" si="2"/>
        <v>152</v>
      </c>
      <c r="I67" s="1682">
        <f t="shared" si="2"/>
        <v>9506</v>
      </c>
      <c r="J67" s="1682">
        <f t="shared" si="2"/>
        <v>7892</v>
      </c>
      <c r="K67" s="1682">
        <f t="shared" si="2"/>
        <v>4051</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204184</v>
      </c>
      <c r="D69" s="468"/>
      <c r="E69" s="468"/>
      <c r="F69" s="468"/>
      <c r="G69" s="468"/>
      <c r="H69" s="468"/>
      <c r="I69" s="468"/>
      <c r="J69" s="468"/>
      <c r="K69" s="468"/>
    </row>
    <row r="70" spans="1:11" ht="12.75" customHeight="1" x14ac:dyDescent="0.2">
      <c r="A70" s="463" t="s">
        <v>997</v>
      </c>
      <c r="B70" s="470">
        <v>1612</v>
      </c>
      <c r="C70" s="551">
        <v>21927</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3000</v>
      </c>
      <c r="D72" s="468"/>
      <c r="E72" s="468"/>
      <c r="F72" s="468"/>
      <c r="G72" s="468"/>
      <c r="H72" s="468"/>
      <c r="I72" s="468"/>
      <c r="J72" s="468"/>
      <c r="K72" s="468"/>
    </row>
    <row r="73" spans="1:11" ht="12.75" customHeight="1" x14ac:dyDescent="0.2">
      <c r="A73" s="463" t="s">
        <v>998</v>
      </c>
      <c r="B73" s="470">
        <v>1620</v>
      </c>
      <c r="C73" s="551">
        <v>11004</v>
      </c>
      <c r="D73" s="468"/>
      <c r="E73" s="468"/>
      <c r="F73" s="468"/>
      <c r="G73" s="468"/>
      <c r="H73" s="468"/>
      <c r="I73" s="468"/>
      <c r="J73" s="468"/>
      <c r="K73" s="468"/>
    </row>
    <row r="74" spans="1:11" ht="12.75" customHeight="1" x14ac:dyDescent="0.2">
      <c r="A74" s="463" t="s">
        <v>25</v>
      </c>
      <c r="B74" s="470">
        <v>1690</v>
      </c>
      <c r="C74" s="551">
        <v>24357</v>
      </c>
      <c r="D74" s="468"/>
      <c r="E74" s="468"/>
      <c r="F74" s="468"/>
      <c r="G74" s="468"/>
      <c r="H74" s="468"/>
      <c r="I74" s="468"/>
      <c r="J74" s="468"/>
      <c r="K74" s="468"/>
    </row>
    <row r="75" spans="1:11" ht="12.75" customHeight="1" thickBot="1" x14ac:dyDescent="0.25">
      <c r="A75" s="1702" t="s">
        <v>548</v>
      </c>
      <c r="B75" s="1703"/>
      <c r="C75" s="1682">
        <f>SUM(C69:C74)</f>
        <v>264472</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109270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95101</v>
      </c>
      <c r="D79" s="466">
        <v>0</v>
      </c>
      <c r="E79" s="468"/>
      <c r="F79" s="468"/>
      <c r="G79" s="468"/>
      <c r="H79" s="468"/>
      <c r="I79" s="468"/>
      <c r="J79" s="468"/>
      <c r="K79" s="468"/>
    </row>
    <row r="80" spans="1:11" ht="12.75" customHeight="1" x14ac:dyDescent="0.2">
      <c r="A80" s="463" t="s">
        <v>551</v>
      </c>
      <c r="B80" s="470">
        <v>1730</v>
      </c>
      <c r="C80" s="551">
        <v>30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204401</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33303</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33303</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201525</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703743</v>
      </c>
      <c r="D98" s="466">
        <v>0</v>
      </c>
      <c r="E98" s="512"/>
      <c r="F98" s="466">
        <v>0</v>
      </c>
      <c r="G98" s="512"/>
      <c r="H98" s="512"/>
      <c r="I98" s="510"/>
      <c r="J98" s="512"/>
      <c r="K98" s="512"/>
    </row>
    <row r="99" spans="1:12" ht="12.75" customHeight="1" x14ac:dyDescent="0.2">
      <c r="A99" s="463" t="s">
        <v>821</v>
      </c>
      <c r="B99" s="470">
        <v>1950</v>
      </c>
      <c r="C99" s="489">
        <v>51</v>
      </c>
      <c r="D99" s="466">
        <v>131505</v>
      </c>
      <c r="E99" s="466">
        <v>0</v>
      </c>
      <c r="F99" s="466">
        <v>4321</v>
      </c>
      <c r="G99" s="466">
        <v>0</v>
      </c>
      <c r="H99" s="466">
        <v>0</v>
      </c>
      <c r="I99" s="468"/>
      <c r="J99" s="467">
        <v>2202</v>
      </c>
      <c r="K99" s="466">
        <v>0</v>
      </c>
    </row>
    <row r="100" spans="1:12" ht="12.75" customHeight="1" x14ac:dyDescent="0.2">
      <c r="A100" s="463" t="s">
        <v>245</v>
      </c>
      <c r="B100" s="470">
        <v>1960</v>
      </c>
      <c r="C100" s="489">
        <v>0</v>
      </c>
      <c r="D100" s="489">
        <v>80000</v>
      </c>
      <c r="E100" s="489">
        <v>0</v>
      </c>
      <c r="F100" s="489">
        <v>0</v>
      </c>
      <c r="G100" s="489">
        <v>0</v>
      </c>
      <c r="H100" s="489">
        <v>0</v>
      </c>
      <c r="I100" s="467">
        <v>0</v>
      </c>
      <c r="J100" s="489">
        <v>0</v>
      </c>
      <c r="K100" s="467">
        <v>0</v>
      </c>
    </row>
    <row r="101" spans="1:12" ht="12.75" customHeight="1" x14ac:dyDescent="0.2">
      <c r="A101" s="463" t="s">
        <v>246</v>
      </c>
      <c r="B101" s="470">
        <v>1970</v>
      </c>
      <c r="C101" s="489">
        <v>1387</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10557</v>
      </c>
      <c r="I103" s="468"/>
      <c r="J103" s="510"/>
      <c r="K103" s="510"/>
    </row>
    <row r="104" spans="1:12" ht="12.75" customHeight="1" x14ac:dyDescent="0.2">
      <c r="A104" s="463" t="s">
        <v>830</v>
      </c>
      <c r="B104" s="470">
        <v>1991</v>
      </c>
      <c r="C104" s="489">
        <v>0</v>
      </c>
      <c r="D104" s="466">
        <v>0</v>
      </c>
      <c r="E104" s="568">
        <v>0</v>
      </c>
      <c r="F104" s="467">
        <v>0</v>
      </c>
      <c r="G104" s="467">
        <v>8638</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205640</v>
      </c>
      <c r="D107" s="466">
        <v>7952</v>
      </c>
      <c r="E107" s="466">
        <v>0</v>
      </c>
      <c r="F107" s="466">
        <v>2336</v>
      </c>
      <c r="G107" s="466">
        <v>24489</v>
      </c>
      <c r="H107" s="466">
        <v>0</v>
      </c>
      <c r="I107" s="466">
        <v>0</v>
      </c>
      <c r="J107" s="467">
        <v>18557</v>
      </c>
      <c r="K107" s="466">
        <v>0</v>
      </c>
    </row>
    <row r="108" spans="1:12" ht="12.75" customHeight="1" thickBot="1" x14ac:dyDescent="0.25">
      <c r="A108" s="1702" t="s">
        <v>487</v>
      </c>
      <c r="B108" s="1706"/>
      <c r="C108" s="1701">
        <f>SUM(C95:C107)</f>
        <v>910821</v>
      </c>
      <c r="D108" s="1701">
        <f t="shared" ref="D108:K108" si="3">SUM(D95:D107)</f>
        <v>420982</v>
      </c>
      <c r="E108" s="1701">
        <f t="shared" si="3"/>
        <v>0</v>
      </c>
      <c r="F108" s="1701">
        <f t="shared" si="3"/>
        <v>6657</v>
      </c>
      <c r="G108" s="1701">
        <f t="shared" si="3"/>
        <v>33127</v>
      </c>
      <c r="H108" s="1701">
        <f t="shared" si="3"/>
        <v>10557</v>
      </c>
      <c r="I108" s="1701">
        <f t="shared" si="3"/>
        <v>0</v>
      </c>
      <c r="J108" s="1701">
        <f t="shared" si="3"/>
        <v>20759</v>
      </c>
      <c r="K108" s="1682">
        <f t="shared" si="3"/>
        <v>0</v>
      </c>
    </row>
    <row r="109" spans="1:12" ht="14.25" thickTop="1" thickBot="1" x14ac:dyDescent="0.25">
      <c r="A109" s="1707" t="s">
        <v>248</v>
      </c>
      <c r="B109" s="1708" t="s">
        <v>570</v>
      </c>
      <c r="C109" s="1709">
        <f t="shared" ref="C109:K109" si="4">SUM(C12,C18,C40,C63,C67,C75,C82,C93,C108,)</f>
        <v>3975983</v>
      </c>
      <c r="D109" s="1709">
        <f t="shared" si="4"/>
        <v>1091359</v>
      </c>
      <c r="E109" s="1709">
        <f t="shared" si="4"/>
        <v>1511669</v>
      </c>
      <c r="F109" s="1709">
        <f t="shared" si="4"/>
        <v>308819</v>
      </c>
      <c r="G109" s="1709">
        <f t="shared" si="4"/>
        <v>503719</v>
      </c>
      <c r="H109" s="1709">
        <f t="shared" si="4"/>
        <v>10709</v>
      </c>
      <c r="I109" s="1709">
        <f t="shared" si="4"/>
        <v>68348</v>
      </c>
      <c r="J109" s="1709">
        <f t="shared" si="4"/>
        <v>925849</v>
      </c>
      <c r="K109" s="1696">
        <f t="shared" si="4"/>
        <v>62893</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7224984</v>
      </c>
      <c r="D117" s="568">
        <v>0</v>
      </c>
      <c r="E117" s="466">
        <v>0</v>
      </c>
      <c r="F117" s="568">
        <v>0</v>
      </c>
      <c r="G117" s="568">
        <v>0</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3" t="s">
        <v>1930</v>
      </c>
      <c r="B120" s="561">
        <v>3030</v>
      </c>
      <c r="C120" s="551">
        <v>0</v>
      </c>
      <c r="D120" s="466">
        <v>0</v>
      </c>
      <c r="E120" s="466">
        <v>0</v>
      </c>
      <c r="F120" s="466">
        <v>0</v>
      </c>
      <c r="G120" s="466">
        <v>0</v>
      </c>
      <c r="H120" s="466">
        <v>0</v>
      </c>
      <c r="I120" s="468"/>
      <c r="J120" s="467">
        <v>0</v>
      </c>
      <c r="K120" s="466">
        <v>0</v>
      </c>
    </row>
    <row r="121" spans="1:11" x14ac:dyDescent="0.2">
      <c r="A121" s="1494"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7224984</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219846</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21455</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241301</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16373</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16373</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8817</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19487</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377851</v>
      </c>
      <c r="G152" s="467">
        <v>0</v>
      </c>
      <c r="H152" s="468"/>
      <c r="I152" s="468"/>
      <c r="J152" s="468"/>
      <c r="K152" s="468"/>
    </row>
    <row r="153" spans="1:11" ht="12.75" customHeight="1" x14ac:dyDescent="0.2">
      <c r="A153" s="463" t="s">
        <v>1057</v>
      </c>
      <c r="B153" s="561">
        <v>3510</v>
      </c>
      <c r="C153" s="551">
        <v>0</v>
      </c>
      <c r="D153" s="466">
        <v>0</v>
      </c>
      <c r="E153" s="560"/>
      <c r="F153" s="466">
        <v>80809</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458660</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155636</v>
      </c>
      <c r="D159" s="577">
        <v>76658</v>
      </c>
      <c r="E159" s="560"/>
      <c r="F159" s="575">
        <v>0</v>
      </c>
      <c r="G159" s="575">
        <v>9051</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59" t="s">
        <v>398</v>
      </c>
      <c r="B169" s="2160"/>
      <c r="C169" s="1716">
        <f t="shared" ref="C169:K169" si="6">SUM(C132,C141,C145,C146:C150,C155,C156:C167,C168)</f>
        <v>442364</v>
      </c>
      <c r="D169" s="1716">
        <f t="shared" si="6"/>
        <v>76658</v>
      </c>
      <c r="E169" s="1716">
        <f t="shared" si="6"/>
        <v>0</v>
      </c>
      <c r="F169" s="1716">
        <f t="shared" si="6"/>
        <v>458660</v>
      </c>
      <c r="G169" s="1716">
        <f t="shared" si="6"/>
        <v>9051</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7667348</v>
      </c>
      <c r="D170" s="1709">
        <f t="shared" si="7"/>
        <v>76658</v>
      </c>
      <c r="E170" s="1709">
        <f t="shared" si="7"/>
        <v>0</v>
      </c>
      <c r="F170" s="1709">
        <f t="shared" si="7"/>
        <v>458660</v>
      </c>
      <c r="G170" s="1709">
        <f t="shared" si="7"/>
        <v>9051</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65" t="s">
        <v>1665</v>
      </c>
      <c r="B175" s="2166"/>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9" t="s">
        <v>1664</v>
      </c>
      <c r="B176" s="2170"/>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67" t="s">
        <v>785</v>
      </c>
      <c r="B181" s="2168"/>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63" t="s">
        <v>1799</v>
      </c>
      <c r="B182" s="2164"/>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27333</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27333</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382684</v>
      </c>
      <c r="D191" s="468"/>
      <c r="E191" s="560"/>
      <c r="F191" s="468"/>
      <c r="G191" s="584">
        <v>0</v>
      </c>
      <c r="H191" s="468"/>
      <c r="I191" s="468"/>
      <c r="J191" s="468"/>
      <c r="K191" s="468"/>
    </row>
    <row r="192" spans="1:11" ht="12.75" customHeight="1" x14ac:dyDescent="0.2">
      <c r="A192" s="463" t="s">
        <v>1047</v>
      </c>
      <c r="B192" s="470">
        <v>4215</v>
      </c>
      <c r="C192" s="551">
        <v>2891</v>
      </c>
      <c r="D192" s="468"/>
      <c r="E192" s="560"/>
      <c r="F192" s="468"/>
      <c r="G192" s="584">
        <v>0</v>
      </c>
      <c r="H192" s="468"/>
      <c r="I192" s="468"/>
      <c r="J192" s="468"/>
      <c r="K192" s="468"/>
    </row>
    <row r="193" spans="1:11" ht="12.75" customHeight="1" x14ac:dyDescent="0.2">
      <c r="A193" s="463" t="s">
        <v>1059</v>
      </c>
      <c r="B193" s="470">
        <v>4220</v>
      </c>
      <c r="C193" s="551">
        <v>116934</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502509</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497854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13057</v>
      </c>
      <c r="D203" s="466">
        <v>0</v>
      </c>
      <c r="E203" s="468"/>
      <c r="F203" s="466">
        <v>0</v>
      </c>
      <c r="G203" s="466">
        <v>0</v>
      </c>
      <c r="H203" s="468"/>
      <c r="I203" s="468"/>
      <c r="J203" s="468"/>
      <c r="K203" s="468"/>
    </row>
    <row r="204" spans="1:11" ht="12.75" customHeight="1" thickBot="1" x14ac:dyDescent="0.25">
      <c r="A204" s="1702" t="s">
        <v>400</v>
      </c>
      <c r="B204" s="1703"/>
      <c r="C204" s="1701">
        <f>SUM(C200:C203)</f>
        <v>510911</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14118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14118</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265066</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265066</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65544</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1931</v>
      </c>
      <c r="B261" s="470">
        <v>4981</v>
      </c>
      <c r="C261" s="574">
        <v>0</v>
      </c>
      <c r="D261" s="575">
        <v>0</v>
      </c>
      <c r="E261" s="468"/>
      <c r="F261" s="575">
        <v>0</v>
      </c>
      <c r="G261" s="575">
        <v>0</v>
      </c>
      <c r="H261" s="468"/>
      <c r="I261" s="468"/>
      <c r="J261" s="468"/>
      <c r="K261" s="468"/>
    </row>
    <row r="262" spans="1:11" ht="12.75" customHeight="1" thickTop="1" thickBot="1" x14ac:dyDescent="0.25">
      <c r="A262" s="1924" t="s">
        <v>1932</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24714</v>
      </c>
      <c r="D263" s="575">
        <v>0</v>
      </c>
      <c r="E263" s="468"/>
      <c r="F263" s="575">
        <v>0</v>
      </c>
      <c r="G263" s="575">
        <v>0</v>
      </c>
      <c r="H263" s="468"/>
      <c r="I263" s="468"/>
      <c r="J263" s="468"/>
      <c r="K263" s="468"/>
    </row>
    <row r="264" spans="1:11" ht="12.75" customHeight="1" thickTop="1" thickBot="1" x14ac:dyDescent="0.25">
      <c r="A264" s="463" t="s">
        <v>377</v>
      </c>
      <c r="B264" s="470">
        <v>4992</v>
      </c>
      <c r="C264" s="574">
        <v>58328</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8309</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1476832</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1476832</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13120163</v>
      </c>
      <c r="D268" s="1709">
        <f t="shared" si="12"/>
        <v>1168017</v>
      </c>
      <c r="E268" s="1709">
        <f t="shared" si="12"/>
        <v>1511669</v>
      </c>
      <c r="F268" s="1709">
        <f t="shared" si="12"/>
        <v>767479</v>
      </c>
      <c r="G268" s="1709">
        <f t="shared" si="12"/>
        <v>512770</v>
      </c>
      <c r="H268" s="1709">
        <f t="shared" si="12"/>
        <v>10709</v>
      </c>
      <c r="I268" s="1709">
        <f t="shared" si="12"/>
        <v>68348</v>
      </c>
      <c r="J268" s="1709">
        <f t="shared" si="12"/>
        <v>925849</v>
      </c>
      <c r="K268" s="1696">
        <f t="shared" si="12"/>
        <v>62893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50" activePane="bottomLeft" state="frozen"/>
      <selection pane="bottomLeft" activeCell="L237" sqref="L237"/>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9" t="s">
        <v>1798</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3"/>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9" t="s">
        <v>297</v>
      </c>
      <c r="B3" s="2180"/>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3888085</v>
      </c>
      <c r="D5" s="466">
        <v>756738</v>
      </c>
      <c r="E5" s="466">
        <v>12593</v>
      </c>
      <c r="F5" s="466">
        <v>104704</v>
      </c>
      <c r="G5" s="466">
        <v>35252</v>
      </c>
      <c r="H5" s="466">
        <v>0</v>
      </c>
      <c r="I5" s="466">
        <v>0</v>
      </c>
      <c r="J5" s="466">
        <v>0</v>
      </c>
      <c r="K5" s="1665">
        <f>SUM(C5:J5)</f>
        <v>4797372</v>
      </c>
      <c r="L5" s="466">
        <v>3505568</v>
      </c>
    </row>
    <row r="6" spans="1:14" x14ac:dyDescent="0.2">
      <c r="A6" s="1502" t="s">
        <v>1433</v>
      </c>
      <c r="B6" s="613" t="s">
        <v>1431</v>
      </c>
      <c r="C6" s="477"/>
      <c r="D6" s="477"/>
      <c r="E6" s="466" t="s">
        <v>1169</v>
      </c>
      <c r="F6" s="477"/>
      <c r="G6" s="477"/>
      <c r="H6" s="477"/>
      <c r="I6" s="477"/>
      <c r="J6" s="477"/>
      <c r="K6" s="1665">
        <f>SUM(C6,E6)</f>
        <v>0</v>
      </c>
      <c r="L6" s="466">
        <v>2071</v>
      </c>
    </row>
    <row r="7" spans="1:14" x14ac:dyDescent="0.2">
      <c r="A7" s="1502" t="s">
        <v>163</v>
      </c>
      <c r="B7" s="613" t="s">
        <v>967</v>
      </c>
      <c r="C7" s="466">
        <v>167642</v>
      </c>
      <c r="D7" s="466">
        <v>20616</v>
      </c>
      <c r="E7" s="466">
        <v>0</v>
      </c>
      <c r="F7" s="466">
        <v>25130</v>
      </c>
      <c r="G7" s="466">
        <v>54025</v>
      </c>
      <c r="H7" s="466">
        <v>0</v>
      </c>
      <c r="I7" s="466">
        <v>0</v>
      </c>
      <c r="J7" s="466">
        <v>0</v>
      </c>
      <c r="K7" s="1665">
        <f t="shared" ref="K7:K32" si="0">SUM(C7:J7)</f>
        <v>267413</v>
      </c>
      <c r="L7" s="466">
        <v>1386739</v>
      </c>
    </row>
    <row r="8" spans="1:14" x14ac:dyDescent="0.2">
      <c r="A8" s="1502" t="s">
        <v>164</v>
      </c>
      <c r="B8" s="613">
        <v>1200</v>
      </c>
      <c r="C8" s="466">
        <v>993388</v>
      </c>
      <c r="D8" s="466">
        <v>168292</v>
      </c>
      <c r="E8" s="466">
        <v>2834</v>
      </c>
      <c r="F8" s="466">
        <v>5273</v>
      </c>
      <c r="G8" s="466">
        <v>0</v>
      </c>
      <c r="H8" s="466">
        <v>0</v>
      </c>
      <c r="I8" s="466">
        <v>0</v>
      </c>
      <c r="J8" s="466">
        <v>0</v>
      </c>
      <c r="K8" s="1665">
        <f t="shared" si="0"/>
        <v>1169787</v>
      </c>
      <c r="L8" s="466">
        <v>1156213</v>
      </c>
    </row>
    <row r="9" spans="1:14" x14ac:dyDescent="0.2">
      <c r="A9" s="1502" t="s">
        <v>721</v>
      </c>
      <c r="B9" s="613" t="s">
        <v>968</v>
      </c>
      <c r="C9" s="466">
        <v>0</v>
      </c>
      <c r="D9" s="466">
        <v>0</v>
      </c>
      <c r="E9" s="466">
        <v>0</v>
      </c>
      <c r="F9" s="466">
        <v>0</v>
      </c>
      <c r="G9" s="466">
        <v>0</v>
      </c>
      <c r="H9" s="466">
        <v>0</v>
      </c>
      <c r="I9" s="466">
        <v>0</v>
      </c>
      <c r="J9" s="466">
        <v>0</v>
      </c>
      <c r="K9" s="1665">
        <f t="shared" si="0"/>
        <v>0</v>
      </c>
      <c r="L9" s="466">
        <v>0</v>
      </c>
    </row>
    <row r="10" spans="1:14" x14ac:dyDescent="0.2">
      <c r="A10" s="1502" t="s">
        <v>722</v>
      </c>
      <c r="B10" s="613">
        <v>1250</v>
      </c>
      <c r="C10" s="466">
        <v>330661</v>
      </c>
      <c r="D10" s="466">
        <v>82201</v>
      </c>
      <c r="E10" s="466">
        <v>30987</v>
      </c>
      <c r="F10" s="466">
        <v>156198</v>
      </c>
      <c r="G10" s="466">
        <v>11175</v>
      </c>
      <c r="H10" s="466">
        <v>0</v>
      </c>
      <c r="I10" s="466">
        <v>0</v>
      </c>
      <c r="J10" s="466">
        <v>0</v>
      </c>
      <c r="K10" s="1665">
        <f t="shared" si="0"/>
        <v>611222</v>
      </c>
      <c r="L10" s="466">
        <v>684807</v>
      </c>
    </row>
    <row r="11" spans="1:14" x14ac:dyDescent="0.2">
      <c r="A11" s="1502" t="s">
        <v>1130</v>
      </c>
      <c r="B11" s="613" t="s">
        <v>161</v>
      </c>
      <c r="C11" s="466">
        <v>0</v>
      </c>
      <c r="D11" s="466">
        <v>0</v>
      </c>
      <c r="E11" s="466">
        <v>0</v>
      </c>
      <c r="F11" s="466">
        <v>0</v>
      </c>
      <c r="G11" s="466">
        <v>0</v>
      </c>
      <c r="H11" s="466">
        <v>0</v>
      </c>
      <c r="I11" s="466">
        <v>0</v>
      </c>
      <c r="J11" s="466">
        <v>0</v>
      </c>
      <c r="K11" s="1665">
        <f t="shared" si="0"/>
        <v>0</v>
      </c>
      <c r="L11" s="466">
        <v>0</v>
      </c>
    </row>
    <row r="12" spans="1:14" x14ac:dyDescent="0.2">
      <c r="A12" s="1502" t="s">
        <v>962</v>
      </c>
      <c r="B12" s="613">
        <v>1300</v>
      </c>
      <c r="C12" s="466">
        <v>0</v>
      </c>
      <c r="D12" s="466">
        <v>0</v>
      </c>
      <c r="E12" s="466">
        <v>0</v>
      </c>
      <c r="F12" s="466">
        <v>0</v>
      </c>
      <c r="G12" s="466">
        <v>0</v>
      </c>
      <c r="H12" s="466">
        <v>0</v>
      </c>
      <c r="I12" s="466">
        <v>0</v>
      </c>
      <c r="J12" s="466">
        <v>0</v>
      </c>
      <c r="K12" s="1665">
        <f t="shared" si="0"/>
        <v>0</v>
      </c>
      <c r="L12" s="466">
        <v>0</v>
      </c>
    </row>
    <row r="13" spans="1:14" x14ac:dyDescent="0.2">
      <c r="A13" s="1502" t="s">
        <v>723</v>
      </c>
      <c r="B13" s="613">
        <v>1400</v>
      </c>
      <c r="C13" s="466">
        <v>763544</v>
      </c>
      <c r="D13" s="466">
        <v>168253</v>
      </c>
      <c r="E13" s="466">
        <v>611</v>
      </c>
      <c r="F13" s="466">
        <v>2259</v>
      </c>
      <c r="G13" s="466">
        <v>3607</v>
      </c>
      <c r="H13" s="466">
        <v>0</v>
      </c>
      <c r="I13" s="466">
        <v>0</v>
      </c>
      <c r="J13" s="466">
        <v>0</v>
      </c>
      <c r="K13" s="1665">
        <f t="shared" si="0"/>
        <v>938274</v>
      </c>
      <c r="L13" s="466">
        <v>1011846</v>
      </c>
    </row>
    <row r="14" spans="1:14" x14ac:dyDescent="0.2">
      <c r="A14" s="1502" t="s">
        <v>963</v>
      </c>
      <c r="B14" s="613">
        <v>1500</v>
      </c>
      <c r="C14" s="466">
        <v>350625</v>
      </c>
      <c r="D14" s="466">
        <v>57819</v>
      </c>
      <c r="E14" s="466">
        <v>72245</v>
      </c>
      <c r="F14" s="466">
        <v>31235</v>
      </c>
      <c r="G14" s="466">
        <v>0</v>
      </c>
      <c r="H14" s="466">
        <v>5460</v>
      </c>
      <c r="I14" s="466">
        <v>0</v>
      </c>
      <c r="J14" s="466">
        <v>0</v>
      </c>
      <c r="K14" s="1665">
        <f t="shared" si="0"/>
        <v>517384</v>
      </c>
      <c r="L14" s="466">
        <v>534352</v>
      </c>
    </row>
    <row r="15" spans="1:14" x14ac:dyDescent="0.2">
      <c r="A15" s="1502" t="s">
        <v>964</v>
      </c>
      <c r="B15" s="613">
        <v>1600</v>
      </c>
      <c r="C15" s="466">
        <v>0</v>
      </c>
      <c r="D15" s="466">
        <v>0</v>
      </c>
      <c r="E15" s="466">
        <v>0</v>
      </c>
      <c r="F15" s="466">
        <v>0</v>
      </c>
      <c r="G15" s="466">
        <v>0</v>
      </c>
      <c r="H15" s="466">
        <v>0</v>
      </c>
      <c r="I15" s="466">
        <v>0</v>
      </c>
      <c r="J15" s="466">
        <v>0</v>
      </c>
      <c r="K15" s="1665">
        <f t="shared" si="0"/>
        <v>0</v>
      </c>
      <c r="L15" s="466">
        <v>0</v>
      </c>
    </row>
    <row r="16" spans="1:14" x14ac:dyDescent="0.2">
      <c r="A16" s="1502" t="s">
        <v>987</v>
      </c>
      <c r="B16" s="613" t="s">
        <v>424</v>
      </c>
      <c r="C16" s="466">
        <v>0</v>
      </c>
      <c r="D16" s="466">
        <v>0</v>
      </c>
      <c r="E16" s="466">
        <v>0</v>
      </c>
      <c r="F16" s="466">
        <v>0</v>
      </c>
      <c r="G16" s="466">
        <v>0</v>
      </c>
      <c r="H16" s="466">
        <v>0</v>
      </c>
      <c r="I16" s="466">
        <v>0</v>
      </c>
      <c r="J16" s="466">
        <v>0</v>
      </c>
      <c r="K16" s="1665">
        <f t="shared" si="0"/>
        <v>0</v>
      </c>
      <c r="L16" s="466">
        <v>0</v>
      </c>
    </row>
    <row r="17" spans="1:12" x14ac:dyDescent="0.2">
      <c r="A17" s="1502" t="s">
        <v>724</v>
      </c>
      <c r="B17" s="613" t="s">
        <v>162</v>
      </c>
      <c r="C17" s="466">
        <v>23323</v>
      </c>
      <c r="D17" s="466">
        <v>4342</v>
      </c>
      <c r="E17" s="466">
        <v>232</v>
      </c>
      <c r="F17" s="466">
        <v>2109</v>
      </c>
      <c r="G17" s="466">
        <v>0</v>
      </c>
      <c r="H17" s="466">
        <v>0</v>
      </c>
      <c r="I17" s="466">
        <v>0</v>
      </c>
      <c r="J17" s="466">
        <v>0</v>
      </c>
      <c r="K17" s="1665">
        <f t="shared" si="0"/>
        <v>30006</v>
      </c>
      <c r="L17" s="466">
        <v>36120</v>
      </c>
    </row>
    <row r="18" spans="1:12" x14ac:dyDescent="0.2">
      <c r="A18" s="1502" t="s">
        <v>1087</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738</v>
      </c>
      <c r="B20" s="601" t="s">
        <v>725</v>
      </c>
      <c r="C20" s="477"/>
      <c r="D20" s="477"/>
      <c r="E20" s="477"/>
      <c r="F20" s="477"/>
      <c r="G20" s="477"/>
      <c r="H20" s="466">
        <v>0</v>
      </c>
      <c r="I20" s="615"/>
      <c r="J20" s="475"/>
      <c r="K20" s="1665">
        <f t="shared" si="0"/>
        <v>0</v>
      </c>
      <c r="L20" s="471">
        <v>0</v>
      </c>
    </row>
    <row r="21" spans="1:12" x14ac:dyDescent="0.2">
      <c r="A21" s="1503" t="s">
        <v>739</v>
      </c>
      <c r="B21" s="601" t="s">
        <v>726</v>
      </c>
      <c r="C21" s="477"/>
      <c r="D21" s="477"/>
      <c r="E21" s="477"/>
      <c r="F21" s="477"/>
      <c r="G21" s="477"/>
      <c r="H21" s="466">
        <v>0</v>
      </c>
      <c r="I21" s="615"/>
      <c r="J21" s="477"/>
      <c r="K21" s="1665">
        <f t="shared" si="0"/>
        <v>0</v>
      </c>
      <c r="L21" s="471">
        <v>0</v>
      </c>
    </row>
    <row r="22" spans="1:12" x14ac:dyDescent="0.2">
      <c r="A22" s="1503" t="s">
        <v>740</v>
      </c>
      <c r="B22" s="601" t="s">
        <v>727</v>
      </c>
      <c r="C22" s="477"/>
      <c r="D22" s="477"/>
      <c r="E22" s="477"/>
      <c r="F22" s="477"/>
      <c r="G22" s="477"/>
      <c r="H22" s="466">
        <v>424165</v>
      </c>
      <c r="I22" s="615"/>
      <c r="J22" s="477"/>
      <c r="K22" s="1665">
        <f t="shared" si="0"/>
        <v>424165</v>
      </c>
      <c r="L22" s="471">
        <v>445074</v>
      </c>
    </row>
    <row r="23" spans="1:12" x14ac:dyDescent="0.2">
      <c r="A23" s="1503" t="s">
        <v>741</v>
      </c>
      <c r="B23" s="601" t="s">
        <v>728</v>
      </c>
      <c r="C23" s="477"/>
      <c r="D23" s="477"/>
      <c r="E23" s="477"/>
      <c r="F23" s="477"/>
      <c r="G23" s="477"/>
      <c r="H23" s="466">
        <v>0</v>
      </c>
      <c r="I23" s="615"/>
      <c r="J23" s="477"/>
      <c r="K23" s="1665">
        <f t="shared" si="0"/>
        <v>0</v>
      </c>
      <c r="L23" s="471">
        <v>0</v>
      </c>
    </row>
    <row r="24" spans="1:12" ht="12.75" customHeight="1" x14ac:dyDescent="0.2">
      <c r="A24" s="1503" t="s">
        <v>742</v>
      </c>
      <c r="B24" s="601" t="s">
        <v>729</v>
      </c>
      <c r="C24" s="477"/>
      <c r="D24" s="477"/>
      <c r="E24" s="477"/>
      <c r="F24" s="477"/>
      <c r="G24" s="477"/>
      <c r="H24" s="466">
        <v>0</v>
      </c>
      <c r="I24" s="615"/>
      <c r="J24" s="477"/>
      <c r="K24" s="1665">
        <f t="shared" si="0"/>
        <v>0</v>
      </c>
      <c r="L24" s="471">
        <v>0</v>
      </c>
    </row>
    <row r="25" spans="1:12" ht="12.75" customHeight="1" x14ac:dyDescent="0.2">
      <c r="A25" s="1503" t="s">
        <v>802</v>
      </c>
      <c r="B25" s="601" t="s">
        <v>730</v>
      </c>
      <c r="C25" s="477"/>
      <c r="D25" s="477"/>
      <c r="E25" s="477"/>
      <c r="F25" s="477"/>
      <c r="G25" s="477"/>
      <c r="H25" s="466">
        <v>0</v>
      </c>
      <c r="I25" s="615"/>
      <c r="J25" s="477"/>
      <c r="K25" s="1665">
        <f t="shared" si="0"/>
        <v>0</v>
      </c>
      <c r="L25" s="471">
        <v>0</v>
      </c>
    </row>
    <row r="26" spans="1:12" x14ac:dyDescent="0.2">
      <c r="A26" s="1503" t="s">
        <v>622</v>
      </c>
      <c r="B26" s="601" t="s">
        <v>731</v>
      </c>
      <c r="C26" s="477"/>
      <c r="D26" s="477"/>
      <c r="E26" s="477"/>
      <c r="F26" s="477"/>
      <c r="G26" s="477"/>
      <c r="H26" s="466">
        <v>0</v>
      </c>
      <c r="I26" s="615"/>
      <c r="J26" s="477"/>
      <c r="K26" s="1665">
        <f t="shared" si="0"/>
        <v>0</v>
      </c>
      <c r="L26" s="471">
        <v>0</v>
      </c>
    </row>
    <row r="27" spans="1:12" x14ac:dyDescent="0.2">
      <c r="A27" s="1503" t="s">
        <v>623</v>
      </c>
      <c r="B27" s="601" t="s">
        <v>732</v>
      </c>
      <c r="C27" s="477"/>
      <c r="D27" s="477"/>
      <c r="E27" s="477"/>
      <c r="F27" s="477"/>
      <c r="G27" s="477"/>
      <c r="H27" s="466">
        <v>0</v>
      </c>
      <c r="I27" s="615"/>
      <c r="J27" s="477"/>
      <c r="K27" s="1665">
        <f t="shared" si="0"/>
        <v>0</v>
      </c>
      <c r="L27" s="471">
        <v>0</v>
      </c>
    </row>
    <row r="28" spans="1:12" x14ac:dyDescent="0.2">
      <c r="A28" s="1503" t="s">
        <v>150</v>
      </c>
      <c r="B28" s="601" t="s">
        <v>733</v>
      </c>
      <c r="C28" s="477"/>
      <c r="D28" s="477"/>
      <c r="E28" s="477"/>
      <c r="F28" s="477"/>
      <c r="G28" s="477"/>
      <c r="H28" s="466">
        <v>0</v>
      </c>
      <c r="I28" s="615"/>
      <c r="J28" s="477"/>
      <c r="K28" s="1665">
        <f t="shared" si="0"/>
        <v>0</v>
      </c>
      <c r="L28" s="471">
        <v>0</v>
      </c>
    </row>
    <row r="29" spans="1:12" x14ac:dyDescent="0.2">
      <c r="A29" s="1503" t="s">
        <v>151</v>
      </c>
      <c r="B29" s="601" t="s">
        <v>734</v>
      </c>
      <c r="C29" s="477"/>
      <c r="D29" s="477"/>
      <c r="E29" s="477"/>
      <c r="F29" s="477"/>
      <c r="G29" s="477"/>
      <c r="H29" s="466" t="s">
        <v>1169</v>
      </c>
      <c r="I29" s="615"/>
      <c r="J29" s="477"/>
      <c r="K29" s="1665">
        <f t="shared" si="0"/>
        <v>0</v>
      </c>
      <c r="L29" s="471">
        <v>0</v>
      </c>
    </row>
    <row r="30" spans="1:12" x14ac:dyDescent="0.2">
      <c r="A30" s="1503" t="s">
        <v>152</v>
      </c>
      <c r="B30" s="601" t="s">
        <v>735</v>
      </c>
      <c r="C30" s="477"/>
      <c r="D30" s="477"/>
      <c r="E30" s="477"/>
      <c r="F30" s="477"/>
      <c r="G30" s="477"/>
      <c r="H30" s="466">
        <v>0</v>
      </c>
      <c r="I30" s="615"/>
      <c r="J30" s="477"/>
      <c r="K30" s="1665">
        <f t="shared" si="0"/>
        <v>0</v>
      </c>
      <c r="L30" s="471">
        <v>0</v>
      </c>
    </row>
    <row r="31" spans="1:12" x14ac:dyDescent="0.2">
      <c r="A31" s="1503" t="s">
        <v>153</v>
      </c>
      <c r="B31" s="601" t="s">
        <v>736</v>
      </c>
      <c r="C31" s="477"/>
      <c r="D31" s="477"/>
      <c r="E31" s="477"/>
      <c r="F31" s="477"/>
      <c r="G31" s="477"/>
      <c r="H31" s="466">
        <v>0</v>
      </c>
      <c r="I31" s="615"/>
      <c r="J31" s="477"/>
      <c r="K31" s="1665">
        <f t="shared" si="0"/>
        <v>0</v>
      </c>
      <c r="L31" s="471">
        <v>0</v>
      </c>
    </row>
    <row r="32" spans="1:12" x14ac:dyDescent="0.2">
      <c r="A32" s="1504" t="s">
        <v>1129</v>
      </c>
      <c r="B32" s="613" t="s">
        <v>737</v>
      </c>
      <c r="C32" s="477"/>
      <c r="D32" s="477"/>
      <c r="E32" s="477"/>
      <c r="F32" s="477"/>
      <c r="G32" s="477"/>
      <c r="H32" s="466">
        <v>0</v>
      </c>
      <c r="I32" s="615"/>
      <c r="J32" s="480"/>
      <c r="K32" s="1665">
        <f t="shared" si="0"/>
        <v>0</v>
      </c>
      <c r="L32" s="471">
        <v>0</v>
      </c>
    </row>
    <row r="33" spans="1:14" ht="12.75" customHeight="1" thickBot="1" x14ac:dyDescent="0.25">
      <c r="A33" s="1662" t="s">
        <v>1668</v>
      </c>
      <c r="B33" s="1663" t="s">
        <v>570</v>
      </c>
      <c r="C33" s="1664">
        <f>SUM(C5:C32)</f>
        <v>6517268</v>
      </c>
      <c r="D33" s="1664">
        <f t="shared" ref="D33:L33" si="1">SUM(D5:D32)</f>
        <v>1258261</v>
      </c>
      <c r="E33" s="1664">
        <f t="shared" si="1"/>
        <v>119502</v>
      </c>
      <c r="F33" s="1664">
        <f t="shared" si="1"/>
        <v>326908</v>
      </c>
      <c r="G33" s="1664">
        <f t="shared" si="1"/>
        <v>104059</v>
      </c>
      <c r="H33" s="1664">
        <f t="shared" si="1"/>
        <v>429625</v>
      </c>
      <c r="I33" s="1664">
        <f t="shared" si="1"/>
        <v>0</v>
      </c>
      <c r="J33" s="1664">
        <f t="shared" si="1"/>
        <v>0</v>
      </c>
      <c r="K33" s="1664">
        <f t="shared" si="1"/>
        <v>8755623</v>
      </c>
      <c r="L33" s="1664">
        <f t="shared" si="1"/>
        <v>8762790</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58165</v>
      </c>
      <c r="D36" s="466">
        <v>8069</v>
      </c>
      <c r="E36" s="466">
        <v>0</v>
      </c>
      <c r="F36" s="466">
        <v>0</v>
      </c>
      <c r="G36" s="466">
        <v>0</v>
      </c>
      <c r="H36" s="466">
        <v>0</v>
      </c>
      <c r="I36" s="466">
        <v>0</v>
      </c>
      <c r="J36" s="466">
        <v>0</v>
      </c>
      <c r="K36" s="1665">
        <f t="shared" ref="K36:K41" si="2">SUM(C36:J36)</f>
        <v>66234</v>
      </c>
      <c r="L36" s="466">
        <v>82973</v>
      </c>
    </row>
    <row r="37" spans="1:14" x14ac:dyDescent="0.2">
      <c r="A37" s="1502" t="s">
        <v>1090</v>
      </c>
      <c r="B37" s="613">
        <v>2120</v>
      </c>
      <c r="C37" s="466">
        <v>166382</v>
      </c>
      <c r="D37" s="466">
        <v>32374</v>
      </c>
      <c r="E37" s="466">
        <v>0</v>
      </c>
      <c r="F37" s="466">
        <v>114</v>
      </c>
      <c r="G37" s="466">
        <v>0</v>
      </c>
      <c r="H37" s="466">
        <v>0</v>
      </c>
      <c r="I37" s="466">
        <v>0</v>
      </c>
      <c r="J37" s="466">
        <v>0</v>
      </c>
      <c r="K37" s="1665">
        <f t="shared" si="2"/>
        <v>198870</v>
      </c>
      <c r="L37" s="466">
        <v>191262</v>
      </c>
    </row>
    <row r="38" spans="1:14" x14ac:dyDescent="0.2">
      <c r="A38" s="1502" t="s">
        <v>198</v>
      </c>
      <c r="B38" s="613">
        <v>2130</v>
      </c>
      <c r="C38" s="466">
        <v>56714</v>
      </c>
      <c r="D38" s="466">
        <v>6623</v>
      </c>
      <c r="E38" s="466">
        <v>2828</v>
      </c>
      <c r="F38" s="466">
        <v>1135</v>
      </c>
      <c r="G38" s="466">
        <v>5983</v>
      </c>
      <c r="H38" s="466">
        <v>0</v>
      </c>
      <c r="I38" s="466">
        <v>0</v>
      </c>
      <c r="J38" s="466">
        <v>0</v>
      </c>
      <c r="K38" s="1665">
        <f t="shared" si="2"/>
        <v>73283</v>
      </c>
      <c r="L38" s="466">
        <v>84941</v>
      </c>
    </row>
    <row r="39" spans="1:14" x14ac:dyDescent="0.2">
      <c r="A39" s="1502" t="s">
        <v>199</v>
      </c>
      <c r="B39" s="613">
        <v>2140</v>
      </c>
      <c r="C39" s="466">
        <v>0</v>
      </c>
      <c r="D39" s="466">
        <v>0</v>
      </c>
      <c r="E39" s="466">
        <v>0</v>
      </c>
      <c r="F39" s="466">
        <v>0</v>
      </c>
      <c r="G39" s="466">
        <v>0</v>
      </c>
      <c r="H39" s="466">
        <v>0</v>
      </c>
      <c r="I39" s="466">
        <v>0</v>
      </c>
      <c r="J39" s="466">
        <v>0</v>
      </c>
      <c r="K39" s="1665">
        <f t="shared" si="2"/>
        <v>0</v>
      </c>
      <c r="L39" s="466">
        <v>0</v>
      </c>
    </row>
    <row r="40" spans="1:14" x14ac:dyDescent="0.2">
      <c r="A40" s="1502" t="s">
        <v>200</v>
      </c>
      <c r="B40" s="613">
        <v>2150</v>
      </c>
      <c r="C40" s="466">
        <v>167816</v>
      </c>
      <c r="D40" s="466">
        <v>34136</v>
      </c>
      <c r="E40" s="466">
        <v>0</v>
      </c>
      <c r="F40" s="466">
        <v>334</v>
      </c>
      <c r="G40" s="466">
        <v>0</v>
      </c>
      <c r="H40" s="466">
        <v>0</v>
      </c>
      <c r="I40" s="466">
        <v>0</v>
      </c>
      <c r="J40" s="466">
        <v>0</v>
      </c>
      <c r="K40" s="1665">
        <f t="shared" si="2"/>
        <v>202286</v>
      </c>
      <c r="L40" s="466">
        <v>205998</v>
      </c>
    </row>
    <row r="41" spans="1:14" x14ac:dyDescent="0.2">
      <c r="A41" s="1502" t="s">
        <v>1669</v>
      </c>
      <c r="B41" s="613">
        <v>2190</v>
      </c>
      <c r="C41" s="466">
        <v>0</v>
      </c>
      <c r="D41" s="466">
        <v>0</v>
      </c>
      <c r="E41" s="466">
        <v>0</v>
      </c>
      <c r="F41" s="466">
        <v>0</v>
      </c>
      <c r="G41" s="466">
        <v>0</v>
      </c>
      <c r="H41" s="466">
        <v>351</v>
      </c>
      <c r="I41" s="466">
        <v>0</v>
      </c>
      <c r="J41" s="466">
        <v>0</v>
      </c>
      <c r="K41" s="1665">
        <f t="shared" si="2"/>
        <v>351</v>
      </c>
      <c r="L41" s="466">
        <v>-5602</v>
      </c>
    </row>
    <row r="42" spans="1:14" ht="12.75" customHeight="1" thickBot="1" x14ac:dyDescent="0.25">
      <c r="A42" s="1662" t="s">
        <v>560</v>
      </c>
      <c r="B42" s="1663" t="s">
        <v>716</v>
      </c>
      <c r="C42" s="1664">
        <f>SUM(C36:C41)</f>
        <v>449077</v>
      </c>
      <c r="D42" s="1664">
        <f t="shared" ref="D42:L42" si="3">SUM(D36:D41)</f>
        <v>81202</v>
      </c>
      <c r="E42" s="1664">
        <f t="shared" si="3"/>
        <v>2828</v>
      </c>
      <c r="F42" s="1664">
        <f t="shared" si="3"/>
        <v>1583</v>
      </c>
      <c r="G42" s="1664">
        <f t="shared" si="3"/>
        <v>5983</v>
      </c>
      <c r="H42" s="1664">
        <f t="shared" si="3"/>
        <v>351</v>
      </c>
      <c r="I42" s="1664">
        <f t="shared" si="3"/>
        <v>0</v>
      </c>
      <c r="J42" s="1664">
        <f t="shared" si="3"/>
        <v>0</v>
      </c>
      <c r="K42" s="1664">
        <f t="shared" si="3"/>
        <v>541024</v>
      </c>
      <c r="L42" s="1664">
        <f t="shared" si="3"/>
        <v>559572</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176148</v>
      </c>
      <c r="D44" s="466">
        <v>18542</v>
      </c>
      <c r="E44" s="466">
        <v>28121</v>
      </c>
      <c r="F44" s="466">
        <v>0</v>
      </c>
      <c r="G44" s="466">
        <v>0</v>
      </c>
      <c r="H44" s="466">
        <v>0</v>
      </c>
      <c r="I44" s="466">
        <v>0</v>
      </c>
      <c r="J44" s="466">
        <v>0</v>
      </c>
      <c r="K44" s="1666">
        <f>SUM(C44:J44)</f>
        <v>222811</v>
      </c>
      <c r="L44" s="568">
        <v>265120</v>
      </c>
    </row>
    <row r="45" spans="1:14" x14ac:dyDescent="0.2">
      <c r="A45" s="1502" t="s">
        <v>815</v>
      </c>
      <c r="B45" s="613">
        <v>2220</v>
      </c>
      <c r="C45" s="466">
        <v>130848</v>
      </c>
      <c r="D45" s="466">
        <v>9825</v>
      </c>
      <c r="E45" s="466">
        <v>4461</v>
      </c>
      <c r="F45" s="466">
        <v>53976</v>
      </c>
      <c r="G45" s="466">
        <v>8948</v>
      </c>
      <c r="H45" s="466">
        <v>0</v>
      </c>
      <c r="I45" s="466">
        <v>0</v>
      </c>
      <c r="J45" s="466">
        <v>0</v>
      </c>
      <c r="K45" s="1666">
        <f>SUM(C45:J45)</f>
        <v>208058</v>
      </c>
      <c r="L45" s="466">
        <v>204482</v>
      </c>
    </row>
    <row r="46" spans="1:14" x14ac:dyDescent="0.2">
      <c r="A46" s="1502" t="s">
        <v>816</v>
      </c>
      <c r="B46" s="613">
        <v>2230</v>
      </c>
      <c r="C46" s="466">
        <v>0</v>
      </c>
      <c r="D46" s="466">
        <v>0</v>
      </c>
      <c r="E46" s="466">
        <v>404</v>
      </c>
      <c r="F46" s="466">
        <v>0</v>
      </c>
      <c r="G46" s="466">
        <v>0</v>
      </c>
      <c r="H46" s="466">
        <v>0</v>
      </c>
      <c r="I46" s="466">
        <v>0</v>
      </c>
      <c r="J46" s="466">
        <v>0</v>
      </c>
      <c r="K46" s="1666">
        <f>SUM(C46:J46)</f>
        <v>404</v>
      </c>
      <c r="L46" s="466">
        <v>7504</v>
      </c>
    </row>
    <row r="47" spans="1:14" ht="12.75" customHeight="1" thickBot="1" x14ac:dyDescent="0.25">
      <c r="A47" s="1662" t="s">
        <v>561</v>
      </c>
      <c r="B47" s="1663" t="s">
        <v>32</v>
      </c>
      <c r="C47" s="1664">
        <f>SUM(C44:C46)</f>
        <v>306996</v>
      </c>
      <c r="D47" s="1664">
        <f t="shared" ref="D47:K47" si="4">SUM(D44:D46)</f>
        <v>28367</v>
      </c>
      <c r="E47" s="1664">
        <f t="shared" si="4"/>
        <v>32986</v>
      </c>
      <c r="F47" s="1664">
        <f t="shared" si="4"/>
        <v>53976</v>
      </c>
      <c r="G47" s="1664">
        <f t="shared" si="4"/>
        <v>8948</v>
      </c>
      <c r="H47" s="1664">
        <f t="shared" si="4"/>
        <v>0</v>
      </c>
      <c r="I47" s="1664">
        <f t="shared" si="4"/>
        <v>0</v>
      </c>
      <c r="J47" s="1664">
        <f t="shared" si="4"/>
        <v>0</v>
      </c>
      <c r="K47" s="1664">
        <f t="shared" si="4"/>
        <v>431273</v>
      </c>
      <c r="L47" s="1664">
        <f>SUM(L44:L46)</f>
        <v>477106</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0</v>
      </c>
      <c r="D49" s="466">
        <v>0</v>
      </c>
      <c r="E49" s="466">
        <v>39515</v>
      </c>
      <c r="F49" s="466">
        <v>10279</v>
      </c>
      <c r="G49" s="466">
        <v>0</v>
      </c>
      <c r="H49" s="466">
        <v>162</v>
      </c>
      <c r="I49" s="466">
        <v>0</v>
      </c>
      <c r="J49" s="466">
        <v>0</v>
      </c>
      <c r="K49" s="1666">
        <f>SUM(C49:J49)</f>
        <v>49956</v>
      </c>
      <c r="L49" s="568">
        <v>92510</v>
      </c>
    </row>
    <row r="50" spans="1:14" x14ac:dyDescent="0.2">
      <c r="A50" s="1502" t="s">
        <v>818</v>
      </c>
      <c r="B50" s="613">
        <v>2320</v>
      </c>
      <c r="C50" s="466">
        <v>150687</v>
      </c>
      <c r="D50" s="466">
        <v>28323</v>
      </c>
      <c r="E50" s="466">
        <v>80</v>
      </c>
      <c r="F50" s="466">
        <v>6519</v>
      </c>
      <c r="G50" s="466">
        <v>0</v>
      </c>
      <c r="H50" s="466">
        <v>6620</v>
      </c>
      <c r="I50" s="466">
        <v>0</v>
      </c>
      <c r="J50" s="466">
        <v>0</v>
      </c>
      <c r="K50" s="1666">
        <f>SUM(C50:J50)</f>
        <v>192229</v>
      </c>
      <c r="L50" s="466">
        <v>218978</v>
      </c>
    </row>
    <row r="51" spans="1:14" x14ac:dyDescent="0.2">
      <c r="A51" s="1502" t="s">
        <v>42</v>
      </c>
      <c r="B51" s="613">
        <v>2330</v>
      </c>
      <c r="C51" s="466">
        <v>66850</v>
      </c>
      <c r="D51" s="466">
        <v>17079</v>
      </c>
      <c r="E51" s="466">
        <v>0</v>
      </c>
      <c r="F51" s="466">
        <v>0</v>
      </c>
      <c r="G51" s="466">
        <v>0</v>
      </c>
      <c r="H51" s="466">
        <v>0</v>
      </c>
      <c r="I51" s="466" t="s">
        <v>1169</v>
      </c>
      <c r="J51" s="466">
        <v>0</v>
      </c>
      <c r="K51" s="1666">
        <f>SUM(C51:J51)</f>
        <v>83929</v>
      </c>
      <c r="L51" s="466">
        <v>81873</v>
      </c>
    </row>
    <row r="52" spans="1:14" ht="22.5" x14ac:dyDescent="0.2">
      <c r="A52" s="1503" t="s">
        <v>298</v>
      </c>
      <c r="B52" s="626" t="s">
        <v>366</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717</v>
      </c>
      <c r="B53" s="1663" t="s">
        <v>33</v>
      </c>
      <c r="C53" s="1664">
        <f>SUM(C49:C52)</f>
        <v>217537</v>
      </c>
      <c r="D53" s="1664">
        <f t="shared" ref="D53:L53" si="5">SUM(D49:D52)</f>
        <v>45402</v>
      </c>
      <c r="E53" s="1664">
        <f t="shared" si="5"/>
        <v>39595</v>
      </c>
      <c r="F53" s="1664">
        <f t="shared" si="5"/>
        <v>16798</v>
      </c>
      <c r="G53" s="1664">
        <f t="shared" si="5"/>
        <v>0</v>
      </c>
      <c r="H53" s="1664">
        <f t="shared" si="5"/>
        <v>6782</v>
      </c>
      <c r="I53" s="1664">
        <f t="shared" si="5"/>
        <v>0</v>
      </c>
      <c r="J53" s="1664">
        <f t="shared" si="5"/>
        <v>0</v>
      </c>
      <c r="K53" s="1664">
        <f t="shared" si="5"/>
        <v>326114</v>
      </c>
      <c r="L53" s="1664">
        <f t="shared" si="5"/>
        <v>393361</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537799</v>
      </c>
      <c r="D55" s="466">
        <v>114529</v>
      </c>
      <c r="E55" s="466">
        <v>224</v>
      </c>
      <c r="F55" s="466">
        <v>8895</v>
      </c>
      <c r="G55" s="466">
        <v>0</v>
      </c>
      <c r="H55" s="466">
        <v>2264</v>
      </c>
      <c r="I55" s="466">
        <v>0</v>
      </c>
      <c r="J55" s="466">
        <v>0</v>
      </c>
      <c r="K55" s="1666">
        <f>SUM(C55:J55)</f>
        <v>663711</v>
      </c>
      <c r="L55" s="568">
        <v>664941</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537799</v>
      </c>
      <c r="D57" s="1668">
        <f t="shared" ref="D57:K57" si="6">SUM(D55:D56)</f>
        <v>114529</v>
      </c>
      <c r="E57" s="1668">
        <f t="shared" si="6"/>
        <v>224</v>
      </c>
      <c r="F57" s="1668">
        <f t="shared" si="6"/>
        <v>8895</v>
      </c>
      <c r="G57" s="1668">
        <f t="shared" si="6"/>
        <v>0</v>
      </c>
      <c r="H57" s="1668">
        <f t="shared" si="6"/>
        <v>2264</v>
      </c>
      <c r="I57" s="1668">
        <f t="shared" si="6"/>
        <v>0</v>
      </c>
      <c r="J57" s="1668">
        <f t="shared" si="6"/>
        <v>0</v>
      </c>
      <c r="K57" s="1668">
        <f t="shared" si="6"/>
        <v>663711</v>
      </c>
      <c r="L57" s="1664">
        <f>SUM(L55:L56)</f>
        <v>664941</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v>0</v>
      </c>
      <c r="M59" s="608"/>
      <c r="N59" s="608"/>
    </row>
    <row r="60" spans="1:14" s="343" customFormat="1" x14ac:dyDescent="0.2">
      <c r="A60" s="1502" t="s">
        <v>463</v>
      </c>
      <c r="B60" s="613">
        <v>2520</v>
      </c>
      <c r="C60" s="466">
        <v>142160</v>
      </c>
      <c r="D60" s="466">
        <v>5332</v>
      </c>
      <c r="E60" s="466">
        <v>5918</v>
      </c>
      <c r="F60" s="466">
        <v>4835</v>
      </c>
      <c r="G60" s="466">
        <v>0</v>
      </c>
      <c r="H60" s="466">
        <v>15</v>
      </c>
      <c r="I60" s="466">
        <v>0</v>
      </c>
      <c r="J60" s="466">
        <v>0</v>
      </c>
      <c r="K60" s="1666">
        <f t="shared" si="7"/>
        <v>158260</v>
      </c>
      <c r="L60" s="466">
        <v>154113</v>
      </c>
      <c r="M60" s="608"/>
      <c r="N60" s="608"/>
    </row>
    <row r="61" spans="1:14" s="343" customFormat="1" x14ac:dyDescent="0.2">
      <c r="A61" s="1502" t="s">
        <v>197</v>
      </c>
      <c r="B61" s="613">
        <v>2540</v>
      </c>
      <c r="C61" s="466">
        <v>533678</v>
      </c>
      <c r="D61" s="466">
        <v>71932</v>
      </c>
      <c r="E61" s="466">
        <v>0</v>
      </c>
      <c r="F61" s="466">
        <v>0</v>
      </c>
      <c r="G61" s="466">
        <v>0</v>
      </c>
      <c r="H61" s="466">
        <v>0</v>
      </c>
      <c r="I61" s="466">
        <v>0</v>
      </c>
      <c r="J61" s="466">
        <v>0</v>
      </c>
      <c r="K61" s="1666">
        <f t="shared" si="7"/>
        <v>605610</v>
      </c>
      <c r="L61" s="466">
        <v>611608</v>
      </c>
      <c r="M61" s="608"/>
      <c r="N61" s="608"/>
    </row>
    <row r="62" spans="1:14" s="343" customFormat="1" x14ac:dyDescent="0.2">
      <c r="A62" s="1502" t="s">
        <v>953</v>
      </c>
      <c r="B62" s="613">
        <v>2550</v>
      </c>
      <c r="C62" s="466">
        <v>0</v>
      </c>
      <c r="D62" s="466">
        <v>0</v>
      </c>
      <c r="E62" s="466">
        <v>2031</v>
      </c>
      <c r="F62" s="466">
        <v>1512</v>
      </c>
      <c r="G62" s="466">
        <v>0</v>
      </c>
      <c r="H62" s="466">
        <v>0</v>
      </c>
      <c r="I62" s="466">
        <v>0</v>
      </c>
      <c r="J62" s="466">
        <v>0</v>
      </c>
      <c r="K62" s="1666">
        <f t="shared" si="7"/>
        <v>3543</v>
      </c>
      <c r="L62" s="466">
        <v>2366</v>
      </c>
      <c r="M62" s="608"/>
      <c r="N62" s="608"/>
    </row>
    <row r="63" spans="1:14" s="608" customFormat="1" x14ac:dyDescent="0.2">
      <c r="A63" s="1502" t="s">
        <v>100</v>
      </c>
      <c r="B63" s="613">
        <v>2560</v>
      </c>
      <c r="C63" s="466">
        <v>195097</v>
      </c>
      <c r="D63" s="466">
        <v>131</v>
      </c>
      <c r="E63" s="466">
        <v>9169</v>
      </c>
      <c r="F63" s="466">
        <v>491926</v>
      </c>
      <c r="G63" s="466">
        <v>3842</v>
      </c>
      <c r="H63" s="466">
        <v>0</v>
      </c>
      <c r="I63" s="466">
        <v>0</v>
      </c>
      <c r="J63" s="466">
        <v>0</v>
      </c>
      <c r="K63" s="1666">
        <f t="shared" si="7"/>
        <v>700165</v>
      </c>
      <c r="L63" s="466">
        <v>762903</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v>0</v>
      </c>
    </row>
    <row r="65" spans="1:14" s="343" customFormat="1" ht="12.75" customHeight="1" thickBot="1" x14ac:dyDescent="0.25">
      <c r="A65" s="1662" t="s">
        <v>719</v>
      </c>
      <c r="B65" s="1663" t="s">
        <v>35</v>
      </c>
      <c r="C65" s="1664">
        <f>SUM(C59:C64)</f>
        <v>870935</v>
      </c>
      <c r="D65" s="1664">
        <f t="shared" ref="D65:L65" si="8">SUM(D59:D64)</f>
        <v>77395</v>
      </c>
      <c r="E65" s="1664">
        <f t="shared" si="8"/>
        <v>17118</v>
      </c>
      <c r="F65" s="1664">
        <f t="shared" si="8"/>
        <v>498273</v>
      </c>
      <c r="G65" s="1664">
        <f t="shared" si="8"/>
        <v>3842</v>
      </c>
      <c r="H65" s="1664">
        <f t="shared" si="8"/>
        <v>15</v>
      </c>
      <c r="I65" s="1664">
        <f t="shared" si="8"/>
        <v>0</v>
      </c>
      <c r="J65" s="1664">
        <f t="shared" si="8"/>
        <v>0</v>
      </c>
      <c r="K65" s="1664">
        <f t="shared" si="8"/>
        <v>1467578</v>
      </c>
      <c r="L65" s="1664">
        <f t="shared" si="8"/>
        <v>1530990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v>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404</v>
      </c>
      <c r="B71" s="613">
        <v>2660</v>
      </c>
      <c r="C71" s="466">
        <v>0</v>
      </c>
      <c r="D71" s="466">
        <v>0</v>
      </c>
      <c r="E71" s="466">
        <v>26855</v>
      </c>
      <c r="F71" s="466">
        <v>0</v>
      </c>
      <c r="G71" s="466">
        <v>0</v>
      </c>
      <c r="H71" s="466">
        <v>0</v>
      </c>
      <c r="I71" s="466">
        <v>0</v>
      </c>
      <c r="J71" s="466">
        <v>0</v>
      </c>
      <c r="K71" s="1666">
        <f>SUM(C71:J71)</f>
        <v>26855</v>
      </c>
      <c r="L71" s="466">
        <v>21647</v>
      </c>
      <c r="M71" s="608"/>
      <c r="N71" s="608"/>
    </row>
    <row r="72" spans="1:14" s="343" customFormat="1" ht="12.75" customHeight="1" thickBot="1" x14ac:dyDescent="0.25">
      <c r="A72" s="1662" t="s">
        <v>37</v>
      </c>
      <c r="B72" s="1669" t="s">
        <v>36</v>
      </c>
      <c r="C72" s="1664">
        <f>SUM(C67:C71)</f>
        <v>0</v>
      </c>
      <c r="D72" s="1664">
        <f t="shared" ref="D72:K72" si="9">SUM(D67:D71)</f>
        <v>0</v>
      </c>
      <c r="E72" s="1664">
        <f t="shared" si="9"/>
        <v>26855</v>
      </c>
      <c r="F72" s="1664">
        <f t="shared" si="9"/>
        <v>0</v>
      </c>
      <c r="G72" s="1664">
        <f t="shared" si="9"/>
        <v>0</v>
      </c>
      <c r="H72" s="1664">
        <f t="shared" si="9"/>
        <v>0</v>
      </c>
      <c r="I72" s="1664">
        <f t="shared" si="9"/>
        <v>0</v>
      </c>
      <c r="J72" s="1664">
        <f t="shared" si="9"/>
        <v>0</v>
      </c>
      <c r="K72" s="1664">
        <f t="shared" si="9"/>
        <v>26855</v>
      </c>
      <c r="L72" s="1664">
        <f>SUM(L67:L71)</f>
        <v>21647</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v>0</v>
      </c>
      <c r="M73" s="608"/>
      <c r="N73" s="608"/>
    </row>
    <row r="74" spans="1:14" ht="12.75" customHeight="1" thickTop="1" thickBot="1" x14ac:dyDescent="0.25">
      <c r="A74" s="1662" t="s">
        <v>811</v>
      </c>
      <c r="B74" s="1670">
        <v>2000</v>
      </c>
      <c r="C74" s="1671">
        <f>SUM(C42,C47,C53,C57,C65,C72,C73)</f>
        <v>2382344</v>
      </c>
      <c r="D74" s="1671">
        <f t="shared" ref="D74:K74" si="10">SUM(D42,D47,D53,D57,D65,D72,D73)</f>
        <v>346895</v>
      </c>
      <c r="E74" s="1671">
        <f t="shared" si="10"/>
        <v>119606</v>
      </c>
      <c r="F74" s="1671">
        <f t="shared" si="10"/>
        <v>579525</v>
      </c>
      <c r="G74" s="1671">
        <f t="shared" si="10"/>
        <v>18773</v>
      </c>
      <c r="H74" s="1671">
        <f t="shared" si="10"/>
        <v>9412</v>
      </c>
      <c r="I74" s="1671">
        <f t="shared" si="10"/>
        <v>0</v>
      </c>
      <c r="J74" s="1671">
        <f t="shared" si="10"/>
        <v>0</v>
      </c>
      <c r="K74" s="1671">
        <f t="shared" si="10"/>
        <v>3456555</v>
      </c>
      <c r="L74" s="1671">
        <f>SUM(L42,L47,L53,L57,L65,L72,L73)</f>
        <v>3647617</v>
      </c>
    </row>
    <row r="75" spans="1:14" s="259" customFormat="1" ht="15.75" customHeight="1" thickTop="1" thickBot="1" x14ac:dyDescent="0.25">
      <c r="A75" s="1608" t="s">
        <v>47</v>
      </c>
      <c r="B75" s="1609" t="s">
        <v>575</v>
      </c>
      <c r="C75" s="466">
        <v>25431</v>
      </c>
      <c r="D75" s="466">
        <v>355</v>
      </c>
      <c r="E75" s="466">
        <v>0</v>
      </c>
      <c r="F75" s="466">
        <v>0</v>
      </c>
      <c r="G75" s="466">
        <v>0</v>
      </c>
      <c r="H75" s="466">
        <v>0</v>
      </c>
      <c r="I75" s="466">
        <v>0</v>
      </c>
      <c r="J75" s="466">
        <v>0</v>
      </c>
      <c r="K75" s="1664">
        <f>SUM(C75:J75)</f>
        <v>25786</v>
      </c>
      <c r="L75" s="575">
        <v>26374</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275</v>
      </c>
      <c r="F78" s="615"/>
      <c r="G78" s="615"/>
      <c r="H78" s="466">
        <v>0</v>
      </c>
      <c r="I78" s="477"/>
      <c r="J78" s="477"/>
      <c r="K78" s="1665">
        <f t="shared" ref="K78:K83" si="11">SUM(C78:J78)</f>
        <v>275</v>
      </c>
      <c r="L78" s="568">
        <v>0</v>
      </c>
    </row>
    <row r="79" spans="1:14" x14ac:dyDescent="0.2">
      <c r="A79" s="1502" t="s">
        <v>304</v>
      </c>
      <c r="B79" s="613">
        <v>4120</v>
      </c>
      <c r="C79" s="615"/>
      <c r="D79" s="615"/>
      <c r="E79" s="466">
        <v>0</v>
      </c>
      <c r="F79" s="615"/>
      <c r="G79" s="615"/>
      <c r="H79" s="466">
        <v>260066</v>
      </c>
      <c r="I79" s="477"/>
      <c r="J79" s="477"/>
      <c r="K79" s="1665">
        <f t="shared" si="11"/>
        <v>260066</v>
      </c>
      <c r="L79" s="466">
        <v>198403</v>
      </c>
    </row>
    <row r="80" spans="1:14" x14ac:dyDescent="0.2">
      <c r="A80" s="1502" t="s">
        <v>305</v>
      </c>
      <c r="B80" s="613">
        <v>4130</v>
      </c>
      <c r="C80" s="615"/>
      <c r="D80" s="615"/>
      <c r="E80" s="466">
        <v>0</v>
      </c>
      <c r="F80" s="615"/>
      <c r="G80" s="615"/>
      <c r="H80" s="466">
        <v>0</v>
      </c>
      <c r="I80" s="477"/>
      <c r="J80" s="477"/>
      <c r="K80" s="1665">
        <f t="shared" si="11"/>
        <v>0</v>
      </c>
      <c r="L80" s="466">
        <v>0</v>
      </c>
    </row>
    <row r="81" spans="1:12" x14ac:dyDescent="0.2">
      <c r="A81" s="1502" t="s">
        <v>697</v>
      </c>
      <c r="B81" s="613">
        <v>4140</v>
      </c>
      <c r="C81" s="615"/>
      <c r="D81" s="615"/>
      <c r="E81" s="466">
        <v>0</v>
      </c>
      <c r="F81" s="615"/>
      <c r="G81" s="615"/>
      <c r="H81" s="466">
        <v>0</v>
      </c>
      <c r="I81" s="477"/>
      <c r="J81" s="477"/>
      <c r="K81" s="1665">
        <f t="shared" si="11"/>
        <v>0</v>
      </c>
      <c r="L81" s="466">
        <v>0</v>
      </c>
    </row>
    <row r="82" spans="1:12" x14ac:dyDescent="0.2">
      <c r="A82" s="1502" t="s">
        <v>86</v>
      </c>
      <c r="B82" s="613">
        <v>4170</v>
      </c>
      <c r="C82" s="615"/>
      <c r="D82" s="615"/>
      <c r="E82" s="466">
        <v>0</v>
      </c>
      <c r="F82" s="615"/>
      <c r="G82" s="615"/>
      <c r="H82" s="466">
        <v>0</v>
      </c>
      <c r="I82" s="477"/>
      <c r="J82" s="477"/>
      <c r="K82" s="1665">
        <f t="shared" si="11"/>
        <v>0</v>
      </c>
      <c r="L82" s="466">
        <v>0</v>
      </c>
    </row>
    <row r="83" spans="1:12" x14ac:dyDescent="0.2">
      <c r="A83" s="1506" t="s">
        <v>698</v>
      </c>
      <c r="B83" s="627">
        <v>4190</v>
      </c>
      <c r="C83" s="615"/>
      <c r="D83" s="615"/>
      <c r="E83" s="466">
        <v>0</v>
      </c>
      <c r="F83" s="615"/>
      <c r="G83" s="615"/>
      <c r="H83" s="466">
        <v>6456</v>
      </c>
      <c r="I83" s="477"/>
      <c r="J83" s="477"/>
      <c r="K83" s="1665">
        <f t="shared" si="11"/>
        <v>6456</v>
      </c>
      <c r="L83" s="466">
        <v>0</v>
      </c>
    </row>
    <row r="84" spans="1:12" ht="13.5" thickBot="1" x14ac:dyDescent="0.25">
      <c r="A84" s="1662" t="s">
        <v>1485</v>
      </c>
      <c r="B84" s="1672">
        <v>4100</v>
      </c>
      <c r="C84" s="615"/>
      <c r="D84" s="615"/>
      <c r="E84" s="1664">
        <f>SUM(E78:E83)</f>
        <v>275</v>
      </c>
      <c r="F84" s="615"/>
      <c r="G84" s="615"/>
      <c r="H84" s="1664">
        <f>SUM(H78:H83)</f>
        <v>266522</v>
      </c>
      <c r="I84" s="477"/>
      <c r="J84" s="477"/>
      <c r="K84" s="1664">
        <f>SUM(K78:K83)</f>
        <v>266797</v>
      </c>
      <c r="L84" s="1664">
        <f>SUM(L78:L83)</f>
        <v>198403</v>
      </c>
    </row>
    <row r="85" spans="1:12" ht="12.75" customHeight="1" thickTop="1" thickBot="1" x14ac:dyDescent="0.25">
      <c r="A85" s="1509" t="s">
        <v>255</v>
      </c>
      <c r="B85" s="633">
        <v>4210</v>
      </c>
      <c r="C85" s="615"/>
      <c r="D85" s="615"/>
      <c r="E85" s="634"/>
      <c r="F85" s="615"/>
      <c r="G85" s="615"/>
      <c r="H85" s="466">
        <v>7985</v>
      </c>
      <c r="I85" s="477"/>
      <c r="J85" s="477"/>
      <c r="K85" s="1671">
        <f>H85</f>
        <v>7985</v>
      </c>
      <c r="L85" s="530">
        <v>8775</v>
      </c>
    </row>
    <row r="86" spans="1:12" ht="12.75" customHeight="1" thickTop="1" thickBot="1" x14ac:dyDescent="0.25">
      <c r="A86" s="1510" t="s">
        <v>699</v>
      </c>
      <c r="B86" s="635">
        <v>4220</v>
      </c>
      <c r="C86" s="615"/>
      <c r="D86" s="615"/>
      <c r="E86" s="636"/>
      <c r="F86" s="615"/>
      <c r="G86" s="615"/>
      <c r="H86" s="466">
        <v>1248</v>
      </c>
      <c r="I86" s="477"/>
      <c r="J86" s="477"/>
      <c r="K86" s="1671">
        <f t="shared" ref="K86:K98" si="12">H86</f>
        <v>1248</v>
      </c>
      <c r="L86" s="530">
        <v>1268</v>
      </c>
    </row>
    <row r="87" spans="1:12" ht="14.25" thickTop="1" thickBot="1" x14ac:dyDescent="0.25">
      <c r="A87" s="1511" t="s">
        <v>700</v>
      </c>
      <c r="B87" s="637">
        <v>4230</v>
      </c>
      <c r="C87" s="615"/>
      <c r="D87" s="615"/>
      <c r="E87" s="636"/>
      <c r="F87" s="615"/>
      <c r="G87" s="615"/>
      <c r="H87" s="466">
        <v>0</v>
      </c>
      <c r="I87" s="477"/>
      <c r="J87" s="477"/>
      <c r="K87" s="1671">
        <f t="shared" si="12"/>
        <v>0</v>
      </c>
      <c r="L87" s="530">
        <v>0</v>
      </c>
    </row>
    <row r="88" spans="1:12" ht="12.75" customHeight="1" thickTop="1" thickBot="1" x14ac:dyDescent="0.25">
      <c r="A88" s="1511" t="s">
        <v>765</v>
      </c>
      <c r="B88" s="637">
        <v>4240</v>
      </c>
      <c r="C88" s="615"/>
      <c r="D88" s="615"/>
      <c r="E88" s="636"/>
      <c r="F88" s="615"/>
      <c r="G88" s="615"/>
      <c r="H88" s="466">
        <v>133801</v>
      </c>
      <c r="I88" s="477"/>
      <c r="J88" s="477"/>
      <c r="K88" s="1671">
        <f t="shared" si="12"/>
        <v>133801</v>
      </c>
      <c r="L88" s="530">
        <v>151012</v>
      </c>
    </row>
    <row r="89" spans="1:12" ht="12.75" customHeight="1" thickTop="1" thickBot="1" x14ac:dyDescent="0.25">
      <c r="A89" s="1511" t="s">
        <v>701</v>
      </c>
      <c r="B89" s="637">
        <v>4270</v>
      </c>
      <c r="C89" s="615"/>
      <c r="D89" s="615"/>
      <c r="E89" s="636"/>
      <c r="F89" s="615"/>
      <c r="G89" s="615"/>
      <c r="H89" s="466">
        <v>0</v>
      </c>
      <c r="I89" s="477"/>
      <c r="J89" s="477"/>
      <c r="K89" s="1671">
        <f t="shared" si="12"/>
        <v>0</v>
      </c>
      <c r="L89" s="530">
        <v>0</v>
      </c>
    </row>
    <row r="90" spans="1:12" ht="12.75" customHeight="1" thickTop="1" thickBot="1" x14ac:dyDescent="0.25">
      <c r="A90" s="1511" t="s">
        <v>686</v>
      </c>
      <c r="B90" s="637">
        <v>4280</v>
      </c>
      <c r="C90" s="615"/>
      <c r="D90" s="615"/>
      <c r="E90" s="636"/>
      <c r="F90" s="615"/>
      <c r="G90" s="615"/>
      <c r="H90" s="466">
        <v>0</v>
      </c>
      <c r="I90" s="477"/>
      <c r="J90" s="477"/>
      <c r="K90" s="1671">
        <f t="shared" si="12"/>
        <v>0</v>
      </c>
      <c r="L90" s="530">
        <v>0</v>
      </c>
    </row>
    <row r="91" spans="1:12" ht="12.75" customHeight="1" thickTop="1" thickBot="1" x14ac:dyDescent="0.25">
      <c r="A91" s="1511" t="s">
        <v>687</v>
      </c>
      <c r="B91" s="637">
        <v>4290</v>
      </c>
      <c r="C91" s="615"/>
      <c r="D91" s="615"/>
      <c r="E91" s="636"/>
      <c r="F91" s="615"/>
      <c r="G91" s="615"/>
      <c r="H91" s="466">
        <v>0</v>
      </c>
      <c r="I91" s="477"/>
      <c r="J91" s="477"/>
      <c r="K91" s="1671">
        <f t="shared" si="12"/>
        <v>0</v>
      </c>
      <c r="L91" s="530">
        <v>0</v>
      </c>
    </row>
    <row r="92" spans="1:12" ht="14.25" thickTop="1" thickBot="1" x14ac:dyDescent="0.25">
      <c r="A92" s="1674" t="s">
        <v>1560</v>
      </c>
      <c r="B92" s="1672">
        <v>4200</v>
      </c>
      <c r="C92" s="615"/>
      <c r="D92" s="615"/>
      <c r="E92" s="636"/>
      <c r="F92" s="615"/>
      <c r="G92" s="615"/>
      <c r="H92" s="1664">
        <f>SUM(H85:H91)</f>
        <v>143034</v>
      </c>
      <c r="I92" s="477"/>
      <c r="J92" s="477"/>
      <c r="K92" s="1671">
        <f t="shared" si="12"/>
        <v>143034</v>
      </c>
      <c r="L92" s="1664">
        <f>SUM(L85:L91)</f>
        <v>161055</v>
      </c>
    </row>
    <row r="93" spans="1:12" ht="14.25" thickTop="1" thickBot="1" x14ac:dyDescent="0.25">
      <c r="A93" s="1510" t="s">
        <v>688</v>
      </c>
      <c r="B93" s="638">
        <v>4310</v>
      </c>
      <c r="C93" s="615"/>
      <c r="D93" s="615"/>
      <c r="E93" s="636"/>
      <c r="F93" s="615"/>
      <c r="G93" s="615"/>
      <c r="H93" s="466">
        <v>0</v>
      </c>
      <c r="I93" s="477"/>
      <c r="J93" s="477"/>
      <c r="K93" s="1671">
        <f t="shared" si="12"/>
        <v>0</v>
      </c>
      <c r="L93" s="532">
        <v>0</v>
      </c>
    </row>
    <row r="94" spans="1:12" ht="12.75" customHeight="1" thickTop="1" thickBot="1" x14ac:dyDescent="0.25">
      <c r="A94" s="1511" t="s">
        <v>689</v>
      </c>
      <c r="B94" s="637">
        <v>4320</v>
      </c>
      <c r="C94" s="615"/>
      <c r="D94" s="615"/>
      <c r="E94" s="636"/>
      <c r="F94" s="615"/>
      <c r="G94" s="615"/>
      <c r="H94" s="466">
        <v>0</v>
      </c>
      <c r="I94" s="477"/>
      <c r="J94" s="477"/>
      <c r="K94" s="1671">
        <f t="shared" si="12"/>
        <v>0</v>
      </c>
      <c r="L94" s="530">
        <v>0</v>
      </c>
    </row>
    <row r="95" spans="1:12" ht="15" customHeight="1" thickTop="1" thickBot="1" x14ac:dyDescent="0.25">
      <c r="A95" s="1511" t="s">
        <v>1488</v>
      </c>
      <c r="B95" s="637">
        <v>4330</v>
      </c>
      <c r="C95" s="615"/>
      <c r="D95" s="615"/>
      <c r="E95" s="636"/>
      <c r="F95" s="615"/>
      <c r="G95" s="615"/>
      <c r="H95" s="466">
        <v>0</v>
      </c>
      <c r="I95" s="477"/>
      <c r="J95" s="477"/>
      <c r="K95" s="1671">
        <f t="shared" si="12"/>
        <v>0</v>
      </c>
      <c r="L95" s="530">
        <v>0</v>
      </c>
    </row>
    <row r="96" spans="1:12" ht="14.25" thickTop="1" thickBot="1" x14ac:dyDescent="0.25">
      <c r="A96" s="1511" t="s">
        <v>690</v>
      </c>
      <c r="B96" s="637">
        <v>4340</v>
      </c>
      <c r="C96" s="615"/>
      <c r="D96" s="615"/>
      <c r="E96" s="636"/>
      <c r="F96" s="615"/>
      <c r="G96" s="615"/>
      <c r="H96" s="466">
        <v>0</v>
      </c>
      <c r="I96" s="477"/>
      <c r="J96" s="477"/>
      <c r="K96" s="1671">
        <f t="shared" si="12"/>
        <v>0</v>
      </c>
      <c r="L96" s="530">
        <v>0</v>
      </c>
    </row>
    <row r="97" spans="1:14" ht="12.75" customHeight="1" thickTop="1" thickBot="1" x14ac:dyDescent="0.25">
      <c r="A97" s="1511" t="s">
        <v>763</v>
      </c>
      <c r="B97" s="637">
        <v>4370</v>
      </c>
      <c r="C97" s="615"/>
      <c r="D97" s="615"/>
      <c r="E97" s="636"/>
      <c r="F97" s="615"/>
      <c r="G97" s="615"/>
      <c r="H97" s="466">
        <v>0</v>
      </c>
      <c r="I97" s="477"/>
      <c r="J97" s="477"/>
      <c r="K97" s="1671">
        <f t="shared" si="12"/>
        <v>0</v>
      </c>
      <c r="L97" s="530">
        <v>0</v>
      </c>
    </row>
    <row r="98" spans="1:14" ht="14.25" thickTop="1" thickBot="1" x14ac:dyDescent="0.25">
      <c r="A98" s="1511" t="s">
        <v>764</v>
      </c>
      <c r="B98" s="637">
        <v>4380</v>
      </c>
      <c r="C98" s="615"/>
      <c r="D98" s="615"/>
      <c r="E98" s="640"/>
      <c r="F98" s="615"/>
      <c r="G98" s="615"/>
      <c r="H98" s="466">
        <v>0</v>
      </c>
      <c r="I98" s="477"/>
      <c r="J98" s="477"/>
      <c r="K98" s="1671">
        <f t="shared" si="12"/>
        <v>0</v>
      </c>
      <c r="L98" s="530">
        <v>0</v>
      </c>
    </row>
    <row r="99" spans="1:14" ht="14.25" thickTop="1" thickBot="1" x14ac:dyDescent="0.25">
      <c r="A99" s="1511" t="s">
        <v>367</v>
      </c>
      <c r="B99" s="637">
        <v>4390</v>
      </c>
      <c r="C99" s="615"/>
      <c r="D99" s="615"/>
      <c r="E99" s="466">
        <v>0</v>
      </c>
      <c r="F99" s="615"/>
      <c r="G99" s="615"/>
      <c r="H99" s="466">
        <v>0</v>
      </c>
      <c r="I99" s="477"/>
      <c r="J99" s="477"/>
      <c r="K99" s="1671">
        <f>SUM(E99,H99)</f>
        <v>0</v>
      </c>
      <c r="L99" s="530">
        <v>0</v>
      </c>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v>0</v>
      </c>
    </row>
    <row r="102" spans="1:14" ht="12.75" customHeight="1" thickTop="1" thickBot="1" x14ac:dyDescent="0.25">
      <c r="A102" s="1662" t="s">
        <v>1487</v>
      </c>
      <c r="B102" s="1672">
        <v>4000</v>
      </c>
      <c r="C102" s="615"/>
      <c r="D102" s="615"/>
      <c r="E102" s="1671">
        <f>SUM(E84,E92,E100,E101)</f>
        <v>275</v>
      </c>
      <c r="F102" s="615"/>
      <c r="G102" s="615"/>
      <c r="H102" s="1671">
        <f>SUM(H84,H92,H100,H101)</f>
        <v>409556</v>
      </c>
      <c r="I102" s="477"/>
      <c r="J102" s="477"/>
      <c r="K102" s="1671">
        <f>SUM(K84,K92,K100,K101)</f>
        <v>409831</v>
      </c>
      <c r="L102" s="1671">
        <f>SUM(L84,L92,L100,L101)</f>
        <v>359458</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8925043</v>
      </c>
      <c r="D114" s="1664">
        <f t="shared" ref="D114:K114" si="13">SUM(D33,D74,D75,D102,D112,D113)</f>
        <v>1605511</v>
      </c>
      <c r="E114" s="1664">
        <f t="shared" si="13"/>
        <v>239383</v>
      </c>
      <c r="F114" s="1664">
        <f t="shared" si="13"/>
        <v>906433</v>
      </c>
      <c r="G114" s="1664">
        <f t="shared" si="13"/>
        <v>122832</v>
      </c>
      <c r="H114" s="1664">
        <f>SUM(H33,H74,H75,H102,H112,H113)</f>
        <v>848593</v>
      </c>
      <c r="I114" s="1664">
        <f t="shared" si="13"/>
        <v>0</v>
      </c>
      <c r="J114" s="1664">
        <f t="shared" si="13"/>
        <v>0</v>
      </c>
      <c r="K114" s="1664">
        <f t="shared" si="13"/>
        <v>12647795</v>
      </c>
      <c r="L114" s="1664">
        <f>SUM(L33,L74,L75,L102,L112,L113)</f>
        <v>12796239</v>
      </c>
    </row>
    <row r="115" spans="1:14" ht="13.5" thickTop="1" x14ac:dyDescent="0.2">
      <c r="A115" s="2171" t="s">
        <v>996</v>
      </c>
      <c r="B115" s="2172"/>
      <c r="C115" s="617"/>
      <c r="D115" s="617"/>
      <c r="E115" s="617"/>
      <c r="F115" s="617"/>
      <c r="G115" s="617"/>
      <c r="H115" s="617"/>
      <c r="I115" s="617"/>
      <c r="J115" s="617"/>
      <c r="K115" s="1678">
        <f>'Revenues 9-14'!C268-'Expenditures 15-22'!K114</f>
        <v>472368</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6" t="s">
        <v>296</v>
      </c>
      <c r="B117" s="2177"/>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2054</v>
      </c>
      <c r="B120" s="627" t="s">
        <v>716</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2968</v>
      </c>
      <c r="F123" s="466">
        <v>0</v>
      </c>
      <c r="G123" s="466">
        <v>698229</v>
      </c>
      <c r="H123" s="466">
        <v>0</v>
      </c>
      <c r="I123" s="466">
        <v>0</v>
      </c>
      <c r="J123" s="466">
        <v>0</v>
      </c>
      <c r="K123" s="1664">
        <f>SUM(C123:J123)</f>
        <v>701197</v>
      </c>
      <c r="L123" s="466">
        <v>684310</v>
      </c>
    </row>
    <row r="124" spans="1:14" ht="14.25" thickTop="1" thickBot="1" x14ac:dyDescent="0.25">
      <c r="A124" s="1502" t="s">
        <v>197</v>
      </c>
      <c r="B124" s="613">
        <v>2540</v>
      </c>
      <c r="C124" s="466">
        <v>0</v>
      </c>
      <c r="D124" s="466">
        <v>0</v>
      </c>
      <c r="E124" s="466">
        <v>145783</v>
      </c>
      <c r="F124" s="466">
        <v>409944</v>
      </c>
      <c r="G124" s="466">
        <v>13794</v>
      </c>
      <c r="H124" s="466">
        <v>0</v>
      </c>
      <c r="I124" s="466">
        <v>0</v>
      </c>
      <c r="J124" s="466">
        <v>0</v>
      </c>
      <c r="K124" s="1664">
        <f>SUM(C124:J124)</f>
        <v>569521</v>
      </c>
      <c r="L124" s="466">
        <v>658612</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719</v>
      </c>
      <c r="B127" s="1663" t="s">
        <v>35</v>
      </c>
      <c r="C127" s="1664">
        <f>SUM(C122:C126)</f>
        <v>0</v>
      </c>
      <c r="D127" s="1664">
        <f t="shared" ref="D127:L127" si="14">SUM(D122:D126)</f>
        <v>0</v>
      </c>
      <c r="E127" s="1664">
        <f t="shared" si="14"/>
        <v>148751</v>
      </c>
      <c r="F127" s="1664">
        <f t="shared" si="14"/>
        <v>409944</v>
      </c>
      <c r="G127" s="1664">
        <f t="shared" si="14"/>
        <v>712023</v>
      </c>
      <c r="H127" s="1664">
        <f t="shared" si="14"/>
        <v>0</v>
      </c>
      <c r="I127" s="1664">
        <f t="shared" si="14"/>
        <v>0</v>
      </c>
      <c r="J127" s="1664">
        <f t="shared" si="14"/>
        <v>0</v>
      </c>
      <c r="K127" s="1664">
        <f t="shared" si="14"/>
        <v>1270718</v>
      </c>
      <c r="L127" s="1664">
        <f t="shared" si="14"/>
        <v>1342922</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811</v>
      </c>
      <c r="B129" s="1681" t="s">
        <v>569</v>
      </c>
      <c r="C129" s="1671">
        <f>SUM(C120,C127,C128)</f>
        <v>0</v>
      </c>
      <c r="D129" s="1671">
        <f t="shared" ref="D129:L129" si="15">SUM(D120,D127,D128)</f>
        <v>0</v>
      </c>
      <c r="E129" s="1671">
        <f t="shared" si="15"/>
        <v>148751</v>
      </c>
      <c r="F129" s="1671">
        <f t="shared" si="15"/>
        <v>409944</v>
      </c>
      <c r="G129" s="1671">
        <f t="shared" si="15"/>
        <v>712023</v>
      </c>
      <c r="H129" s="1671">
        <f t="shared" si="15"/>
        <v>0</v>
      </c>
      <c r="I129" s="1671">
        <f t="shared" si="15"/>
        <v>0</v>
      </c>
      <c r="J129" s="1671">
        <f t="shared" si="15"/>
        <v>0</v>
      </c>
      <c r="K129" s="1671">
        <f t="shared" si="15"/>
        <v>1270718</v>
      </c>
      <c r="L129" s="1671">
        <f t="shared" si="15"/>
        <v>1342922</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1840</v>
      </c>
      <c r="C133" s="468"/>
      <c r="D133" s="468"/>
      <c r="E133" s="466" t="s">
        <v>1169</v>
      </c>
      <c r="F133" s="468"/>
      <c r="G133" s="468"/>
      <c r="H133" s="466" t="s">
        <v>1169</v>
      </c>
      <c r="I133" s="468"/>
      <c r="J133" s="468"/>
      <c r="K133" s="1815">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6">
        <f>SUM(E134,H134)</f>
        <v>0</v>
      </c>
      <c r="L134" s="568">
        <v>0</v>
      </c>
    </row>
    <row r="135" spans="1:14" x14ac:dyDescent="0.2">
      <c r="A135" s="1502" t="s">
        <v>697</v>
      </c>
      <c r="B135" s="613">
        <v>4140</v>
      </c>
      <c r="C135" s="615"/>
      <c r="D135" s="615"/>
      <c r="E135" s="466">
        <v>0</v>
      </c>
      <c r="F135" s="615"/>
      <c r="G135" s="615"/>
      <c r="H135" s="466">
        <v>0</v>
      </c>
      <c r="I135" s="477"/>
      <c r="J135" s="615"/>
      <c r="K135" s="1666">
        <f>SUM(E135,H135)</f>
        <v>0</v>
      </c>
      <c r="L135" s="466">
        <v>0</v>
      </c>
    </row>
    <row r="136" spans="1:14" x14ac:dyDescent="0.2">
      <c r="A136" s="1506" t="s">
        <v>698</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v>0</v>
      </c>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1170</v>
      </c>
      <c r="B144" s="627" t="s">
        <v>617</v>
      </c>
      <c r="C144" s="615"/>
      <c r="D144" s="615"/>
      <c r="E144" s="615"/>
      <c r="F144" s="615"/>
      <c r="G144" s="615"/>
      <c r="H144" s="466">
        <v>0</v>
      </c>
      <c r="I144" s="468"/>
      <c r="J144" s="615"/>
      <c r="K144" s="1666">
        <f>SUM(H144)</f>
        <v>0</v>
      </c>
      <c r="L144" s="466">
        <v>0</v>
      </c>
    </row>
    <row r="145" spans="1:14" x14ac:dyDescent="0.2">
      <c r="A145" s="1502" t="s">
        <v>89</v>
      </c>
      <c r="B145" s="613" t="s">
        <v>589</v>
      </c>
      <c r="C145" s="615"/>
      <c r="D145" s="615"/>
      <c r="E145" s="615"/>
      <c r="F145" s="615"/>
      <c r="G145" s="615"/>
      <c r="H145" s="466">
        <v>0</v>
      </c>
      <c r="I145" s="468"/>
      <c r="J145" s="615"/>
      <c r="K145" s="1666">
        <f>SUM(H145)</f>
        <v>0</v>
      </c>
      <c r="L145" s="466">
        <v>0</v>
      </c>
    </row>
    <row r="146" spans="1:14" ht="12.75" customHeight="1" x14ac:dyDescent="0.2">
      <c r="A146" s="1502" t="s">
        <v>619</v>
      </c>
      <c r="B146" s="613" t="s">
        <v>618</v>
      </c>
      <c r="C146" s="615"/>
      <c r="D146" s="615"/>
      <c r="E146" s="615"/>
      <c r="F146" s="615"/>
      <c r="G146" s="615"/>
      <c r="H146" s="466">
        <v>0</v>
      </c>
      <c r="I146" s="468"/>
      <c r="J146" s="615"/>
      <c r="K146" s="1666">
        <f>SUM(H146)</f>
        <v>0</v>
      </c>
      <c r="L146" s="466">
        <v>0</v>
      </c>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v>0</v>
      </c>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88" t="s">
        <v>620</v>
      </c>
      <c r="B151" s="2168"/>
      <c r="C151" s="1664">
        <f>SUM(C129,C130,C139,C149,C150)</f>
        <v>0</v>
      </c>
      <c r="D151" s="1664">
        <f t="shared" ref="D151:K151" si="16">SUM(D129,D130,D139,D149,D150)</f>
        <v>0</v>
      </c>
      <c r="E151" s="1664">
        <f t="shared" si="16"/>
        <v>148751</v>
      </c>
      <c r="F151" s="1664">
        <f t="shared" si="16"/>
        <v>409944</v>
      </c>
      <c r="G151" s="1664">
        <f t="shared" si="16"/>
        <v>712023</v>
      </c>
      <c r="H151" s="1664">
        <f t="shared" si="16"/>
        <v>0</v>
      </c>
      <c r="I151" s="1664">
        <f t="shared" si="16"/>
        <v>0</v>
      </c>
      <c r="J151" s="1664">
        <f t="shared" si="16"/>
        <v>0</v>
      </c>
      <c r="K151" s="1664">
        <f t="shared" si="16"/>
        <v>1270718</v>
      </c>
      <c r="L151" s="1664">
        <f>SUM(L129,L130,L139,L149,L150)</f>
        <v>1342922</v>
      </c>
    </row>
    <row r="152" spans="1:14" ht="12.75" customHeight="1" thickTop="1" x14ac:dyDescent="0.2">
      <c r="A152" s="2191" t="s">
        <v>1178</v>
      </c>
      <c r="B152" s="2192"/>
      <c r="C152" s="617"/>
      <c r="D152" s="617"/>
      <c r="E152" s="617"/>
      <c r="F152" s="617"/>
      <c r="G152" s="617"/>
      <c r="H152" s="617"/>
      <c r="I152" s="617"/>
      <c r="J152" s="615"/>
      <c r="K152" s="1678">
        <f>'Revenues 9-14'!D268-'Expenditures 15-22'!K151</f>
        <v>-102701</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6" t="s">
        <v>621</v>
      </c>
      <c r="B154" s="2178"/>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1841</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1840</v>
      </c>
      <c r="C157" s="615"/>
      <c r="D157" s="615"/>
      <c r="E157" s="615"/>
      <c r="F157" s="615"/>
      <c r="G157" s="615"/>
      <c r="H157" s="639" t="s">
        <v>1169</v>
      </c>
      <c r="I157" s="615"/>
      <c r="J157" s="615"/>
      <c r="K157" s="1665" t="str">
        <f>H157</f>
        <v xml:space="preserve"> </v>
      </c>
      <c r="L157" s="467">
        <v>0</v>
      </c>
      <c r="M157" s="618"/>
      <c r="N157" s="618"/>
    </row>
    <row r="158" spans="1:14" s="619" customFormat="1" ht="12" x14ac:dyDescent="0.2">
      <c r="A158" s="1820" t="s">
        <v>304</v>
      </c>
      <c r="B158" s="1821" t="s">
        <v>1842</v>
      </c>
      <c r="C158" s="615"/>
      <c r="D158" s="615"/>
      <c r="E158" s="615"/>
      <c r="F158" s="615"/>
      <c r="G158" s="615"/>
      <c r="H158" s="467" t="s">
        <v>1169</v>
      </c>
      <c r="I158" s="615"/>
      <c r="J158" s="615"/>
      <c r="K158" s="1665" t="str">
        <f>H158</f>
        <v xml:space="preserve"> </v>
      </c>
      <c r="L158" s="467">
        <v>0</v>
      </c>
      <c r="M158" s="618"/>
      <c r="N158" s="618"/>
    </row>
    <row r="159" spans="1:14" s="619" customFormat="1" ht="12" x14ac:dyDescent="0.2">
      <c r="A159" s="1820" t="s">
        <v>1843</v>
      </c>
      <c r="B159" s="1821" t="s">
        <v>558</v>
      </c>
      <c r="C159" s="615"/>
      <c r="D159" s="615"/>
      <c r="E159" s="615"/>
      <c r="F159" s="615"/>
      <c r="G159" s="615"/>
      <c r="H159" s="467" t="s">
        <v>1169</v>
      </c>
      <c r="I159" s="615"/>
      <c r="J159" s="615"/>
      <c r="K159" s="1665" t="str">
        <f>H159</f>
        <v xml:space="preserve"> </v>
      </c>
      <c r="L159" s="467">
        <v>0</v>
      </c>
      <c r="M159" s="618"/>
      <c r="N159" s="618"/>
    </row>
    <row r="160" spans="1:14" s="619" customFormat="1" ht="15.75" customHeight="1" thickBot="1" x14ac:dyDescent="0.25">
      <c r="A160" s="1822" t="s">
        <v>1844</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1170</v>
      </c>
      <c r="B165" s="613" t="s">
        <v>617</v>
      </c>
      <c r="C165" s="615"/>
      <c r="D165" s="615"/>
      <c r="E165" s="615"/>
      <c r="F165" s="615"/>
      <c r="G165" s="615"/>
      <c r="H165" s="466">
        <v>0</v>
      </c>
      <c r="I165" s="615"/>
      <c r="J165" s="615"/>
      <c r="K165" s="1665">
        <f>SUM(C165:J165)</f>
        <v>0</v>
      </c>
      <c r="L165" s="466">
        <v>0</v>
      </c>
    </row>
    <row r="166" spans="1:14" x14ac:dyDescent="0.2">
      <c r="A166" s="1502" t="s">
        <v>89</v>
      </c>
      <c r="B166" s="627" t="s">
        <v>589</v>
      </c>
      <c r="C166" s="615"/>
      <c r="D166" s="615"/>
      <c r="E166" s="615"/>
      <c r="F166" s="615"/>
      <c r="G166" s="615"/>
      <c r="H166" s="466">
        <v>0</v>
      </c>
      <c r="I166" s="615"/>
      <c r="J166" s="615"/>
      <c r="K166" s="1665">
        <f>SUM(C166:J166)</f>
        <v>0</v>
      </c>
      <c r="L166" s="466">
        <v>0</v>
      </c>
    </row>
    <row r="167" spans="1:14" ht="12.75" customHeight="1" x14ac:dyDescent="0.2">
      <c r="A167" s="1502" t="s">
        <v>619</v>
      </c>
      <c r="B167" s="613" t="s">
        <v>618</v>
      </c>
      <c r="C167" s="615"/>
      <c r="D167" s="615"/>
      <c r="E167" s="615"/>
      <c r="F167" s="615"/>
      <c r="G167" s="615"/>
      <c r="H167" s="466">
        <v>0</v>
      </c>
      <c r="I167" s="615"/>
      <c r="J167" s="615"/>
      <c r="K167" s="1665">
        <f>SUM(C167:J167)</f>
        <v>0</v>
      </c>
      <c r="L167" s="466">
        <v>0</v>
      </c>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393787</v>
      </c>
      <c r="I169" s="615"/>
      <c r="J169" s="615"/>
      <c r="K169" s="1665">
        <f>SUM(C169:H169)</f>
        <v>393787</v>
      </c>
      <c r="L169" s="654">
        <v>0</v>
      </c>
    </row>
    <row r="170" spans="1:14" ht="33.75" customHeight="1" x14ac:dyDescent="0.2">
      <c r="A170" s="667" t="s">
        <v>1670</v>
      </c>
      <c r="B170" s="669" t="s">
        <v>31</v>
      </c>
      <c r="C170" s="615"/>
      <c r="D170" s="615"/>
      <c r="E170" s="615"/>
      <c r="F170" s="615"/>
      <c r="G170" s="615"/>
      <c r="H170" s="568">
        <v>1115400</v>
      </c>
      <c r="I170" s="615"/>
      <c r="J170" s="615"/>
      <c r="K170" s="1665">
        <f>SUM(C170:J170)</f>
        <v>1115400</v>
      </c>
      <c r="L170" s="568">
        <v>1510438</v>
      </c>
    </row>
    <row r="171" spans="1:14" ht="15.75" customHeight="1" x14ac:dyDescent="0.2">
      <c r="A171" s="620" t="s">
        <v>766</v>
      </c>
      <c r="B171" s="670" t="s">
        <v>84</v>
      </c>
      <c r="C171" s="615"/>
      <c r="D171" s="615"/>
      <c r="E171" s="466">
        <v>1250</v>
      </c>
      <c r="F171" s="615"/>
      <c r="G171" s="615"/>
      <c r="H171" s="568">
        <v>0</v>
      </c>
      <c r="I171" s="477"/>
      <c r="J171" s="615"/>
      <c r="K171" s="1665">
        <f>SUM(C171:J171)</f>
        <v>1250</v>
      </c>
      <c r="L171" s="568">
        <v>0</v>
      </c>
    </row>
    <row r="172" spans="1:14" ht="12.75" customHeight="1" thickBot="1" x14ac:dyDescent="0.25">
      <c r="A172" s="1662" t="s">
        <v>638</v>
      </c>
      <c r="B172" s="1663" t="s">
        <v>492</v>
      </c>
      <c r="C172" s="615"/>
      <c r="D172" s="615"/>
      <c r="E172" s="1671">
        <f>SUM(E168,E169,E170,E171)</f>
        <v>1250</v>
      </c>
      <c r="F172" s="615"/>
      <c r="G172" s="615"/>
      <c r="H172" s="1671">
        <f>SUM(H168,H169,H170,H171)</f>
        <v>1509187</v>
      </c>
      <c r="I172" s="636"/>
      <c r="J172" s="615"/>
      <c r="K172" s="1671">
        <f>SUM(K168,K169,K170,K171)</f>
        <v>1510437</v>
      </c>
      <c r="L172" s="1671">
        <f>SUM(L168,L169,L170,L171)</f>
        <v>1510438</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1250</v>
      </c>
      <c r="F174" s="615"/>
      <c r="G174" s="615"/>
      <c r="H174" s="1671">
        <f>SUM(H160,H172,H173)</f>
        <v>1509187</v>
      </c>
      <c r="I174" s="636"/>
      <c r="J174" s="615"/>
      <c r="K174" s="1671">
        <f>SUM(K160,K172,K173)</f>
        <v>1510437</v>
      </c>
      <c r="L174" s="1671">
        <f>SUM(L160,L172,L173)</f>
        <v>1510438</v>
      </c>
    </row>
    <row r="175" spans="1:14" ht="13.5" thickTop="1" x14ac:dyDescent="0.2">
      <c r="A175" s="2171" t="s">
        <v>996</v>
      </c>
      <c r="B175" s="2172"/>
      <c r="C175" s="615"/>
      <c r="D175" s="615"/>
      <c r="E175" s="615"/>
      <c r="F175" s="615"/>
      <c r="G175" s="615"/>
      <c r="H175" s="617"/>
      <c r="I175" s="615"/>
      <c r="J175" s="615"/>
      <c r="K175" s="1678">
        <f>'Revenues 9-14'!E268-'Expenditures 15-22'!K174</f>
        <v>1232</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2054</v>
      </c>
      <c r="B180" s="613" t="s">
        <v>716</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430435</v>
      </c>
      <c r="D182" s="466">
        <v>19160</v>
      </c>
      <c r="E182" s="466">
        <v>74357</v>
      </c>
      <c r="F182" s="466">
        <v>100893</v>
      </c>
      <c r="G182" s="466">
        <v>95267</v>
      </c>
      <c r="H182" s="466">
        <v>0</v>
      </c>
      <c r="I182" s="466">
        <v>0</v>
      </c>
      <c r="J182" s="466">
        <v>0</v>
      </c>
      <c r="K182" s="1665">
        <f>SUM(C182:J182)</f>
        <v>720112</v>
      </c>
      <c r="L182" s="466">
        <v>738868</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811</v>
      </c>
      <c r="B184" s="1663" t="s">
        <v>569</v>
      </c>
      <c r="C184" s="1671">
        <f>SUM(C180,C182,C183)</f>
        <v>430435</v>
      </c>
      <c r="D184" s="1671">
        <f t="shared" ref="D184:J184" si="17">SUM(D180,D182,D183)</f>
        <v>19160</v>
      </c>
      <c r="E184" s="1671">
        <f t="shared" si="17"/>
        <v>74357</v>
      </c>
      <c r="F184" s="1671">
        <f t="shared" si="17"/>
        <v>100893</v>
      </c>
      <c r="G184" s="1671">
        <f t="shared" si="17"/>
        <v>95267</v>
      </c>
      <c r="H184" s="1671">
        <f t="shared" si="17"/>
        <v>0</v>
      </c>
      <c r="I184" s="1671">
        <f t="shared" si="17"/>
        <v>0</v>
      </c>
      <c r="J184" s="1671">
        <f t="shared" si="17"/>
        <v>0</v>
      </c>
      <c r="K184" s="1671">
        <f>SUM(K180,K182,K183)</f>
        <v>720112</v>
      </c>
      <c r="L184" s="1671">
        <f>SUM(L180, L182:L183)</f>
        <v>738868</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v>0</v>
      </c>
    </row>
    <row r="189" spans="1:14" x14ac:dyDescent="0.2">
      <c r="A189" s="1502" t="s">
        <v>304</v>
      </c>
      <c r="B189" s="613">
        <v>4120</v>
      </c>
      <c r="C189" s="615"/>
      <c r="D189" s="615"/>
      <c r="E189" s="466">
        <v>0</v>
      </c>
      <c r="F189" s="615"/>
      <c r="G189" s="615"/>
      <c r="H189" s="466">
        <v>0</v>
      </c>
      <c r="I189" s="477"/>
      <c r="J189" s="615"/>
      <c r="K189" s="1665">
        <f t="shared" si="18"/>
        <v>0</v>
      </c>
      <c r="L189" s="466">
        <v>0</v>
      </c>
    </row>
    <row r="190" spans="1:14" x14ac:dyDescent="0.2">
      <c r="A190" s="1502" t="s">
        <v>305</v>
      </c>
      <c r="B190" s="627">
        <v>4130</v>
      </c>
      <c r="C190" s="615"/>
      <c r="D190" s="615"/>
      <c r="E190" s="466">
        <v>0</v>
      </c>
      <c r="F190" s="615"/>
      <c r="G190" s="615"/>
      <c r="H190" s="466">
        <v>0</v>
      </c>
      <c r="I190" s="477"/>
      <c r="J190" s="615"/>
      <c r="K190" s="1665">
        <f t="shared" si="18"/>
        <v>0</v>
      </c>
      <c r="L190" s="466">
        <v>0</v>
      </c>
    </row>
    <row r="191" spans="1:14" x14ac:dyDescent="0.2">
      <c r="A191" s="1502" t="s">
        <v>697</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698</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v>0</v>
      </c>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1170</v>
      </c>
      <c r="B201" s="627" t="s">
        <v>617</v>
      </c>
      <c r="C201" s="615"/>
      <c r="D201" s="615"/>
      <c r="E201" s="615"/>
      <c r="F201" s="615"/>
      <c r="G201" s="615"/>
      <c r="H201" s="466">
        <v>0</v>
      </c>
      <c r="I201" s="615"/>
      <c r="J201" s="615"/>
      <c r="K201" s="1665">
        <f>SUM(H201)</f>
        <v>0</v>
      </c>
      <c r="L201" s="466">
        <v>0</v>
      </c>
    </row>
    <row r="202" spans="1:14" x14ac:dyDescent="0.2">
      <c r="A202" s="1502" t="s">
        <v>89</v>
      </c>
      <c r="B202" s="613" t="s">
        <v>589</v>
      </c>
      <c r="C202" s="615"/>
      <c r="D202" s="615"/>
      <c r="E202" s="615"/>
      <c r="F202" s="615"/>
      <c r="G202" s="615"/>
      <c r="H202" s="466">
        <v>0</v>
      </c>
      <c r="I202" s="615"/>
      <c r="J202" s="615"/>
      <c r="K202" s="1665">
        <f>SUM(H202)</f>
        <v>0</v>
      </c>
      <c r="L202" s="466">
        <v>0</v>
      </c>
    </row>
    <row r="203" spans="1:14" x14ac:dyDescent="0.2">
      <c r="A203" s="1514" t="s">
        <v>619</v>
      </c>
      <c r="B203" s="613" t="s">
        <v>618</v>
      </c>
      <c r="C203" s="615"/>
      <c r="D203" s="615"/>
      <c r="E203" s="615"/>
      <c r="F203" s="615"/>
      <c r="G203" s="615"/>
      <c r="H203" s="471">
        <v>0</v>
      </c>
      <c r="I203" s="615"/>
      <c r="J203" s="615"/>
      <c r="K203" s="1665">
        <f>SUM(H203)</f>
        <v>0</v>
      </c>
      <c r="L203" s="471">
        <v>0</v>
      </c>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v>0</v>
      </c>
    </row>
    <row r="206" spans="1:14" ht="30" customHeight="1" x14ac:dyDescent="0.2">
      <c r="A206" s="679" t="s">
        <v>1671</v>
      </c>
      <c r="B206" s="670" t="s">
        <v>31</v>
      </c>
      <c r="C206" s="615"/>
      <c r="D206" s="615"/>
      <c r="E206" s="615"/>
      <c r="F206" s="615"/>
      <c r="G206" s="615"/>
      <c r="H206" s="471">
        <v>0</v>
      </c>
      <c r="I206" s="615"/>
      <c r="J206" s="615"/>
      <c r="K206" s="1665">
        <f>SUM(H206)</f>
        <v>0</v>
      </c>
      <c r="L206" s="466">
        <v>0</v>
      </c>
    </row>
    <row r="207" spans="1:14" ht="15.75" customHeight="1" x14ac:dyDescent="0.2">
      <c r="A207" s="620" t="s">
        <v>766</v>
      </c>
      <c r="B207" s="670" t="s">
        <v>84</v>
      </c>
      <c r="C207" s="615"/>
      <c r="D207" s="615"/>
      <c r="E207" s="615"/>
      <c r="F207" s="615"/>
      <c r="G207" s="615"/>
      <c r="H207" s="471">
        <v>0</v>
      </c>
      <c r="I207" s="615"/>
      <c r="J207" s="615"/>
      <c r="K207" s="1665">
        <f>H207</f>
        <v>0</v>
      </c>
      <c r="L207" s="466">
        <v>0</v>
      </c>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6" t="s">
        <v>277</v>
      </c>
      <c r="B210" s="1687"/>
      <c r="C210" s="1664">
        <f>SUM(C184,C185)</f>
        <v>430435</v>
      </c>
      <c r="D210" s="1664">
        <f>SUM(D184,D185)</f>
        <v>19160</v>
      </c>
      <c r="E210" s="1664">
        <f>SUM(E184,E185,E196)</f>
        <v>74357</v>
      </c>
      <c r="F210" s="1664">
        <f>SUM(F184,F185)</f>
        <v>100893</v>
      </c>
      <c r="G210" s="1664">
        <f>SUM(G184,G185)</f>
        <v>95267</v>
      </c>
      <c r="H210" s="1664">
        <f>SUM(H184,H185,H196,H208,H209)</f>
        <v>0</v>
      </c>
      <c r="I210" s="1664">
        <f>SUM(I184,I185)</f>
        <v>0</v>
      </c>
      <c r="J210" s="1664">
        <f>SUM(J184,J185)</f>
        <v>0</v>
      </c>
      <c r="K210" s="1665">
        <f>SUM(K184,K185,K196,K208,K209)</f>
        <v>720112</v>
      </c>
      <c r="L210" s="1664">
        <f>SUM(L184,L185,L196,L208,L209)</f>
        <v>738868</v>
      </c>
    </row>
    <row r="211" spans="1:14" ht="13.5" thickTop="1" x14ac:dyDescent="0.2">
      <c r="A211" s="2171" t="s">
        <v>996</v>
      </c>
      <c r="B211" s="2172"/>
      <c r="C211" s="617"/>
      <c r="D211" s="617"/>
      <c r="E211" s="617"/>
      <c r="F211" s="617"/>
      <c r="G211" s="617"/>
      <c r="H211" s="617"/>
      <c r="I211" s="615"/>
      <c r="J211" s="615"/>
      <c r="K211" s="1678">
        <f>'Revenues 9-14'!F268-'Expenditures 15-22'!K210</f>
        <v>47367</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93" t="s">
        <v>965</v>
      </c>
      <c r="B213" s="2194"/>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59491</v>
      </c>
      <c r="E215" s="615"/>
      <c r="F215" s="615"/>
      <c r="G215" s="615"/>
      <c r="H215" s="615"/>
      <c r="I215" s="615"/>
      <c r="J215" s="615"/>
      <c r="K215" s="1665">
        <f>D215</f>
        <v>59491</v>
      </c>
      <c r="L215" s="466">
        <v>45329</v>
      </c>
    </row>
    <row r="216" spans="1:14" x14ac:dyDescent="0.2">
      <c r="A216" s="1502" t="s">
        <v>163</v>
      </c>
      <c r="B216" s="613" t="s">
        <v>967</v>
      </c>
      <c r="C216" s="615"/>
      <c r="D216" s="467">
        <v>11749</v>
      </c>
      <c r="E216" s="615"/>
      <c r="F216" s="615"/>
      <c r="G216" s="615"/>
      <c r="H216" s="615"/>
      <c r="I216" s="615"/>
      <c r="J216" s="615"/>
      <c r="K216" s="1665">
        <f t="shared" ref="K216:K228" si="19">D216</f>
        <v>11749</v>
      </c>
      <c r="L216" s="466">
        <v>23165</v>
      </c>
    </row>
    <row r="217" spans="1:14" x14ac:dyDescent="0.2">
      <c r="A217" s="1502" t="s">
        <v>164</v>
      </c>
      <c r="B217" s="613">
        <v>1200</v>
      </c>
      <c r="C217" s="615"/>
      <c r="D217" s="466">
        <v>62790</v>
      </c>
      <c r="E217" s="615"/>
      <c r="F217" s="615"/>
      <c r="G217" s="615"/>
      <c r="H217" s="615"/>
      <c r="I217" s="615"/>
      <c r="J217" s="615"/>
      <c r="K217" s="1665">
        <f t="shared" si="19"/>
        <v>62790</v>
      </c>
      <c r="L217" s="466">
        <v>69319</v>
      </c>
    </row>
    <row r="218" spans="1:14" x14ac:dyDescent="0.2">
      <c r="A218" s="1502" t="s">
        <v>278</v>
      </c>
      <c r="B218" s="613" t="s">
        <v>968</v>
      </c>
      <c r="C218" s="615"/>
      <c r="D218" s="467">
        <v>0</v>
      </c>
      <c r="E218" s="615"/>
      <c r="F218" s="615"/>
      <c r="G218" s="615"/>
      <c r="H218" s="615"/>
      <c r="I218" s="615"/>
      <c r="J218" s="615"/>
      <c r="K218" s="1665">
        <f t="shared" si="19"/>
        <v>0</v>
      </c>
      <c r="L218" s="466">
        <v>0</v>
      </c>
    </row>
    <row r="219" spans="1:14" x14ac:dyDescent="0.2">
      <c r="A219" s="1502" t="s">
        <v>279</v>
      </c>
      <c r="B219" s="613">
        <v>1250</v>
      </c>
      <c r="C219" s="615"/>
      <c r="D219" s="466">
        <v>11708</v>
      </c>
      <c r="E219" s="615"/>
      <c r="F219" s="615"/>
      <c r="G219" s="615"/>
      <c r="H219" s="615"/>
      <c r="I219" s="615"/>
      <c r="J219" s="615"/>
      <c r="K219" s="1665">
        <f t="shared" si="19"/>
        <v>11708</v>
      </c>
      <c r="L219" s="466">
        <v>17258</v>
      </c>
    </row>
    <row r="220" spans="1:14" x14ac:dyDescent="0.2">
      <c r="A220" s="1502" t="s">
        <v>280</v>
      </c>
      <c r="B220" s="613" t="s">
        <v>161</v>
      </c>
      <c r="C220" s="615"/>
      <c r="D220" s="467">
        <v>0</v>
      </c>
      <c r="E220" s="615"/>
      <c r="F220" s="615"/>
      <c r="G220" s="615"/>
      <c r="H220" s="615"/>
      <c r="I220" s="615"/>
      <c r="J220" s="615"/>
      <c r="K220" s="1665">
        <f t="shared" si="19"/>
        <v>0</v>
      </c>
      <c r="L220" s="466">
        <v>0</v>
      </c>
    </row>
    <row r="221" spans="1:14" x14ac:dyDescent="0.2">
      <c r="A221" s="1502" t="s">
        <v>962</v>
      </c>
      <c r="B221" s="613">
        <v>1300</v>
      </c>
      <c r="C221" s="615"/>
      <c r="D221" s="466">
        <v>0</v>
      </c>
      <c r="E221" s="615"/>
      <c r="F221" s="615"/>
      <c r="G221" s="615"/>
      <c r="H221" s="615"/>
      <c r="I221" s="615"/>
      <c r="J221" s="615"/>
      <c r="K221" s="1665">
        <f t="shared" si="19"/>
        <v>0</v>
      </c>
      <c r="L221" s="466">
        <v>0</v>
      </c>
    </row>
    <row r="222" spans="1:14" x14ac:dyDescent="0.2">
      <c r="A222" s="1502" t="s">
        <v>723</v>
      </c>
      <c r="B222" s="613">
        <v>1400</v>
      </c>
      <c r="C222" s="615"/>
      <c r="D222" s="466">
        <v>10413</v>
      </c>
      <c r="E222" s="615"/>
      <c r="F222" s="615"/>
      <c r="G222" s="615"/>
      <c r="H222" s="615"/>
      <c r="I222" s="615"/>
      <c r="J222" s="615"/>
      <c r="K222" s="1665">
        <f t="shared" si="19"/>
        <v>10413</v>
      </c>
      <c r="L222" s="466">
        <v>10164</v>
      </c>
    </row>
    <row r="223" spans="1:14" x14ac:dyDescent="0.2">
      <c r="A223" s="1502" t="s">
        <v>963</v>
      </c>
      <c r="B223" s="613">
        <v>1500</v>
      </c>
      <c r="C223" s="615"/>
      <c r="D223" s="466">
        <v>9347</v>
      </c>
      <c r="E223" s="615"/>
      <c r="F223" s="615"/>
      <c r="G223" s="615"/>
      <c r="H223" s="615"/>
      <c r="I223" s="615"/>
      <c r="J223" s="615"/>
      <c r="K223" s="1665">
        <f t="shared" si="19"/>
        <v>9347</v>
      </c>
      <c r="L223" s="466">
        <v>10123</v>
      </c>
    </row>
    <row r="224" spans="1:14" x14ac:dyDescent="0.2">
      <c r="A224" s="1502" t="s">
        <v>964</v>
      </c>
      <c r="B224" s="613">
        <v>1600</v>
      </c>
      <c r="C224" s="615"/>
      <c r="D224" s="466">
        <v>0</v>
      </c>
      <c r="E224" s="615"/>
      <c r="F224" s="615"/>
      <c r="G224" s="615"/>
      <c r="H224" s="615"/>
      <c r="I224" s="615"/>
      <c r="J224" s="615"/>
      <c r="K224" s="1665">
        <f t="shared" si="19"/>
        <v>0</v>
      </c>
      <c r="L224" s="466">
        <v>0</v>
      </c>
    </row>
    <row r="225" spans="1:12" x14ac:dyDescent="0.2">
      <c r="A225" s="1502" t="s">
        <v>987</v>
      </c>
      <c r="B225" s="613">
        <v>1650</v>
      </c>
      <c r="C225" s="615"/>
      <c r="D225" s="466">
        <v>0</v>
      </c>
      <c r="E225" s="615"/>
      <c r="F225" s="615"/>
      <c r="G225" s="615"/>
      <c r="H225" s="615"/>
      <c r="I225" s="615"/>
      <c r="J225" s="615"/>
      <c r="K225" s="1665">
        <f t="shared" si="19"/>
        <v>0</v>
      </c>
      <c r="L225" s="466">
        <v>0</v>
      </c>
    </row>
    <row r="226" spans="1:12" x14ac:dyDescent="0.2">
      <c r="A226" s="1502" t="s">
        <v>724</v>
      </c>
      <c r="B226" s="613" t="s">
        <v>162</v>
      </c>
      <c r="C226" s="615"/>
      <c r="D226" s="467">
        <v>313</v>
      </c>
      <c r="E226" s="615"/>
      <c r="F226" s="615"/>
      <c r="G226" s="615"/>
      <c r="H226" s="615"/>
      <c r="I226" s="615"/>
      <c r="J226" s="615"/>
      <c r="K226" s="1665">
        <f t="shared" si="19"/>
        <v>313</v>
      </c>
      <c r="L226" s="466">
        <v>380</v>
      </c>
    </row>
    <row r="227" spans="1:12" x14ac:dyDescent="0.2">
      <c r="A227" s="1502" t="s">
        <v>1087</v>
      </c>
      <c r="B227" s="613">
        <v>1800</v>
      </c>
      <c r="C227" s="615"/>
      <c r="D227" s="466">
        <v>0</v>
      </c>
      <c r="E227" s="615"/>
      <c r="F227" s="615"/>
      <c r="G227" s="615"/>
      <c r="H227" s="615"/>
      <c r="I227" s="615"/>
      <c r="J227" s="615"/>
      <c r="K227" s="1665">
        <f t="shared" si="19"/>
        <v>0</v>
      </c>
      <c r="L227" s="466">
        <v>0</v>
      </c>
    </row>
    <row r="228" spans="1:12" x14ac:dyDescent="0.2">
      <c r="A228" s="1502" t="s">
        <v>1088</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715</v>
      </c>
      <c r="B229" s="1669" t="s">
        <v>570</v>
      </c>
      <c r="C229" s="615"/>
      <c r="D229" s="1664">
        <f>SUM(D215:D228)</f>
        <v>165811</v>
      </c>
      <c r="E229" s="615"/>
      <c r="F229" s="615"/>
      <c r="G229" s="615"/>
      <c r="H229" s="615"/>
      <c r="I229" s="615"/>
      <c r="J229" s="615"/>
      <c r="K229" s="1664">
        <f>SUM(K215:K228)</f>
        <v>165811</v>
      </c>
      <c r="L229" s="1664">
        <f>SUM(L215:L228)</f>
        <v>175738</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566</v>
      </c>
      <c r="E232" s="615"/>
      <c r="F232" s="615"/>
      <c r="G232" s="615"/>
      <c r="H232" s="615"/>
      <c r="I232" s="615"/>
      <c r="J232" s="615"/>
      <c r="K232" s="1665">
        <f t="shared" ref="K232:K237" si="20">D232</f>
        <v>566</v>
      </c>
      <c r="L232" s="466">
        <v>566</v>
      </c>
    </row>
    <row r="233" spans="1:12" x14ac:dyDescent="0.2">
      <c r="A233" s="1502" t="s">
        <v>1090</v>
      </c>
      <c r="B233" s="613">
        <v>2120</v>
      </c>
      <c r="C233" s="615"/>
      <c r="D233" s="466">
        <v>2280</v>
      </c>
      <c r="E233" s="615"/>
      <c r="F233" s="615"/>
      <c r="G233" s="615"/>
      <c r="H233" s="615"/>
      <c r="I233" s="615"/>
      <c r="J233" s="615"/>
      <c r="K233" s="1665">
        <f t="shared" si="20"/>
        <v>2280</v>
      </c>
      <c r="L233" s="466">
        <v>2314</v>
      </c>
    </row>
    <row r="234" spans="1:12" x14ac:dyDescent="0.2">
      <c r="A234" s="1502" t="s">
        <v>198</v>
      </c>
      <c r="B234" s="613">
        <v>2130</v>
      </c>
      <c r="C234" s="615"/>
      <c r="D234" s="466">
        <v>13040</v>
      </c>
      <c r="E234" s="615"/>
      <c r="F234" s="615"/>
      <c r="G234" s="615"/>
      <c r="H234" s="615"/>
      <c r="I234" s="615"/>
      <c r="J234" s="615"/>
      <c r="K234" s="1665">
        <f t="shared" si="20"/>
        <v>13040</v>
      </c>
      <c r="L234" s="466">
        <v>14570</v>
      </c>
    </row>
    <row r="235" spans="1:12" x14ac:dyDescent="0.2">
      <c r="A235" s="1502" t="s">
        <v>199</v>
      </c>
      <c r="B235" s="613">
        <v>2140</v>
      </c>
      <c r="C235" s="615"/>
      <c r="D235" s="466">
        <v>0</v>
      </c>
      <c r="E235" s="615"/>
      <c r="F235" s="615"/>
      <c r="G235" s="615"/>
      <c r="H235" s="615"/>
      <c r="I235" s="615"/>
      <c r="J235" s="615"/>
      <c r="K235" s="1665">
        <f t="shared" si="20"/>
        <v>0</v>
      </c>
      <c r="L235" s="466">
        <v>0</v>
      </c>
    </row>
    <row r="236" spans="1:12" x14ac:dyDescent="0.2">
      <c r="A236" s="1502" t="s">
        <v>200</v>
      </c>
      <c r="B236" s="613">
        <v>2150</v>
      </c>
      <c r="C236" s="615"/>
      <c r="D236" s="466">
        <v>2293</v>
      </c>
      <c r="E236" s="615"/>
      <c r="F236" s="615"/>
      <c r="G236" s="615"/>
      <c r="H236" s="615"/>
      <c r="I236" s="615"/>
      <c r="J236" s="615"/>
      <c r="K236" s="1665">
        <f t="shared" si="20"/>
        <v>2293</v>
      </c>
      <c r="L236" s="466">
        <v>2417</v>
      </c>
    </row>
    <row r="237" spans="1:12" x14ac:dyDescent="0.2">
      <c r="A237" s="1502" t="s">
        <v>165</v>
      </c>
      <c r="B237" s="613">
        <v>2190</v>
      </c>
      <c r="C237" s="615"/>
      <c r="D237" s="466">
        <v>0</v>
      </c>
      <c r="E237" s="615"/>
      <c r="F237" s="615"/>
      <c r="G237" s="615"/>
      <c r="H237" s="615"/>
      <c r="I237" s="615"/>
      <c r="J237" s="615"/>
      <c r="K237" s="1665">
        <f t="shared" si="20"/>
        <v>0</v>
      </c>
      <c r="L237" s="466">
        <v>0</v>
      </c>
    </row>
    <row r="238" spans="1:12" ht="12.75" customHeight="1" thickBot="1" x14ac:dyDescent="0.25">
      <c r="A238" s="1662" t="s">
        <v>560</v>
      </c>
      <c r="B238" s="1669" t="s">
        <v>716</v>
      </c>
      <c r="C238" s="615"/>
      <c r="D238" s="1664">
        <f>SUM(D232:D237)</f>
        <v>18179</v>
      </c>
      <c r="E238" s="615"/>
      <c r="F238" s="615"/>
      <c r="G238" s="615"/>
      <c r="H238" s="615"/>
      <c r="I238" s="615"/>
      <c r="J238" s="615"/>
      <c r="K238" s="1664">
        <f>SUM(K232:K237)</f>
        <v>18179</v>
      </c>
      <c r="L238" s="1664">
        <f>SUM(L232:L237)</f>
        <v>19867</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22911</v>
      </c>
      <c r="E240" s="615"/>
      <c r="F240" s="615"/>
      <c r="G240" s="615"/>
      <c r="H240" s="615"/>
      <c r="I240" s="615"/>
      <c r="J240" s="615"/>
      <c r="K240" s="1666">
        <f>D240</f>
        <v>22911</v>
      </c>
      <c r="L240" s="568">
        <v>0</v>
      </c>
    </row>
    <row r="241" spans="1:12" x14ac:dyDescent="0.2">
      <c r="A241" s="1502" t="s">
        <v>815</v>
      </c>
      <c r="B241" s="613">
        <v>2220</v>
      </c>
      <c r="C241" s="615"/>
      <c r="D241" s="466">
        <v>22559</v>
      </c>
      <c r="E241" s="615"/>
      <c r="F241" s="615"/>
      <c r="G241" s="615"/>
      <c r="H241" s="615"/>
      <c r="I241" s="615"/>
      <c r="J241" s="615"/>
      <c r="K241" s="1666">
        <f>D241</f>
        <v>22559</v>
      </c>
      <c r="L241" s="466">
        <v>18256</v>
      </c>
    </row>
    <row r="242" spans="1:12" x14ac:dyDescent="0.2">
      <c r="A242" s="1502" t="s">
        <v>816</v>
      </c>
      <c r="B242" s="613">
        <v>2230</v>
      </c>
      <c r="C242" s="615"/>
      <c r="D242" s="466">
        <v>0</v>
      </c>
      <c r="E242" s="615"/>
      <c r="F242" s="615"/>
      <c r="G242" s="615"/>
      <c r="H242" s="615"/>
      <c r="I242" s="615"/>
      <c r="J242" s="615"/>
      <c r="K242" s="1666">
        <f>D242</f>
        <v>0</v>
      </c>
      <c r="L242" s="466">
        <v>0</v>
      </c>
    </row>
    <row r="243" spans="1:12" ht="12.75" customHeight="1" thickBot="1" x14ac:dyDescent="0.25">
      <c r="A243" s="1688" t="s">
        <v>561</v>
      </c>
      <c r="B243" s="1689">
        <v>2200</v>
      </c>
      <c r="C243" s="615"/>
      <c r="D243" s="1664">
        <f>SUM(D240:D242)</f>
        <v>45470</v>
      </c>
      <c r="E243" s="615"/>
      <c r="F243" s="615"/>
      <c r="G243" s="615"/>
      <c r="H243" s="615"/>
      <c r="I243" s="615"/>
      <c r="J243" s="615"/>
      <c r="K243" s="1664">
        <f>SUM(K240:K242)</f>
        <v>45470</v>
      </c>
      <c r="L243" s="1664">
        <f>SUM(L240:L242)</f>
        <v>18256</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0</v>
      </c>
      <c r="E245" s="615"/>
      <c r="F245" s="615"/>
      <c r="G245" s="615"/>
      <c r="H245" s="615"/>
      <c r="I245" s="615"/>
      <c r="J245" s="615"/>
      <c r="K245" s="1666">
        <f>D245</f>
        <v>0</v>
      </c>
      <c r="L245" s="568">
        <v>0</v>
      </c>
    </row>
    <row r="246" spans="1:12" x14ac:dyDescent="0.2">
      <c r="A246" s="1502" t="s">
        <v>818</v>
      </c>
      <c r="B246" s="613">
        <v>2320</v>
      </c>
      <c r="C246" s="615"/>
      <c r="D246" s="466">
        <v>12404</v>
      </c>
      <c r="E246" s="615"/>
      <c r="F246" s="615"/>
      <c r="G246" s="615"/>
      <c r="H246" s="615"/>
      <c r="I246" s="615"/>
      <c r="J246" s="615"/>
      <c r="K246" s="1666">
        <f t="shared" ref="K246:K256" si="21">D246</f>
        <v>12404</v>
      </c>
      <c r="L246" s="466">
        <v>10891</v>
      </c>
    </row>
    <row r="247" spans="1:12" x14ac:dyDescent="0.2">
      <c r="A247" s="1502" t="s">
        <v>819</v>
      </c>
      <c r="B247" s="613">
        <v>2330</v>
      </c>
      <c r="C247" s="615"/>
      <c r="D247" s="466">
        <v>1356</v>
      </c>
      <c r="E247" s="615"/>
      <c r="F247" s="615"/>
      <c r="G247" s="615"/>
      <c r="H247" s="615"/>
      <c r="I247" s="615"/>
      <c r="J247" s="615"/>
      <c r="K247" s="1666">
        <f t="shared" si="21"/>
        <v>1356</v>
      </c>
      <c r="L247" s="466">
        <v>1309</v>
      </c>
    </row>
    <row r="248" spans="1:12" x14ac:dyDescent="0.2">
      <c r="A248" s="1503" t="s">
        <v>299</v>
      </c>
      <c r="B248" s="601" t="s">
        <v>281</v>
      </c>
      <c r="C248" s="615"/>
      <c r="D248" s="474">
        <v>0</v>
      </c>
      <c r="E248" s="615"/>
      <c r="F248" s="615"/>
      <c r="G248" s="615"/>
      <c r="H248" s="615"/>
      <c r="I248" s="615"/>
      <c r="J248" s="615"/>
      <c r="K248" s="1666">
        <f t="shared" si="21"/>
        <v>0</v>
      </c>
      <c r="L248" s="466">
        <v>0</v>
      </c>
    </row>
    <row r="249" spans="1:12" x14ac:dyDescent="0.2">
      <c r="A249" s="1504" t="s">
        <v>1801</v>
      </c>
      <c r="B249" s="681" t="s">
        <v>282</v>
      </c>
      <c r="C249" s="615"/>
      <c r="D249" s="474">
        <v>0</v>
      </c>
      <c r="E249" s="615"/>
      <c r="F249" s="615"/>
      <c r="G249" s="615"/>
      <c r="H249" s="615"/>
      <c r="I249" s="615"/>
      <c r="J249" s="615"/>
      <c r="K249" s="1666">
        <f t="shared" si="21"/>
        <v>0</v>
      </c>
      <c r="L249" s="466">
        <v>0</v>
      </c>
    </row>
    <row r="250" spans="1:12" x14ac:dyDescent="0.2">
      <c r="A250" s="1503" t="s">
        <v>1802</v>
      </c>
      <c r="B250" s="601" t="s">
        <v>283</v>
      </c>
      <c r="C250" s="615"/>
      <c r="D250" s="474">
        <v>0</v>
      </c>
      <c r="E250" s="615"/>
      <c r="F250" s="615"/>
      <c r="G250" s="615"/>
      <c r="H250" s="615"/>
      <c r="I250" s="615"/>
      <c r="J250" s="615"/>
      <c r="K250" s="1666">
        <f t="shared" si="21"/>
        <v>0</v>
      </c>
      <c r="L250" s="466">
        <v>0</v>
      </c>
    </row>
    <row r="251" spans="1:12" x14ac:dyDescent="0.2">
      <c r="A251" s="1503" t="s">
        <v>238</v>
      </c>
      <c r="B251" s="601" t="s">
        <v>284</v>
      </c>
      <c r="C251" s="615"/>
      <c r="D251" s="474">
        <v>0</v>
      </c>
      <c r="E251" s="615"/>
      <c r="F251" s="615"/>
      <c r="G251" s="615"/>
      <c r="H251" s="615"/>
      <c r="I251" s="615"/>
      <c r="J251" s="615"/>
      <c r="K251" s="1666">
        <f t="shared" si="21"/>
        <v>0</v>
      </c>
      <c r="L251" s="466">
        <v>0</v>
      </c>
    </row>
    <row r="252" spans="1:12" x14ac:dyDescent="0.2">
      <c r="A252" s="1503" t="s">
        <v>702</v>
      </c>
      <c r="B252" s="601" t="s">
        <v>285</v>
      </c>
      <c r="C252" s="615"/>
      <c r="D252" s="474">
        <v>0</v>
      </c>
      <c r="E252" s="615"/>
      <c r="F252" s="615"/>
      <c r="G252" s="615"/>
      <c r="H252" s="615"/>
      <c r="I252" s="615"/>
      <c r="J252" s="615"/>
      <c r="K252" s="1666">
        <f t="shared" si="21"/>
        <v>0</v>
      </c>
      <c r="L252" s="466">
        <v>0</v>
      </c>
    </row>
    <row r="253" spans="1:12" x14ac:dyDescent="0.2">
      <c r="A253" s="1503" t="s">
        <v>239</v>
      </c>
      <c r="B253" s="601" t="s">
        <v>286</v>
      </c>
      <c r="C253" s="615"/>
      <c r="D253" s="474">
        <v>0</v>
      </c>
      <c r="E253" s="615"/>
      <c r="F253" s="615"/>
      <c r="G253" s="615"/>
      <c r="H253" s="615"/>
      <c r="I253" s="615"/>
      <c r="J253" s="615"/>
      <c r="K253" s="1666">
        <f t="shared" si="21"/>
        <v>0</v>
      </c>
      <c r="L253" s="466">
        <v>0</v>
      </c>
    </row>
    <row r="254" spans="1:12" ht="22.5" x14ac:dyDescent="0.2">
      <c r="A254" s="1503" t="s">
        <v>1029</v>
      </c>
      <c r="B254" s="681" t="s">
        <v>287</v>
      </c>
      <c r="C254" s="615"/>
      <c r="D254" s="474">
        <v>0</v>
      </c>
      <c r="E254" s="615"/>
      <c r="F254" s="615"/>
      <c r="G254" s="615"/>
      <c r="H254" s="615"/>
      <c r="I254" s="615"/>
      <c r="J254" s="615"/>
      <c r="K254" s="1666">
        <f t="shared" si="21"/>
        <v>0</v>
      </c>
      <c r="L254" s="466">
        <v>0</v>
      </c>
    </row>
    <row r="255" spans="1:12" x14ac:dyDescent="0.2">
      <c r="A255" s="1503" t="s">
        <v>1030</v>
      </c>
      <c r="B255" s="601" t="s">
        <v>288</v>
      </c>
      <c r="C255" s="615"/>
      <c r="D255" s="474">
        <v>0</v>
      </c>
      <c r="E255" s="615"/>
      <c r="F255" s="615"/>
      <c r="G255" s="615"/>
      <c r="H255" s="615"/>
      <c r="I255" s="615"/>
      <c r="J255" s="615"/>
      <c r="K255" s="1666">
        <f t="shared" si="21"/>
        <v>0</v>
      </c>
      <c r="L255" s="466">
        <v>0</v>
      </c>
    </row>
    <row r="256" spans="1:12" x14ac:dyDescent="0.2">
      <c r="A256" s="1503" t="s">
        <v>971</v>
      </c>
      <c r="B256" s="613" t="s">
        <v>289</v>
      </c>
      <c r="C256" s="615"/>
      <c r="D256" s="474">
        <v>0</v>
      </c>
      <c r="E256" s="615"/>
      <c r="F256" s="615"/>
      <c r="G256" s="615"/>
      <c r="H256" s="615"/>
      <c r="I256" s="615"/>
      <c r="J256" s="615"/>
      <c r="K256" s="1666">
        <f t="shared" si="21"/>
        <v>0</v>
      </c>
      <c r="L256" s="466">
        <v>0</v>
      </c>
    </row>
    <row r="257" spans="1:14" ht="12.75" customHeight="1" thickBot="1" x14ac:dyDescent="0.25">
      <c r="A257" s="1662" t="s">
        <v>717</v>
      </c>
      <c r="B257" s="1690">
        <v>2300</v>
      </c>
      <c r="C257" s="615"/>
      <c r="D257" s="1664">
        <f>SUM(D245:D256)</f>
        <v>13760</v>
      </c>
      <c r="E257" s="615"/>
      <c r="F257" s="615"/>
      <c r="G257" s="615"/>
      <c r="H257" s="615"/>
      <c r="I257" s="615"/>
      <c r="J257" s="615"/>
      <c r="K257" s="1664">
        <f>SUM(K245:K256)</f>
        <v>13760</v>
      </c>
      <c r="L257" s="1664">
        <f>SUM(L245:L256)</f>
        <v>12200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38458</v>
      </c>
      <c r="E259" s="615"/>
      <c r="F259" s="615"/>
      <c r="G259" s="615"/>
      <c r="H259" s="615"/>
      <c r="I259" s="615"/>
      <c r="J259" s="615"/>
      <c r="K259" s="1666">
        <f>D259</f>
        <v>38458</v>
      </c>
      <c r="L259" s="568">
        <v>42257</v>
      </c>
    </row>
    <row r="260" spans="1:14" s="596" customFormat="1" x14ac:dyDescent="0.2">
      <c r="A260" s="1520" t="s">
        <v>1800</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38458</v>
      </c>
      <c r="E261" s="615"/>
      <c r="F261" s="615"/>
      <c r="G261" s="615"/>
      <c r="H261" s="615"/>
      <c r="I261" s="615"/>
      <c r="J261" s="615"/>
      <c r="K261" s="1664">
        <f>SUM(K259:K260)</f>
        <v>38458</v>
      </c>
      <c r="L261" s="1664">
        <f>SUM(L259:L260)</f>
        <v>42257</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v>0</v>
      </c>
    </row>
    <row r="264" spans="1:14" x14ac:dyDescent="0.2">
      <c r="A264" s="1502" t="s">
        <v>463</v>
      </c>
      <c r="B264" s="683">
        <v>2520</v>
      </c>
      <c r="C264" s="615"/>
      <c r="D264" s="466">
        <v>16092</v>
      </c>
      <c r="E264" s="615"/>
      <c r="F264" s="615"/>
      <c r="G264" s="615"/>
      <c r="H264" s="615"/>
      <c r="I264" s="615"/>
      <c r="J264" s="615"/>
      <c r="K264" s="1666">
        <f t="shared" ref="K264:K269" si="22">D264</f>
        <v>16092</v>
      </c>
      <c r="L264" s="466">
        <v>11691</v>
      </c>
    </row>
    <row r="265" spans="1:14" x14ac:dyDescent="0.2">
      <c r="A265" s="1502" t="s">
        <v>4</v>
      </c>
      <c r="B265" s="613">
        <v>2530</v>
      </c>
      <c r="C265" s="615"/>
      <c r="D265" s="466">
        <v>130</v>
      </c>
      <c r="E265" s="615"/>
      <c r="F265" s="615"/>
      <c r="G265" s="615"/>
      <c r="H265" s="615"/>
      <c r="I265" s="615"/>
      <c r="J265" s="615"/>
      <c r="K265" s="1666">
        <f t="shared" si="22"/>
        <v>130</v>
      </c>
      <c r="L265" s="466">
        <v>156</v>
      </c>
    </row>
    <row r="266" spans="1:14" x14ac:dyDescent="0.2">
      <c r="A266" s="1502" t="s">
        <v>197</v>
      </c>
      <c r="B266" s="613">
        <v>2540</v>
      </c>
      <c r="C266" s="615"/>
      <c r="D266" s="466">
        <v>125507</v>
      </c>
      <c r="E266" s="615"/>
      <c r="F266" s="615"/>
      <c r="G266" s="615"/>
      <c r="H266" s="615"/>
      <c r="I266" s="615"/>
      <c r="J266" s="615"/>
      <c r="K266" s="1666">
        <f t="shared" si="22"/>
        <v>125507</v>
      </c>
      <c r="L266" s="466">
        <v>134520</v>
      </c>
    </row>
    <row r="267" spans="1:14" x14ac:dyDescent="0.2">
      <c r="A267" s="1502" t="s">
        <v>953</v>
      </c>
      <c r="B267" s="613">
        <v>2550</v>
      </c>
      <c r="C267" s="615"/>
      <c r="D267" s="466">
        <v>73035</v>
      </c>
      <c r="E267" s="615"/>
      <c r="F267" s="615"/>
      <c r="G267" s="615"/>
      <c r="H267" s="615"/>
      <c r="I267" s="615"/>
      <c r="J267" s="615"/>
      <c r="K267" s="1666">
        <f t="shared" si="22"/>
        <v>73035</v>
      </c>
      <c r="L267" s="466">
        <v>72300</v>
      </c>
    </row>
    <row r="268" spans="1:14" x14ac:dyDescent="0.2">
      <c r="A268" s="1502" t="s">
        <v>100</v>
      </c>
      <c r="B268" s="613">
        <v>2560</v>
      </c>
      <c r="C268" s="615"/>
      <c r="D268" s="466">
        <v>45458</v>
      </c>
      <c r="E268" s="615"/>
      <c r="F268" s="615"/>
      <c r="G268" s="615"/>
      <c r="H268" s="615"/>
      <c r="I268" s="615"/>
      <c r="J268" s="615"/>
      <c r="K268" s="1666">
        <f t="shared" si="22"/>
        <v>45458</v>
      </c>
      <c r="L268" s="466">
        <v>55579</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719</v>
      </c>
      <c r="B270" s="1669" t="s">
        <v>35</v>
      </c>
      <c r="C270" s="615"/>
      <c r="D270" s="1664">
        <f>SUM(D263:D269)</f>
        <v>260222</v>
      </c>
      <c r="E270" s="615"/>
      <c r="F270" s="615"/>
      <c r="G270" s="615"/>
      <c r="H270" s="615"/>
      <c r="I270" s="615"/>
      <c r="J270" s="615"/>
      <c r="K270" s="1664">
        <f>SUM(K263:K269)</f>
        <v>260222</v>
      </c>
      <c r="L270" s="1664">
        <f>SUM(L263:L269)</f>
        <v>274246</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v>0</v>
      </c>
    </row>
    <row r="273" spans="1:12" x14ac:dyDescent="0.2">
      <c r="A273" s="1502" t="s">
        <v>607</v>
      </c>
      <c r="B273" s="627">
        <v>2620</v>
      </c>
      <c r="C273" s="615"/>
      <c r="D273" s="466">
        <v>0</v>
      </c>
      <c r="E273" s="615"/>
      <c r="F273" s="615"/>
      <c r="G273" s="615"/>
      <c r="H273" s="615"/>
      <c r="I273" s="615"/>
      <c r="J273" s="615"/>
      <c r="K273" s="1666">
        <f>D273</f>
        <v>0</v>
      </c>
      <c r="L273" s="466">
        <v>0</v>
      </c>
    </row>
    <row r="274" spans="1:12" ht="12" customHeight="1" x14ac:dyDescent="0.2">
      <c r="A274" s="1502" t="s">
        <v>1061</v>
      </c>
      <c r="B274" s="613">
        <v>2630</v>
      </c>
      <c r="C274" s="615"/>
      <c r="D274" s="466">
        <v>0</v>
      </c>
      <c r="E274" s="615"/>
      <c r="F274" s="615"/>
      <c r="G274" s="615"/>
      <c r="H274" s="615"/>
      <c r="I274" s="615"/>
      <c r="J274" s="615"/>
      <c r="K274" s="1666">
        <f>D274</f>
        <v>0</v>
      </c>
      <c r="L274" s="466">
        <v>0</v>
      </c>
    </row>
    <row r="275" spans="1:12" x14ac:dyDescent="0.2">
      <c r="A275" s="1502" t="s">
        <v>403</v>
      </c>
      <c r="B275" s="613">
        <v>2640</v>
      </c>
      <c r="C275" s="615"/>
      <c r="D275" s="466">
        <v>0</v>
      </c>
      <c r="E275" s="615"/>
      <c r="F275" s="615"/>
      <c r="G275" s="615"/>
      <c r="H275" s="615"/>
      <c r="I275" s="615"/>
      <c r="J275" s="615"/>
      <c r="K275" s="1666">
        <f>D275</f>
        <v>0</v>
      </c>
      <c r="L275" s="466">
        <v>0</v>
      </c>
    </row>
    <row r="276" spans="1:12" x14ac:dyDescent="0.2">
      <c r="A276" s="1502" t="s">
        <v>404</v>
      </c>
      <c r="B276" s="613">
        <v>2660</v>
      </c>
      <c r="C276" s="615"/>
      <c r="D276" s="466">
        <v>0</v>
      </c>
      <c r="E276" s="615"/>
      <c r="F276" s="615"/>
      <c r="G276" s="615"/>
      <c r="H276" s="615"/>
      <c r="I276" s="615"/>
      <c r="J276" s="615"/>
      <c r="K276" s="1666">
        <f>D276</f>
        <v>0</v>
      </c>
      <c r="L276" s="466">
        <v>0</v>
      </c>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v>0</v>
      </c>
    </row>
    <row r="279" spans="1:12" ht="12.75" customHeight="1" thickBot="1" x14ac:dyDescent="0.25">
      <c r="A279" s="1692" t="s">
        <v>811</v>
      </c>
      <c r="B279" s="1675">
        <v>2000</v>
      </c>
      <c r="C279" s="615"/>
      <c r="D279" s="1671">
        <f>SUM(D238,D243,D257,D261,D270,D277,D278)</f>
        <v>376089</v>
      </c>
      <c r="E279" s="615"/>
      <c r="F279" s="615"/>
      <c r="G279" s="615"/>
      <c r="H279" s="615"/>
      <c r="I279" s="615"/>
      <c r="J279" s="615"/>
      <c r="K279" s="1671">
        <f>SUM(K238,K243,K257,K261,K270,K277,K278)</f>
        <v>376089</v>
      </c>
      <c r="L279" s="1671">
        <f>SUM(L238,L243,L257,L261,L270,L277,L278)</f>
        <v>366826</v>
      </c>
    </row>
    <row r="280" spans="1:12" ht="15.75" customHeight="1" thickTop="1" thickBot="1" x14ac:dyDescent="0.25">
      <c r="A280" s="1622" t="s">
        <v>875</v>
      </c>
      <c r="B280" s="1611">
        <v>3000</v>
      </c>
      <c r="C280" s="615"/>
      <c r="D280" s="575">
        <v>252</v>
      </c>
      <c r="E280" s="615"/>
      <c r="F280" s="615"/>
      <c r="G280" s="615"/>
      <c r="H280" s="615"/>
      <c r="I280" s="615"/>
      <c r="J280" s="615"/>
      <c r="K280" s="1673">
        <f>D280</f>
        <v>252</v>
      </c>
      <c r="L280" s="575">
        <v>167</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1840</v>
      </c>
      <c r="C282" s="615"/>
      <c r="D282" s="467" t="s">
        <v>1169</v>
      </c>
      <c r="E282" s="615"/>
      <c r="F282" s="615"/>
      <c r="G282" s="615"/>
      <c r="H282" s="615"/>
      <c r="I282" s="615"/>
      <c r="J282" s="615"/>
      <c r="K282" s="1665" t="str">
        <f>D282</f>
        <v xml:space="preserve"> </v>
      </c>
      <c r="L282" s="467">
        <v>0</v>
      </c>
    </row>
    <row r="283" spans="1:12" x14ac:dyDescent="0.2">
      <c r="A283" s="1502" t="s">
        <v>304</v>
      </c>
      <c r="B283" s="613">
        <v>4120</v>
      </c>
      <c r="C283" s="615"/>
      <c r="D283" s="466">
        <v>0</v>
      </c>
      <c r="E283" s="615"/>
      <c r="F283" s="615"/>
      <c r="G283" s="615"/>
      <c r="H283" s="615"/>
      <c r="I283" s="615"/>
      <c r="J283" s="615"/>
      <c r="K283" s="1665">
        <f>D283</f>
        <v>0</v>
      </c>
      <c r="L283" s="466">
        <v>0</v>
      </c>
    </row>
    <row r="284" spans="1:12" x14ac:dyDescent="0.2">
      <c r="A284" s="1502" t="s">
        <v>697</v>
      </c>
      <c r="B284" s="613">
        <v>4140</v>
      </c>
      <c r="C284" s="615"/>
      <c r="D284" s="467">
        <v>0</v>
      </c>
      <c r="E284" s="615"/>
      <c r="F284" s="615"/>
      <c r="G284" s="615"/>
      <c r="H284" s="615"/>
      <c r="I284" s="615"/>
      <c r="J284" s="615"/>
      <c r="K284" s="1665">
        <f>D284</f>
        <v>0</v>
      </c>
      <c r="L284" s="466">
        <v>0</v>
      </c>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1170</v>
      </c>
      <c r="B290" s="627" t="s">
        <v>617</v>
      </c>
      <c r="C290" s="615"/>
      <c r="D290" s="615"/>
      <c r="E290" s="615"/>
      <c r="F290" s="615"/>
      <c r="G290" s="615"/>
      <c r="H290" s="466">
        <v>0</v>
      </c>
      <c r="I290" s="615"/>
      <c r="J290" s="615"/>
      <c r="K290" s="1665">
        <f>H290</f>
        <v>0</v>
      </c>
      <c r="L290" s="466">
        <v>0</v>
      </c>
    </row>
    <row r="291" spans="1:14" x14ac:dyDescent="0.2">
      <c r="A291" s="1502" t="s">
        <v>89</v>
      </c>
      <c r="B291" s="613" t="s">
        <v>589</v>
      </c>
      <c r="C291" s="615"/>
      <c r="D291" s="615"/>
      <c r="E291" s="615"/>
      <c r="F291" s="615"/>
      <c r="G291" s="615"/>
      <c r="H291" s="466">
        <v>0</v>
      </c>
      <c r="I291" s="615"/>
      <c r="J291" s="615"/>
      <c r="K291" s="1665">
        <f>H291</f>
        <v>0</v>
      </c>
      <c r="L291" s="466">
        <v>0</v>
      </c>
    </row>
    <row r="292" spans="1:14" x14ac:dyDescent="0.2">
      <c r="A292" s="1502" t="s">
        <v>762</v>
      </c>
      <c r="B292" s="613" t="s">
        <v>618</v>
      </c>
      <c r="C292" s="615"/>
      <c r="D292" s="615"/>
      <c r="E292" s="615"/>
      <c r="F292" s="615"/>
      <c r="G292" s="615"/>
      <c r="H292" s="466">
        <v>0</v>
      </c>
      <c r="I292" s="615"/>
      <c r="J292" s="615"/>
      <c r="K292" s="1665">
        <f>H292</f>
        <v>0</v>
      </c>
      <c r="L292" s="466">
        <v>0</v>
      </c>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89" t="s">
        <v>505</v>
      </c>
      <c r="B295" s="2190"/>
      <c r="C295" s="615"/>
      <c r="D295" s="1664">
        <f>SUM(D229,D279,D280,D285)</f>
        <v>542152</v>
      </c>
      <c r="E295" s="615"/>
      <c r="F295" s="615"/>
      <c r="G295" s="615"/>
      <c r="H295" s="1664">
        <f>H293</f>
        <v>0</v>
      </c>
      <c r="I295" s="615"/>
      <c r="J295" s="615"/>
      <c r="K295" s="1664">
        <f>SUM(K229,K279,K280,K285,K293,K294)</f>
        <v>542152</v>
      </c>
      <c r="L295" s="1664">
        <f>SUM(L229,L279,L280,L285,L293,L294)</f>
        <v>542731</v>
      </c>
    </row>
    <row r="296" spans="1:14" ht="13.5" thickTop="1" x14ac:dyDescent="0.2">
      <c r="A296" s="2171" t="s">
        <v>996</v>
      </c>
      <c r="B296" s="2172"/>
      <c r="C296" s="615"/>
      <c r="D296" s="617"/>
      <c r="E296" s="615"/>
      <c r="F296" s="615"/>
      <c r="G296" s="615"/>
      <c r="H296" s="685"/>
      <c r="I296" s="615"/>
      <c r="J296" s="615"/>
      <c r="K296" s="1678">
        <f>'Revenues 9-14'!G268-'Expenditures 15-22'!K295</f>
        <v>-29382</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1" t="s">
        <v>143</v>
      </c>
      <c r="B298" s="2175"/>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0</v>
      </c>
      <c r="H301" s="466">
        <v>0</v>
      </c>
      <c r="I301" s="466">
        <v>0</v>
      </c>
      <c r="J301" s="466">
        <v>0</v>
      </c>
      <c r="K301" s="1665">
        <f>SUM(C301:J301)</f>
        <v>0</v>
      </c>
      <c r="L301" s="467">
        <v>0</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1845</v>
      </c>
      <c r="B306" s="688" t="s">
        <v>1840</v>
      </c>
      <c r="C306" s="615"/>
      <c r="D306" s="615"/>
      <c r="E306" s="466" t="s">
        <v>1169</v>
      </c>
      <c r="F306" s="615"/>
      <c r="G306" s="615"/>
      <c r="H306" s="466" t="s">
        <v>1169</v>
      </c>
      <c r="I306" s="615"/>
      <c r="J306" s="615"/>
      <c r="K306" s="1665">
        <f>SUM(E306,H306)</f>
        <v>0</v>
      </c>
      <c r="L306" s="467">
        <v>0</v>
      </c>
    </row>
    <row r="307" spans="1:14" x14ac:dyDescent="0.2">
      <c r="A307" s="1502" t="s">
        <v>304</v>
      </c>
      <c r="B307" s="613">
        <v>4120</v>
      </c>
      <c r="C307" s="615"/>
      <c r="D307" s="615"/>
      <c r="E307" s="466">
        <v>0</v>
      </c>
      <c r="F307" s="615"/>
      <c r="G307" s="615"/>
      <c r="H307" s="466">
        <v>0</v>
      </c>
      <c r="I307" s="477"/>
      <c r="J307" s="615"/>
      <c r="K307" s="1665">
        <f>SUM(E307,H307)</f>
        <v>0</v>
      </c>
      <c r="L307" s="466">
        <v>0</v>
      </c>
    </row>
    <row r="308" spans="1:14" x14ac:dyDescent="0.2">
      <c r="A308" s="1502" t="s">
        <v>697</v>
      </c>
      <c r="B308" s="613">
        <v>4140</v>
      </c>
      <c r="C308" s="615"/>
      <c r="D308" s="615"/>
      <c r="E308" s="466">
        <v>0</v>
      </c>
      <c r="F308" s="615"/>
      <c r="G308" s="615"/>
      <c r="H308" s="466">
        <v>0</v>
      </c>
      <c r="I308" s="477"/>
      <c r="J308" s="615"/>
      <c r="K308" s="1665">
        <f>SUM(E308,H308)</f>
        <v>0</v>
      </c>
      <c r="L308" s="466">
        <v>0</v>
      </c>
    </row>
    <row r="309" spans="1:14" ht="12.75" customHeight="1" x14ac:dyDescent="0.2">
      <c r="A309" s="1506" t="s">
        <v>698</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86" t="s">
        <v>277</v>
      </c>
      <c r="B312" s="2187"/>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3"/>
      <c r="N312" s="663"/>
    </row>
    <row r="313" spans="1:14" ht="13.5" thickTop="1" x14ac:dyDescent="0.2">
      <c r="A313" s="2182" t="s">
        <v>996</v>
      </c>
      <c r="B313" s="2183"/>
      <c r="C313" s="625"/>
      <c r="D313" s="625"/>
      <c r="E313" s="625"/>
      <c r="F313" s="625"/>
      <c r="G313" s="625"/>
      <c r="H313" s="625"/>
      <c r="I313" s="625"/>
      <c r="J313" s="625"/>
      <c r="K313" s="1679">
        <f>'Revenues 9-14'!H268-'Expenditures 15-22'!K312</f>
        <v>10709</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5" t="s">
        <v>149</v>
      </c>
      <c r="B315" s="2196"/>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7" t="s">
        <v>898</v>
      </c>
      <c r="B317" s="2196"/>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1801</v>
      </c>
      <c r="F319" s="467">
        <v>0</v>
      </c>
      <c r="G319" s="467">
        <v>0</v>
      </c>
      <c r="H319" s="467">
        <v>0</v>
      </c>
      <c r="I319" s="467">
        <v>0</v>
      </c>
      <c r="J319" s="467">
        <v>0</v>
      </c>
      <c r="K319" s="1665">
        <f>SUM(C319:J319)</f>
        <v>1801</v>
      </c>
      <c r="L319" s="467">
        <v>0</v>
      </c>
      <c r="M319" s="663"/>
      <c r="N319" s="663"/>
    </row>
    <row r="320" spans="1:14" s="672" customFormat="1" x14ac:dyDescent="0.2">
      <c r="A320" s="1521" t="s">
        <v>1801</v>
      </c>
      <c r="B320" s="696" t="s">
        <v>282</v>
      </c>
      <c r="C320" s="467">
        <v>0</v>
      </c>
      <c r="D320" s="467">
        <v>0</v>
      </c>
      <c r="E320" s="467">
        <v>114721</v>
      </c>
      <c r="F320" s="467">
        <v>0</v>
      </c>
      <c r="G320" s="467">
        <v>0</v>
      </c>
      <c r="H320" s="467">
        <v>0</v>
      </c>
      <c r="I320" s="467">
        <v>0</v>
      </c>
      <c r="J320" s="467">
        <v>0</v>
      </c>
      <c r="K320" s="1665">
        <f t="shared" ref="K320:K327" si="24">SUM(C320:J320)</f>
        <v>114721</v>
      </c>
      <c r="L320" s="467">
        <v>105760</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v>9177</v>
      </c>
      <c r="M321" s="663"/>
      <c r="N321" s="663"/>
    </row>
    <row r="322" spans="1:14" s="672" customFormat="1" x14ac:dyDescent="0.2">
      <c r="A322" s="1517" t="s">
        <v>238</v>
      </c>
      <c r="B322" s="695" t="s">
        <v>284</v>
      </c>
      <c r="C322" s="467">
        <v>0</v>
      </c>
      <c r="D322" s="467">
        <v>0</v>
      </c>
      <c r="E322" s="467">
        <v>208690</v>
      </c>
      <c r="F322" s="467">
        <v>0</v>
      </c>
      <c r="G322" s="467">
        <v>0</v>
      </c>
      <c r="H322" s="467">
        <v>0</v>
      </c>
      <c r="I322" s="467">
        <v>0</v>
      </c>
      <c r="J322" s="467">
        <v>0</v>
      </c>
      <c r="K322" s="1665">
        <f t="shared" si="24"/>
        <v>208690</v>
      </c>
      <c r="L322" s="467">
        <v>187480</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v>0</v>
      </c>
      <c r="M323" s="663"/>
      <c r="N323" s="663"/>
    </row>
    <row r="324" spans="1:14" s="672" customFormat="1" x14ac:dyDescent="0.2">
      <c r="A324" s="1517" t="s">
        <v>239</v>
      </c>
      <c r="B324" s="695" t="s">
        <v>286</v>
      </c>
      <c r="C324" s="467">
        <v>0</v>
      </c>
      <c r="D324" s="467">
        <v>0</v>
      </c>
      <c r="E324" s="467">
        <v>219729</v>
      </c>
      <c r="F324" s="467">
        <v>0</v>
      </c>
      <c r="G324" s="467">
        <v>0</v>
      </c>
      <c r="H324" s="467">
        <v>0</v>
      </c>
      <c r="I324" s="467">
        <v>0</v>
      </c>
      <c r="J324" s="467">
        <v>0</v>
      </c>
      <c r="K324" s="1665">
        <f t="shared" si="24"/>
        <v>219729</v>
      </c>
      <c r="L324" s="467">
        <v>0</v>
      </c>
      <c r="M324" s="663"/>
      <c r="N324" s="663"/>
    </row>
    <row r="325" spans="1:14" s="672" customFormat="1" ht="22.5" x14ac:dyDescent="0.2">
      <c r="A325" s="1517" t="s">
        <v>1029</v>
      </c>
      <c r="B325" s="696" t="s">
        <v>287</v>
      </c>
      <c r="C325" s="467">
        <v>382975</v>
      </c>
      <c r="D325" s="467">
        <v>0</v>
      </c>
      <c r="E325" s="467">
        <v>15108</v>
      </c>
      <c r="F325" s="467">
        <v>6045</v>
      </c>
      <c r="G325" s="467">
        <v>1642</v>
      </c>
      <c r="H325" s="467">
        <v>0</v>
      </c>
      <c r="I325" s="467">
        <v>0</v>
      </c>
      <c r="J325" s="467">
        <v>0</v>
      </c>
      <c r="K325" s="1665">
        <f t="shared" si="24"/>
        <v>405770</v>
      </c>
      <c r="L325" s="467">
        <v>475875</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971</v>
      </c>
      <c r="B327" s="695" t="s">
        <v>289</v>
      </c>
      <c r="C327" s="467">
        <v>0</v>
      </c>
      <c r="D327" s="467">
        <v>0</v>
      </c>
      <c r="E327" s="467">
        <v>56624</v>
      </c>
      <c r="F327" s="467">
        <v>0</v>
      </c>
      <c r="G327" s="467">
        <v>0</v>
      </c>
      <c r="H327" s="467">
        <v>0</v>
      </c>
      <c r="I327" s="467">
        <v>0</v>
      </c>
      <c r="J327" s="467">
        <v>0</v>
      </c>
      <c r="K327" s="1665">
        <f t="shared" si="24"/>
        <v>56624</v>
      </c>
      <c r="L327" s="467">
        <v>250000</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v>0</v>
      </c>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v>0</v>
      </c>
      <c r="M329" s="663"/>
      <c r="N329" s="663"/>
    </row>
    <row r="330" spans="1:14" s="672" customFormat="1" ht="12.75" customHeight="1" thickBot="1" x14ac:dyDescent="0.25">
      <c r="A330" s="1694" t="s">
        <v>717</v>
      </c>
      <c r="B330" s="1663" t="s">
        <v>569</v>
      </c>
      <c r="C330" s="1664">
        <f>SUM(C319:C329)</f>
        <v>382975</v>
      </c>
      <c r="D330" s="1664">
        <f t="shared" ref="D330:J330" si="25">SUM(D319:D329)</f>
        <v>0</v>
      </c>
      <c r="E330" s="1664">
        <f t="shared" si="25"/>
        <v>616673</v>
      </c>
      <c r="F330" s="1664">
        <f t="shared" si="25"/>
        <v>6045</v>
      </c>
      <c r="G330" s="1664">
        <f t="shared" si="25"/>
        <v>1642</v>
      </c>
      <c r="H330" s="1664">
        <f t="shared" si="25"/>
        <v>0</v>
      </c>
      <c r="I330" s="1664">
        <f t="shared" si="25"/>
        <v>0</v>
      </c>
      <c r="J330" s="1664">
        <f t="shared" si="25"/>
        <v>0</v>
      </c>
      <c r="K330" s="1664">
        <f>SUM(K319:K329)</f>
        <v>1007335</v>
      </c>
      <c r="L330" s="1664">
        <f>SUM(L319:L329)</f>
        <v>1028292</v>
      </c>
      <c r="M330" s="663"/>
      <c r="N330" s="663"/>
    </row>
    <row r="331" spans="1:14" s="672" customFormat="1" ht="12.75" customHeight="1" thickTop="1" x14ac:dyDescent="0.2">
      <c r="A331" s="1825" t="s">
        <v>1846</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1840</v>
      </c>
      <c r="C332" s="1827"/>
      <c r="D332" s="1827"/>
      <c r="E332" s="1827"/>
      <c r="F332" s="1827"/>
      <c r="G332" s="1827"/>
      <c r="H332" s="467" t="s">
        <v>1169</v>
      </c>
      <c r="I332" s="1827"/>
      <c r="J332" s="1827"/>
      <c r="K332" s="1665" t="str">
        <f>H332</f>
        <v xml:space="preserve"> </v>
      </c>
      <c r="L332" s="467">
        <v>0</v>
      </c>
      <c r="M332" s="663"/>
      <c r="N332" s="663"/>
    </row>
    <row r="333" spans="1:14" s="672" customFormat="1" ht="12.75" customHeight="1" x14ac:dyDescent="0.2">
      <c r="A333" s="1826" t="s">
        <v>304</v>
      </c>
      <c r="B333" s="1821" t="s">
        <v>1842</v>
      </c>
      <c r="C333" s="1827"/>
      <c r="D333" s="1827"/>
      <c r="E333" s="1827"/>
      <c r="F333" s="1827"/>
      <c r="G333" s="1827"/>
      <c r="H333" s="467" t="s">
        <v>1169</v>
      </c>
      <c r="I333" s="1827"/>
      <c r="J333" s="1827"/>
      <c r="K333" s="1665" t="str">
        <f>H333</f>
        <v xml:space="preserve"> </v>
      </c>
      <c r="L333" s="467">
        <v>0</v>
      </c>
      <c r="M333" s="663"/>
      <c r="N333" s="663"/>
    </row>
    <row r="334" spans="1:14" s="672" customFormat="1" ht="12.75" customHeight="1" thickBot="1" x14ac:dyDescent="0.25">
      <c r="A334" s="1826" t="s">
        <v>1847</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v>0</v>
      </c>
    </row>
    <row r="338" spans="1:14" ht="12.75" customHeight="1" x14ac:dyDescent="0.2">
      <c r="A338" s="1516" t="s">
        <v>1170</v>
      </c>
      <c r="B338" s="688" t="s">
        <v>617</v>
      </c>
      <c r="C338" s="636"/>
      <c r="D338" s="636"/>
      <c r="E338" s="636"/>
      <c r="F338" s="636"/>
      <c r="G338" s="636"/>
      <c r="H338" s="639">
        <v>0</v>
      </c>
      <c r="I338" s="636"/>
      <c r="J338" s="636"/>
      <c r="K338" s="1665">
        <f>H338</f>
        <v>0</v>
      </c>
      <c r="L338" s="639">
        <v>0</v>
      </c>
    </row>
    <row r="339" spans="1:14" x14ac:dyDescent="0.2">
      <c r="A339" s="1502" t="s">
        <v>901</v>
      </c>
      <c r="B339" s="627">
        <v>5150</v>
      </c>
      <c r="C339" s="636"/>
      <c r="D339" s="636"/>
      <c r="E339" s="636"/>
      <c r="F339" s="636"/>
      <c r="G339" s="636"/>
      <c r="H339" s="467">
        <v>0</v>
      </c>
      <c r="I339" s="636"/>
      <c r="J339" s="636"/>
      <c r="K339" s="1665">
        <f>H339</f>
        <v>0</v>
      </c>
      <c r="L339" s="467">
        <v>0</v>
      </c>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80" t="s">
        <v>505</v>
      </c>
      <c r="B342" s="1695"/>
      <c r="C342" s="1664">
        <f>SUM(C330)</f>
        <v>382975</v>
      </c>
      <c r="D342" s="1664">
        <f>SUM(D330)</f>
        <v>0</v>
      </c>
      <c r="E342" s="1664">
        <f>SUM(E330)</f>
        <v>616673</v>
      </c>
      <c r="F342" s="1664">
        <f>SUM(F330)</f>
        <v>6045</v>
      </c>
      <c r="G342" s="1664">
        <f>SUM(G330)</f>
        <v>1642</v>
      </c>
      <c r="H342" s="1664">
        <f>SUM(H330,H334,H340)</f>
        <v>0</v>
      </c>
      <c r="I342" s="1664">
        <f>SUM(I330)</f>
        <v>0</v>
      </c>
      <c r="J342" s="1664">
        <f>SUM(J330)</f>
        <v>0</v>
      </c>
      <c r="K342" s="1664">
        <f>SUM(K330,K334,K340)</f>
        <v>1007335</v>
      </c>
      <c r="L342" s="1671">
        <f>SUM(L330,L334,L340,L341)</f>
        <v>1028292</v>
      </c>
    </row>
    <row r="343" spans="1:14" ht="12.75" customHeight="1" thickTop="1" x14ac:dyDescent="0.2">
      <c r="A343" s="2184" t="s">
        <v>996</v>
      </c>
      <c r="B343" s="2185"/>
      <c r="C343" s="615"/>
      <c r="D343" s="615"/>
      <c r="E343" s="615"/>
      <c r="F343" s="615"/>
      <c r="G343" s="615"/>
      <c r="H343" s="615"/>
      <c r="I343" s="615"/>
      <c r="J343" s="615"/>
      <c r="K343" s="1678">
        <f>'Revenues 9-14'!J268-'Expenditures 15-22'!K342</f>
        <v>-81486</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4" t="s">
        <v>966</v>
      </c>
      <c r="B345" s="2175"/>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652</v>
      </c>
      <c r="D348" s="466">
        <v>70</v>
      </c>
      <c r="E348" s="466">
        <v>27689</v>
      </c>
      <c r="F348" s="466">
        <v>0</v>
      </c>
      <c r="G348" s="466">
        <v>0</v>
      </c>
      <c r="H348" s="466">
        <v>0</v>
      </c>
      <c r="I348" s="466">
        <v>0</v>
      </c>
      <c r="J348" s="466">
        <v>0</v>
      </c>
      <c r="K348" s="1665">
        <f>SUM(C348:J348)</f>
        <v>28411</v>
      </c>
      <c r="L348" s="466">
        <v>37081</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v>80000</v>
      </c>
    </row>
    <row r="350" spans="1:14" ht="12.75" customHeight="1" thickBot="1" x14ac:dyDescent="0.25">
      <c r="A350" s="1662" t="s">
        <v>719</v>
      </c>
      <c r="B350" s="1663" t="s">
        <v>35</v>
      </c>
      <c r="C350" s="1664">
        <f>SUM(C348:C349)</f>
        <v>652</v>
      </c>
      <c r="D350" s="1664">
        <f t="shared" ref="D350:L350" si="26">SUM(D348:D349)</f>
        <v>70</v>
      </c>
      <c r="E350" s="1664">
        <f t="shared" si="26"/>
        <v>27689</v>
      </c>
      <c r="F350" s="1664">
        <f t="shared" si="26"/>
        <v>0</v>
      </c>
      <c r="G350" s="1664">
        <f t="shared" si="26"/>
        <v>0</v>
      </c>
      <c r="H350" s="1664">
        <f t="shared" si="26"/>
        <v>0</v>
      </c>
      <c r="I350" s="1664">
        <f t="shared" si="26"/>
        <v>0</v>
      </c>
      <c r="J350" s="1664">
        <f t="shared" si="26"/>
        <v>0</v>
      </c>
      <c r="K350" s="1664">
        <f t="shared" si="26"/>
        <v>28411</v>
      </c>
      <c r="L350" s="1664">
        <f t="shared" si="26"/>
        <v>117081</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624</v>
      </c>
      <c r="B352" s="1669" t="s">
        <v>569</v>
      </c>
      <c r="C352" s="1664">
        <f>SUM(C350:C351)</f>
        <v>652</v>
      </c>
      <c r="D352" s="1664">
        <f t="shared" ref="D352:L352" si="27">SUM(D350:D351)</f>
        <v>70</v>
      </c>
      <c r="E352" s="1664">
        <f t="shared" si="27"/>
        <v>27689</v>
      </c>
      <c r="F352" s="1664">
        <f t="shared" si="27"/>
        <v>0</v>
      </c>
      <c r="G352" s="1664">
        <f t="shared" si="27"/>
        <v>0</v>
      </c>
      <c r="H352" s="1664">
        <f t="shared" si="27"/>
        <v>0</v>
      </c>
      <c r="I352" s="1664">
        <f t="shared" si="27"/>
        <v>0</v>
      </c>
      <c r="J352" s="1664">
        <f t="shared" si="27"/>
        <v>0</v>
      </c>
      <c r="K352" s="1664">
        <f t="shared" si="27"/>
        <v>28411</v>
      </c>
      <c r="L352" s="1664">
        <f t="shared" si="27"/>
        <v>117081</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1848</v>
      </c>
      <c r="B354" s="681" t="s">
        <v>1840</v>
      </c>
      <c r="C354" s="615"/>
      <c r="D354" s="615"/>
      <c r="E354" s="615"/>
      <c r="F354" s="615"/>
      <c r="G354" s="615"/>
      <c r="H354" s="474" t="s">
        <v>1169</v>
      </c>
      <c r="I354" s="699"/>
      <c r="J354" s="615"/>
      <c r="K354" s="1693" t="str">
        <f>H354</f>
        <v xml:space="preserve"> </v>
      </c>
      <c r="L354" s="471">
        <v>0</v>
      </c>
    </row>
    <row r="355" spans="1:14" ht="12.75" customHeight="1" x14ac:dyDescent="0.2">
      <c r="A355" s="1511" t="s">
        <v>1849</v>
      </c>
      <c r="B355" s="688" t="s">
        <v>1842</v>
      </c>
      <c r="C355" s="615"/>
      <c r="D355" s="615"/>
      <c r="E355" s="615"/>
      <c r="F355" s="615"/>
      <c r="G355" s="615"/>
      <c r="H355" s="467" t="s">
        <v>1169</v>
      </c>
      <c r="I355" s="699"/>
      <c r="J355" s="615"/>
      <c r="K355" s="1737" t="str">
        <f>H355</f>
        <v xml:space="preserve"> </v>
      </c>
      <c r="L355" s="467">
        <v>0</v>
      </c>
    </row>
    <row r="356" spans="1:14" ht="12.75" customHeight="1" x14ac:dyDescent="0.2">
      <c r="A356" s="1828" t="s">
        <v>698</v>
      </c>
      <c r="B356" s="681" t="s">
        <v>558</v>
      </c>
      <c r="C356" s="615"/>
      <c r="D356" s="615"/>
      <c r="E356" s="615"/>
      <c r="F356" s="615"/>
      <c r="G356" s="615"/>
      <c r="H356" s="479">
        <v>0</v>
      </c>
      <c r="I356" s="699"/>
      <c r="J356" s="615"/>
      <c r="K356" s="1734">
        <f>H356</f>
        <v>0</v>
      </c>
      <c r="L356" s="479">
        <v>0</v>
      </c>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619</v>
      </c>
      <c r="B361" s="601" t="s">
        <v>618</v>
      </c>
      <c r="C361" s="615"/>
      <c r="D361" s="615"/>
      <c r="E361" s="615"/>
      <c r="F361" s="615"/>
      <c r="G361" s="615"/>
      <c r="H361" s="467">
        <v>0</v>
      </c>
      <c r="I361" s="615"/>
      <c r="J361" s="615"/>
      <c r="K361" s="1665">
        <f>SUM(C361:J361)</f>
        <v>0</v>
      </c>
      <c r="L361" s="466">
        <v>0</v>
      </c>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6" t="s">
        <v>505</v>
      </c>
      <c r="B367" s="1698"/>
      <c r="C367" s="1664">
        <f t="shared" ref="C367:L367" si="28">SUM(C352,C357,C365,C366)</f>
        <v>652</v>
      </c>
      <c r="D367" s="1664">
        <f t="shared" si="28"/>
        <v>70</v>
      </c>
      <c r="E367" s="1664">
        <f t="shared" si="28"/>
        <v>27689</v>
      </c>
      <c r="F367" s="1664">
        <f t="shared" si="28"/>
        <v>0</v>
      </c>
      <c r="G367" s="1664">
        <f t="shared" si="28"/>
        <v>0</v>
      </c>
      <c r="H367" s="1664">
        <f t="shared" si="28"/>
        <v>0</v>
      </c>
      <c r="I367" s="1664">
        <f t="shared" si="28"/>
        <v>0</v>
      </c>
      <c r="J367" s="1664">
        <f t="shared" si="28"/>
        <v>0</v>
      </c>
      <c r="K367" s="1664">
        <f t="shared" si="28"/>
        <v>28411</v>
      </c>
      <c r="L367" s="1664">
        <f t="shared" si="28"/>
        <v>117081</v>
      </c>
    </row>
    <row r="368" spans="1:14" ht="13.5" thickTop="1" x14ac:dyDescent="0.2">
      <c r="A368" s="2171" t="s">
        <v>996</v>
      </c>
      <c r="B368" s="2172"/>
      <c r="C368" s="652"/>
      <c r="D368" s="652"/>
      <c r="E368" s="625"/>
      <c r="F368" s="625"/>
      <c r="G368" s="625"/>
      <c r="H368" s="625"/>
      <c r="I368" s="625"/>
      <c r="J368" s="622"/>
      <c r="K368" s="1665">
        <f>'Revenues 9-14'!K268-'Expenditures 15-22'!K367</f>
        <v>34482</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purl.org/dc/terms/"/>
    <ds:schemaRef ds:uri="http://schemas.microsoft.com/office/infopath/2007/PartnerControls"/>
    <ds:schemaRef ds:uri="http://schemas.microsoft.com/office/2006/metadata/properties"/>
    <ds:schemaRef ds:uri="http://purl.org/dc/elements/1.1/"/>
    <ds:schemaRef ds:uri="4d435f69-8686-490b-bd6d-b153bf22ab50"/>
    <ds:schemaRef ds:uri="d21dc803-237d-4c68-8692-8d731fd29118"/>
    <ds:schemaRef ds:uri="6ce3111e-7420-4802-b50a-75d4e9a0b980"/>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MATHIS TIANA</cp:lastModifiedBy>
  <cp:lastPrinted>2019-12-04T13:59:50Z</cp:lastPrinted>
  <dcterms:created xsi:type="dcterms:W3CDTF">2003-10-29T19:06:34Z</dcterms:created>
  <dcterms:modified xsi:type="dcterms:W3CDTF">2019-12-27T17:55:44Z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