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E9A8C8C-EBED-4452-8BAE-FE421CA9F78E}"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21" i="3" l="1"/>
  <c r="E10" i="108"/>
  <c r="I12" i="11" l="1"/>
  <c r="J8" i="12"/>
  <c r="H5" i="12"/>
  <c r="H14" i="12" s="1"/>
  <c r="E4" i="7"/>
  <c r="E320" i="29"/>
  <c r="C182" i="29"/>
  <c r="C124" i="29"/>
  <c r="C5" i="29"/>
  <c r="J24" i="127"/>
  <c r="J25" i="127" s="1"/>
  <c r="J26" i="127" s="1"/>
  <c r="J16" i="127"/>
  <c r="J15" i="127"/>
  <c r="J14" i="127"/>
  <c r="J10" i="127"/>
  <c r="J17" i="127" l="1"/>
  <c r="J18" i="127"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6833" i="106" s="1"/>
  <c r="D6833" i="106" s="1"/>
  <c r="B7761" i="106"/>
  <c r="D7761" i="106" s="1"/>
  <c r="L127" i="29"/>
  <c r="L129" i="29" s="1"/>
  <c r="L139" i="29"/>
  <c r="L149" i="29"/>
  <c r="I7" i="145"/>
  <c r="I6" i="145"/>
  <c r="D78" i="36"/>
  <c r="K75" i="29"/>
  <c r="K130" i="29"/>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B2977" i="106" s="1"/>
  <c r="D2977" i="106" s="1"/>
  <c r="K83" i="29"/>
  <c r="K93" i="29"/>
  <c r="K94" i="29"/>
  <c r="K95" i="29"/>
  <c r="K96" i="29"/>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C68" i="127"/>
  <c r="C69" i="127"/>
  <c r="D26" i="108"/>
  <c r="F26" i="108"/>
  <c r="E27" i="108"/>
  <c r="F27" i="108"/>
  <c r="G27" i="108"/>
  <c r="E28" i="108"/>
  <c r="F28" i="108"/>
  <c r="F36" i="108"/>
  <c r="F37" i="108"/>
  <c r="G28" i="108"/>
  <c r="E29" i="108"/>
  <c r="G29"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9" i="118"/>
  <c r="H33" i="118"/>
  <c r="D11" i="37"/>
  <c r="J22" i="37"/>
  <c r="L22" i="37"/>
  <c r="D24" i="37"/>
  <c r="B4270" i="106" s="1"/>
  <c r="D4270" i="106" s="1"/>
  <c r="D31" i="108" l="1"/>
  <c r="D41" i="108" s="1"/>
  <c r="E43" i="108" s="1"/>
  <c r="F44" i="34"/>
  <c r="G30" i="108"/>
  <c r="B7074" i="106"/>
  <c r="D7074" i="106" s="1"/>
  <c r="E30" i="108"/>
  <c r="F36" i="34"/>
  <c r="F42" i="34"/>
  <c r="H76" i="4"/>
  <c r="B3298" i="106" s="1"/>
  <c r="D3298" i="106" s="1"/>
  <c r="H28" i="118"/>
  <c r="F34" i="34"/>
  <c r="B7078" i="106"/>
  <c r="D7078" i="106" s="1"/>
  <c r="B3454" i="106"/>
  <c r="D3454" i="106" s="1"/>
  <c r="M20" i="3"/>
  <c r="B2864" i="106" s="1"/>
  <c r="D2864" i="106" s="1"/>
  <c r="F77" i="4"/>
  <c r="B3255" i="106" s="1"/>
  <c r="D3255" i="106" s="1"/>
  <c r="G26" i="108"/>
  <c r="B1274" i="106"/>
  <c r="D1274" i="106" s="1"/>
  <c r="K28" i="118"/>
  <c r="O27" i="118" s="1"/>
  <c r="O29" i="118" s="1"/>
  <c r="B2029" i="106"/>
  <c r="D2029" i="106" s="1"/>
  <c r="M19" i="3"/>
  <c r="B276" i="106" s="1"/>
  <c r="D276" i="106" s="1"/>
  <c r="G38" i="108"/>
  <c r="D22" i="37"/>
  <c r="E38" i="108"/>
  <c r="E26" i="108"/>
  <c r="B2028" i="106"/>
  <c r="D2028" i="106" s="1"/>
  <c r="M18" i="3"/>
  <c r="B275" i="106" s="1"/>
  <c r="D275" i="106" s="1"/>
  <c r="B2027" i="106"/>
  <c r="D2027" i="106" s="1"/>
  <c r="M17" i="3"/>
  <c r="B274" i="106" s="1"/>
  <c r="D274" i="106" s="1"/>
  <c r="B2026" i="106"/>
  <c r="D2026" i="106" s="1"/>
  <c r="M16" i="3"/>
  <c r="D68" i="36"/>
  <c r="F19" i="7"/>
  <c r="B1807" i="106" s="1"/>
  <c r="D1807" i="106" s="1"/>
  <c r="C342" i="29"/>
  <c r="B7216" i="106" s="1"/>
  <c r="D7216" i="106" s="1"/>
  <c r="B6995" i="106"/>
  <c r="D6995" i="106" s="1"/>
  <c r="J77" i="4"/>
  <c r="B6262" i="106" s="1"/>
  <c r="D6262" i="106" s="1"/>
  <c r="B3647" i="106"/>
  <c r="D3647" i="106" s="1"/>
  <c r="L13" i="11"/>
  <c r="B2060" i="106" s="1"/>
  <c r="D2060" i="106" s="1"/>
  <c r="C129" i="29"/>
  <c r="C151" i="29" s="1"/>
  <c r="B1226" i="106" s="1"/>
  <c r="D1226" i="106" s="1"/>
  <c r="J352" i="29"/>
  <c r="D6103" i="106"/>
  <c r="K76" i="4"/>
  <c r="B3586" i="106" s="1"/>
  <c r="D3586" i="106" s="1"/>
  <c r="G15" i="145"/>
  <c r="I129" i="29"/>
  <c r="B7037" i="106" s="1"/>
  <c r="D7037" i="106" s="1"/>
  <c r="L15" i="11"/>
  <c r="B3459" i="106" s="1"/>
  <c r="D3459" i="106" s="1"/>
  <c r="C352" i="29"/>
  <c r="C367" i="29" s="1"/>
  <c r="B3622" i="106" s="1"/>
  <c r="D3622" i="106" s="1"/>
  <c r="H365" i="29"/>
  <c r="B7242" i="106" s="1"/>
  <c r="D7242" i="106" s="1"/>
  <c r="K184" i="29"/>
  <c r="F13" i="4" s="1"/>
  <c r="B2596" i="106" s="1"/>
  <c r="D2596" i="106" s="1"/>
  <c r="G210" i="29"/>
  <c r="H342" i="29"/>
  <c r="B7221" i="106" s="1"/>
  <c r="D7221" i="106" s="1"/>
  <c r="J129" i="29"/>
  <c r="B7038" i="106" s="1"/>
  <c r="D7038" i="106" s="1"/>
  <c r="B1308" i="106"/>
  <c r="D1308" i="106" s="1"/>
  <c r="E174" i="29"/>
  <c r="B1309" i="106" s="1"/>
  <c r="D1309" i="106" s="1"/>
  <c r="B3254" i="106"/>
  <c r="D3254" i="106" s="1"/>
  <c r="I24" i="12"/>
  <c r="D9" i="7"/>
  <c r="B1767" i="106" s="1"/>
  <c r="D1767" i="106" s="1"/>
  <c r="D17" i="7"/>
  <c r="B4104" i="106" s="1"/>
  <c r="D4104" i="106" s="1"/>
  <c r="L367" i="29"/>
  <c r="L342" i="29"/>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31"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I7" i="4" l="1"/>
  <c r="B4444" i="106" s="1"/>
  <c r="D4444" i="106" s="1"/>
  <c r="D7250" i="106"/>
  <c r="D7256" i="106"/>
  <c r="D7252" i="106"/>
  <c r="D7253" i="106"/>
  <c r="D7251" i="106"/>
  <c r="J32" i="8"/>
  <c r="J49" i="8" s="1"/>
  <c r="B1328" i="106"/>
  <c r="D1328" i="106" s="1"/>
  <c r="B3621" i="106"/>
  <c r="D3621" i="106" s="1"/>
  <c r="K77" i="4"/>
  <c r="B3587" i="106" s="1"/>
  <c r="D3587" i="106" s="1"/>
  <c r="K365" i="29"/>
  <c r="K16" i="4" s="1"/>
  <c r="D7254" i="106"/>
  <c r="B273" i="106"/>
  <c r="D273" i="106" s="1"/>
  <c r="M23" i="3"/>
  <c r="D7255" i="106"/>
  <c r="B1381" i="106"/>
  <c r="D1381" i="106" s="1"/>
  <c r="B1225" i="106"/>
  <c r="D1225" i="106" s="1"/>
  <c r="B1317" i="106"/>
  <c r="D1317" i="106" s="1"/>
  <c r="I151" i="29"/>
  <c r="F59" i="34" s="1"/>
  <c r="J367" i="29"/>
  <c r="B7245" i="106" s="1"/>
  <c r="D7245" i="106" s="1"/>
  <c r="B7235" i="106"/>
  <c r="D7235" i="106" s="1"/>
  <c r="L16" i="11"/>
  <c r="B2061" i="106" s="1"/>
  <c r="D2061" i="106" s="1"/>
  <c r="K342" i="29"/>
  <c r="F13" i="34" s="1"/>
  <c r="B1365" i="106"/>
  <c r="D1365" i="106" s="1"/>
  <c r="F65" i="34"/>
  <c r="B1996" i="106"/>
  <c r="D1996" i="106" s="1"/>
  <c r="I26" i="12"/>
  <c r="B7741" i="106" s="1"/>
  <c r="D7741" i="106" s="1"/>
  <c r="J16" i="4"/>
  <c r="B6226" i="106" s="1"/>
  <c r="D6226" i="106" s="1"/>
  <c r="J151" i="29"/>
  <c r="B7052" i="106" s="1"/>
  <c r="D7052" i="106" s="1"/>
  <c r="C114" i="29"/>
  <c r="B757" i="106" s="1"/>
  <c r="D757" i="106" s="1"/>
  <c r="B5778" i="106"/>
  <c r="D5778" i="106" s="1"/>
  <c r="G6" i="4"/>
  <c r="B2604" i="106" s="1"/>
  <c r="D2604" i="106" s="1"/>
  <c r="B5770" i="106"/>
  <c r="D5770" i="106" s="1"/>
  <c r="B5527" i="106"/>
  <c r="D5527" i="106" s="1"/>
  <c r="F174" i="34"/>
  <c r="L114" i="29"/>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K367" i="29"/>
  <c r="K368" i="29" s="1"/>
  <c r="B3681" i="106" s="1"/>
  <c r="D3681" i="106" s="1"/>
  <c r="B7051" i="106"/>
  <c r="D7051" i="106" s="1"/>
  <c r="B4172" i="106"/>
  <c r="D4172" i="106" s="1"/>
  <c r="N22" i="3"/>
  <c r="B279" i="106"/>
  <c r="D279" i="106" s="1"/>
  <c r="M40"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283" i="106"/>
  <c r="D283" i="106" s="1"/>
  <c r="N23" i="3"/>
  <c r="B284" i="106" s="1"/>
  <c r="D284" i="106" s="1"/>
  <c r="F8" i="4"/>
  <c r="F10" i="4" s="1"/>
  <c r="B4125" i="106" s="1"/>
  <c r="D4125" i="106" s="1"/>
  <c r="M41" i="3"/>
  <c r="B280" i="106"/>
  <c r="D280" i="106" s="1"/>
  <c r="B6227" i="106"/>
  <c r="D6227" i="106" s="1"/>
  <c r="J10" i="4"/>
  <c r="B6225" i="106" s="1"/>
  <c r="D6225" i="106" s="1"/>
  <c r="J20" i="4"/>
  <c r="J78" i="4"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6230" i="106"/>
  <c r="D6230" i="106" s="1"/>
  <c r="B2595" i="106"/>
  <c r="D2595" i="106" s="1"/>
  <c r="B281" i="106"/>
  <c r="D281" i="106" s="1"/>
  <c r="D54" i="36"/>
  <c r="K20" i="4"/>
  <c r="B3576" i="106" s="1"/>
  <c r="D3576" i="106"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K78" i="4" l="1"/>
  <c r="B3588" i="106" s="1"/>
  <c r="D3588" i="106" s="1"/>
  <c r="F8" i="146"/>
  <c r="F175" i="34"/>
  <c r="F79" i="34"/>
  <c r="B6215" i="106"/>
  <c r="D6215" i="106" s="1"/>
  <c r="J41" i="3"/>
  <c r="D78" i="4"/>
  <c r="D81" i="4" s="1"/>
  <c r="D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K81" i="4"/>
  <c r="K39" i="3" s="1"/>
  <c r="K41" i="3" s="1"/>
  <c r="F177" i="34"/>
  <c r="F179" i="34" s="1"/>
  <c r="B2912" i="106"/>
  <c r="D2912" i="106" s="1"/>
  <c r="I41" i="3"/>
  <c r="B6216" i="106"/>
  <c r="D6216" i="106" s="1"/>
  <c r="D51" i="36"/>
  <c r="B212" i="106"/>
  <c r="D212" i="106" s="1"/>
  <c r="H41" i="3"/>
  <c r="B123" i="106"/>
  <c r="D123" i="106" s="1"/>
  <c r="D41" i="3"/>
  <c r="B3239" i="106"/>
  <c r="D3239"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J83" i="4"/>
  <c r="B6283" i="106" s="1"/>
  <c r="D6283" i="106" s="1"/>
  <c r="B6274" i="106"/>
  <c r="D6274" i="106" s="1"/>
  <c r="D82" i="4"/>
  <c r="B1644" i="106"/>
  <c r="D1644" i="106" s="1"/>
  <c r="D58" i="36"/>
  <c r="C11" i="146"/>
  <c r="B3567" i="106" l="1"/>
  <c r="D3567" i="106" s="1"/>
  <c r="K82" i="4"/>
  <c r="K83" i="4" s="1"/>
  <c r="B6284" i="106" s="1"/>
  <c r="D6284" i="106" s="1"/>
  <c r="D65" i="36"/>
  <c r="B189" i="106"/>
  <c r="D189" i="106" s="1"/>
  <c r="G41" i="3"/>
  <c r="B3568" i="106"/>
  <c r="D3568" i="106" s="1"/>
  <c r="D52" i="36"/>
  <c r="B2913" i="106"/>
  <c r="D2913" i="106" s="1"/>
  <c r="D50" i="36"/>
  <c r="B140" i="106"/>
  <c r="D140" i="106" s="1"/>
  <c r="E41" i="3"/>
  <c r="B213" i="106"/>
  <c r="D213" i="106" s="1"/>
  <c r="D49" i="36"/>
  <c r="B170" i="106"/>
  <c r="D170" i="106" s="1"/>
  <c r="F41" i="3"/>
  <c r="D45" i="36"/>
  <c r="B124" i="106"/>
  <c r="D124" i="106" s="1"/>
  <c r="D76" i="36"/>
  <c r="B92" i="106"/>
  <c r="D92" i="106" s="1"/>
  <c r="C41" i="3"/>
  <c r="J16" i="37"/>
  <c r="B4269" i="106" s="1"/>
  <c r="D4269" i="106" s="1"/>
  <c r="H12" i="118"/>
  <c r="K12" i="118" s="1"/>
  <c r="O11" i="118" s="1"/>
  <c r="O13" i="118" s="1"/>
  <c r="O17" i="118"/>
  <c r="O20"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6275" i="106" l="1"/>
  <c r="D6275" i="106" s="1"/>
  <c r="B141" i="106"/>
  <c r="D141" i="106" s="1"/>
  <c r="D46" i="36"/>
  <c r="B190" i="106"/>
  <c r="D190" i="106" s="1"/>
  <c r="D48" i="36"/>
  <c r="B171" i="106"/>
  <c r="D171" i="106" s="1"/>
  <c r="D47"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<sst xmlns="http://schemas.openxmlformats.org/spreadsheetml/2006/main" count="5098" uniqueCount="2120">
  <si>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</si>
  <si>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</si>
  <si>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</si>
  <si>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</si>
  <si>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</si>
  <si>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</si>
  <si>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</si>
  <si>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</si>
  <si>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</si>
  <si>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</si>
  <si>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</si>
  <si>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</si>
  <si>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</si>
  <si>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</si>
  <si>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</si>
  <si>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</si>
  <si>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</si>
  <si>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</si>
  <si>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</si>
  <si>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</si>
  <si>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</si>
  <si>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</si>
  <si>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</si>
  <si>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</si>
  <si>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</si>
  <si>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</si>
  <si>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</si>
  <si>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</si>
  <si>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</si>
  <si>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</si>
  <si>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</si>
  <si>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</si>
  <si>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</si>
  <si>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</si>
  <si>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</si>
  <si>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</si>
  <si>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</si>
  <si>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</si>
  <si>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</si>
  <si>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</si>
  <si>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</si>
  <si>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</si>
  <si>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</si>
  <si>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</si>
  <si>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</si>
  <si>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</si>
  <si>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</si>
  <si>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</si>
  <si>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</si>
  <si>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</si>
  <si>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</si>
  <si>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</si>
  <si>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</si>
  <si>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</si>
  <si>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</si>
  <si>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</si>
  <si>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</si>
  <si>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</si>
  <si>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</si>
  <si>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</si>
  <si>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</si>
  <si>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</si>
  <si>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</si>
  <si>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</si>
  <si>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</si>
  <si>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</si>
  <si>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</si>
  <si>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</si>
  <si>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</si>
  <si>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</si>
  <si>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</si>
  <si>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</si>
  <si>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</si>
  <si>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</si>
  <si>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</si>
  <si>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</si>
  <si>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</si>
  <si>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</si>
  <si>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</si>
  <si>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</si>
  <si>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</si>
  <si>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</si>
  <si>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</si>
  <si>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</si>
  <si>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</si>
  <si>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</si>
  <si>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</si>
  <si>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</si>
  <si>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</si>
  <si>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</si>
  <si>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</si>
  <si>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</si>
  <si>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</si>
  <si>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</si>
  <si>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</si>
  <si>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</si>
  <si>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</si>
  <si>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</si>
  <si>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</si>
  <si>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</si>
  <si>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</si>
  <si>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</si>
  <si>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</si>
  <si>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</si>
  <si>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</si>
  <si>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</si>
  <si>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</si>
  <si>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</si>
  <si>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</si>
  <si>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</si>
  <si>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</si>
  <si>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</si>
  <si>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</si>
  <si>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</si>
  <si>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</si>
  <si>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</si>
  <si>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</si>
  <si>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</si>
  <si>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</si>
  <si>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</si>
  <si>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</si>
  <si>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</si>
  <si>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</si>
  <si>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</si>
  <si>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</si>
  <si>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</si>
  <si>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</si>
  <si>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</si>
  <si>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</si>
  <si>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</si>
  <si>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</si>
  <si>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</si>
  <si>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</si>
  <si>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</si>
  <si>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</si>
  <si>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</si>
  <si>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</si>
  <si>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</si>
  <si>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</si>
  <si>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</si>
  <si>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</si>
  <si>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</si>
  <si>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</si>
  <si>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</si>
  <si>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</si>
  <si>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</si>
  <si>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</si>
  <si>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</si>
  <si>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</si>
  <si>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</si>
  <si>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</si>
  <si>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</si>
  <si>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</si>
  <si>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</si>
  <si>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</si>
  <si>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</si>
  <si>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</si>
  <si>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</si>
  <si>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</si>
  <si>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</si>
  <si>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</si>
  <si>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</si>
  <si>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</si>
  <si>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</si>
  <si>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</si>
  <si>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</si>
  <si>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</si>
  <si>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</si>
  <si>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</si>
  <si>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</si>
  <si>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</si>
  <si>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</si>
  <si>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</si>
  <si>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</si>
  <si>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</si>
  <si>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</si>
  <si>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</si>
  <si>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</si>
  <si>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</si>
  <si>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</si>
  <si>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</si>
  <si>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</si>
  <si>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</si>
  <si>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</si>
  <si>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</si>
  <si>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</si>
  <si>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</si>
  <si>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</si>
  <si>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</si>
  <si>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</si>
  <si>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</si>
  <si>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</si>
  <si>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</si>
  <si>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</si>
  <si>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</si>
  <si>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</si>
  <si>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</si>
  <si>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</si>
  <si>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</si>
  <si>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</si>
  <si>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</si>
  <si>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</si>
  <si>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</si>
  <si>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</si>
  <si>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</si>
  <si>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</si>
  <si>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</si>
  <si>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</si>
  <si>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</si>
  <si>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</si>
  <si>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</si>
  <si>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</si>
  <si>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</si>
  <si>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</si>
  <si>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</si>
  <si>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</si>
  <si>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</si>
  <si>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</si>
  <si>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</si>
  <si>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</si>
  <si>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</si>
  <si>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</si>
  <si>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</si>
  <si>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</si>
  <si>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</si>
  <si>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</si>
  <si>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</si>
  <si>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</si>
  <si>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</si>
  <si>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</si>
  <si>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</si>
  <si>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</si>
  <si>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</si>
  <si>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</si>
  <si>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</si>
  <si>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</si>
  <si>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</si>
  <si>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</si>
  <si>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</si>
  <si>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</si>
  <si>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</si>
  <si>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</si>
  <si>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</si>
  <si>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</si>
  <si>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</si>
  <si>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</si>
  <si>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</si>
  <si>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</si>
  <si>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</si>
  <si>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</si>
  <si>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</si>
  <si>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</si>
  <si>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</si>
  <si>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</si>
  <si>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</si>
  <si>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</si>
  <si>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</si>
  <si>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</si>
  <si>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</si>
  <si>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</si>
  <si>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</si>
  <si>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</si>
  <si>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</si>
  <si>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</si>
  <si>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</si>
  <si>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</si>
  <si>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</si>
  <si>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</si>
  <si>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</si>
  <si>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</si>
  <si>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</si>
  <si>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</si>
  <si>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</si>
  <si>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</si>
  <si>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</si>
  <si>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</si>
  <si>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</si>
  <si>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</si>
  <si>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</si>
  <si>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</si>
  <si>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</si>
  <si>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</si>
  <si>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</si>
  <si>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</si>
  <si>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</si>
  <si>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</si>
  <si>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</si>
  <si>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</si>
  <si>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</si>
  <si>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</si>
  <si>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</si>
  <si>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</si>
  <si>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</si>
  <si>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</si>
  <si>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</si>
  <si>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</si>
  <si>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</si>
  <si>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</si>
  <si>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</si>
  <si>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</si>
  <si>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</si>
  <si>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</si>
  <si>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</si>
  <si>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</si>
  <si>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</si>
  <si>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</si>
  <si>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</si>
  <si>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</si>
  <si>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</si>
  <si>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</si>
  <si>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</si>
  <si>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</si>
  <si>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</si>
  <si>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</si>
  <si>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</si>
  <si>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</si>
  <si>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</si>
  <si>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</si>
  <si>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</si>
  <si>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</si>
  <si>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</si>
  <si>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</si>
  <si>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</si>
  <si>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</si>
  <si>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</si>
  <si>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</si>
  <si>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</si>
  <si>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</si>
  <si>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</si>
  <si>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</si>
  <si>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</si>
  <si>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</si>
  <si>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</si>
  <si>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</si>
  <si>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</si>
  <si>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</si>
  <si>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</si>
  <si>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</si>
  <si>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</si>
  <si>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</si>
  <si>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</si>
  <si>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</si>
  <si>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</si>
  <si>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</si>
  <si>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</si>
  <si>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</si>
  <si>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</si>
  <si>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</si>
  <si>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</si>
  <si>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</si>
  <si>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</si>
  <si>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</si>
  <si>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</si>
  <si>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</si>
  <si>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</si>
  <si>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</si>
  <si>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</si>
  <si>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</si>
  <si>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</si>
  <si>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</si>
  <si>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</si>
  <si>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</si>
  <si>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</si>
  <si>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</si>
  <si>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</si>
  <si>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</si>
  <si>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</si>
  <si>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</si>
  <si>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</si>
  <si>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</si>
  <si>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</si>
  <si>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</si>
  <si>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</si>
  <si>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</si>
  <si>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</si>
  <si>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</si>
  <si>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</si>
  <si>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</si>
  <si>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</si>
  <si>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</si>
  <si>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</si>
  <si>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</si>
  <si>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</si>
  <si>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</si>
  <si>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</si>
  <si>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</si>
  <si>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</si>
  <si>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</si>
  <si>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</si>
  <si>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</si>
  <si>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</si>
  <si>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</si>
  <si>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</si>
  <si>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</si>
  <si>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</si>
  <si>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</si>
  <si>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</si>
  <si>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</si>
  <si>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</si>
  <si>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</si>
  <si>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</si>
  <si>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</si>
  <si>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</si>
  <si>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</si>
  <si>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</si>
  <si>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</si>
  <si>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</si>
  <si>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</si>
  <si>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</si>
  <si>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</si>
  <si>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</si>
  <si>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</si>
  <si>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</si>
  <si>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</si>
  <si>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</si>
  <si>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</si>
  <si>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</si>
  <si>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</si>
  <si>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</si>
  <si>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</si>
  <si>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</si>
  <si>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</si>
  <si>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</si>
  <si>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</si>
  <si>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</si>
  <si>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</si>
  <si>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</si>
  <si>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</si>
  <si>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</si>
  <si>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</si>
  <si>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</si>
  <si>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</si>
  <si>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</si>
  <si>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</si>
  <si>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</si>
  <si>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</si>
  <si>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</si>
  <si>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</si>
  <si>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</si>
  <si>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</si>
  <si>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</si>
  <si>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</si>
  <si>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</si>
  <si>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</si>
  <si>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</si>
  <si>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</si>
  <si>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</si>
  <si>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</si>
  <si>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</si>
  <si>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</si>
  <si>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</si>
  <si>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</si>
  <si>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</si>
  <si>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</si>
  <si>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</si>
  <si>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</si>
  <si>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</si>
  <si>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</si>
  <si>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</si>
  <si>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</si>
  <si>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</si>
  <si>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</si>
  <si>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</si>
  <si>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</si>
  <si>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</si>
  <si>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</si>
  <si>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</si>
  <si>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</si>
  <si>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</si>
  <si>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</si>
  <si>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</si>
  <si>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</si>
  <si>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</si>
  <si>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</si>
  <si>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</si>
  <si>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</si>
  <si>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</si>
  <si>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</si>
  <si>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</si>
  <si>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</si>
  <si>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</si>
  <si>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</si>
  <si>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</si>
  <si>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</si>
  <si>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</si>
  <si>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</si>
  <si>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</si>
  <si>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</si>
  <si>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</si>
  <si>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</si>
  <si>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</si>
  <si>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</si>
  <si>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</si>
  <si>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</si>
  <si>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</si>
  <si>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</si>
  <si>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</si>
  <si>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</si>
  <si>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</si>
  <si>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</si>
  <si>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</si>
  <si>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</si>
  <si>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</si>
  <si>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</si>
  <si>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</si>
  <si>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</si>
  <si>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</si>
  <si>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</si>
  <si>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</si>
  <si>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</si>
  <si>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</si>
  <si>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</si>
  <si>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</si>
  <si>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</si>
  <si>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</si>
  <si>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</si>
  <si>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</si>
  <si>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</si>
  <si>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</si>
  <si>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</si>
  <si>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</si>
  <si>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</si>
  <si>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</si>
  <si>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</si>
  <si>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</si>
  <si>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</si>
  <si>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</si>
  <si>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</si>
  <si>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</si>
  <si>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</si>
  <si>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</si>
  <si>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</si>
  <si>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</si>
  <si>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</si>
  <si>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</si>
  <si>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</si>
  <si>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</si>
  <si>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</si>
  <si>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</si>
  <si>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</si>
  <si>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</si>
  <si>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</si>
  <si>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</si>
  <si>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</si>
  <si>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</si>
  <si>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</si>
  <si>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</si>
  <si>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</si>
  <si>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</si>
  <si>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</si>
  <si>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</si>
  <si>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</si>
  <si>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</si>
  <si>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</si>
  <si>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</si>
  <si>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</si>
  <si>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</si>
  <si>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</si>
  <si>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</si>
  <si>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</si>
  <si>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</si>
  <si>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</si>
  <si>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</si>
  <si>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</si>
  <si>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</si>
  <si>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</si>
  <si>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</si>
  <si>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</si>
  <si>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</si>
  <si>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</si>
  <si>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</si>
  <si>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</si>
  <si>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</si>
  <si>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</si>
  <si>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</si>
  <si>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</si>
  <si>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</si>
  <si>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</si>
  <si>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</si>
  <si>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</si>
  <si>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</si>
  <si>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</si>
  <si>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</si>
  <si>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</si>
  <si>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</si>
  <si>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</si>
  <si>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</si>
  <si>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</si>
  <si>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</si>
  <si>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</si>
  <si>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</si>
  <si>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</si>
  <si>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</si>
  <si>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</si>
  <si>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</si>
  <si>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</si>
  <si>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</si>
  <si>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</si>
  <si>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</si>
  <si>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</si>
  <si>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</si>
  <si>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</si>
  <si>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</si>
  <si>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</si>
  <si>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</si>
  <si>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</si>
  <si>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</si>
  <si>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</si>
  <si>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</si>
  <si>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</si>
  <si>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</si>
  <si>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</si>
  <si>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</si>
  <si>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</si>
  <si>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</si>
  <si>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</si>
  <si>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</si>
  <si>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</si>
  <si>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</si>
  <si>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</si>
  <si>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</si>
  <si>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</si>
  <si>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</si>
  <si>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</si>
  <si>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</si>
  <si>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</si>
  <si>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</si>
  <si>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</si>
  <si>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</si>
  <si>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</si>
  <si>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</si>
  <si>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</si>
  <si>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</si>
  <si>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</si>
  <si>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</si>
  <si>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</si>
  <si>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</si>
  <si>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</si>
  <si>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</si>
  <si>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</si>
  <si>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</si>
  <si>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</si>
  <si>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</si>
  <si>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</si>
  <si>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</si>
  <si>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</si>
  <si>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</si>
  <si>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</si>
  <si>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</si>
  <si>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</si>
  <si>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</si>
  <si>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</si>
  <si>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</si>
  <si>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</si>
  <si>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</si>
  <si>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</si>
  <si>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</si>
  <si>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</si>
  <si>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</si>
  <si>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</si>
  <si>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</si>
  <si>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</si>
  <si>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</si>
  <si>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</si>
  <si>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</si>
  <si>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</si>
  <si>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</si>
  <si>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</si>
  <si>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</si>
  <si>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</si>
  <si>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</si>
  <si>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</si>
  <si>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</si>
  <si>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</si>
  <si>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</si>
  <si>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</si>
  <si>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</si>
  <si>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</si>
  <si>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</si>
  <si>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</si>
  <si>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</si>
  <si>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</si>
  <si>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</si>
  <si>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</si>
  <si>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</si>
  <si>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</si>
  <si>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</si>
  <si>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</si>
  <si>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</si>
  <si>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</si>
  <si>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</si>
  <si>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</si>
  <si>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</si>
  <si>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</si>
  <si>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</si>
  <si>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</si>
  <si>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</si>
  <si>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</si>
  <si>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</si>
  <si>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</si>
  <si>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</si>
  <si>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</si>
  <si>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</si>
  <si>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</si>
  <si>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</si>
  <si>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</si>
  <si>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</si>
  <si>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</si>
  <si>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</si>
  <si>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</si>
  <si>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</si>
  <si>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</si>
  <si>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</si>
  <si>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</si>
  <si>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</si>
  <si>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</si>
  <si>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</si>
  <si>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</si>
  <si>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</si>
  <si>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</si>
  <si>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</si>
  <si>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</si>
  <si>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</si>
  <si>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</si>
  <si>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</si>
  <si>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</si>
  <si>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</si>
  <si>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</si>
  <si>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</si>
  <si>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</si>
  <si>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</si>
  <si>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</si>
  <si>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</si>
  <si>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</si>
  <si>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</si>
  <si>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</si>
  <si>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</si>
  <si>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</si>
  <si>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</si>
  <si>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</si>
  <si>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</si>
  <si>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</si>
  <si>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</si>
  <si>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</si>
  <si>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</si>
  <si>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</si>
  <si>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</si>
  <si>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</si>
  <si>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</si>
  <si>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</si>
  <si>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</si>
  <si>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</si>
  <si>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</si>
  <si>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</si>
  <si>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</si>
  <si>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</si>
  <si>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</si>
  <si>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</si>
  <si>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</si>
  <si>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</si>
  <si>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</si>
  <si>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</si>
  <si>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</si>
  <si>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</si>
  <si>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</si>
  <si>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</si>
  <si>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</si>
  <si>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</si>
  <si>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</si>
  <si>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</si>
  <si>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</si>
  <si>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</si>
  <si>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</si>
  <si>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</si>
  <si>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</si>
  <si>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</si>
  <si>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</si>
  <si>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</si>
  <si>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</si>
  <si>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</si>
  <si>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</si>
  <si>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</si>
  <si>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</si>
  <si>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</si>
  <si>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</si>
  <si>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</si>
  <si>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</si>
  <si>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</si>
  <si>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</si>
  <si>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</si>
  <si>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</si>
  <si>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</si>
  <si>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</si>
  <si>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</si>
  <si>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</si>
  <si>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</si>
  <si>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</si>
  <si>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</si>
  <si>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</si>
  <si>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</si>
  <si>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</si>
  <si>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</si>
  <si>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</si>
  <si>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</si>
  <si>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</si>
  <si>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</si>
  <si>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</si>
  <si>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</si>
  <si>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</si>
  <si>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</si>
  <si>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</si>
  <si>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</si>
  <si>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</si>
  <si>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</si>
  <si>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</si>
  <si>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</si>
  <si>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</si>
  <si>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</si>
  <si>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</si>
  <si>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</si>
  <si>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</si>
  <si>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</si>
  <si>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</si>
  <si>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</si>
  <si>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</si>
  <si>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</si>
  <si>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</si>
  <si>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</si>
  <si>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</si>
  <si>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</si>
  <si>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</si>
  <si>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</si>
  <si>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</si>
  <si>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</si>
  <si>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</si>
  <si>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</si>
  <si>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</si>
  <si>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</si>
  <si>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</si>
  <si>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</si>
  <si>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</si>
  <si>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</si>
  <si>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</si>
  <si>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</si>
  <si>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</si>
  <si>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</si>
  <si>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</si>
  <si>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</si>
  <si>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</si>
  <si>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</si>
  <si>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</si>
  <si>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</si>
  <si>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</si>
  <si>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</si>
  <si>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</si>
  <si>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</si>
  <si>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</si>
  <si>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</si>
  <si>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</si>
  <si>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</si>
  <si>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</si>
  <si>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</si>
  <si>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</si>
  <si>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</si>
  <si>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</si>
  <si>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</si>
  <si>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</si>
  <si>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</si>
  <si>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</si>
  <si>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</si>
  <si>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</si>
  <si>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</si>
  <si>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</si>
  <si>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</si>
  <si>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</si>
  <si>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</si>
  <si>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</si>
  <si>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</si>
  <si>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</si>
  <si>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</si>
  <si>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</si>
  <si>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</si>
  <si>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</si>
  <si>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</si>
  <si>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</si>
  <si>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</si>
  <si>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</si>
  <si>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</si>
  <si>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</si>
  <si>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</si>
  <si>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</si>
  <si>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</si>
  <si>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</si>
  <si>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</si>
  <si>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</si>
  <si>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</si>
  <si>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</si>
  <si>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</si>
  <si>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</si>
  <si>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</si>
  <si>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</si>
  <si>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</si>
  <si>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</si>
  <si>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</si>
  <si>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</si>
  <si>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</si>
  <si>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</si>
  <si>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</si>
  <si>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</si>
  <si>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</si>
  <si>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</si>
  <si>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</si>
  <si>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</si>
  <si>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</si>
  <si>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</si>
  <si>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</si>
  <si>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</si>
  <si>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</si>
  <si>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</si>
  <si>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</si>
  <si>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</si>
  <si>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</si>
  <si>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</si>
  <si>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</si>
  <si>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</si>
  <si>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</si>
  <si>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</si>
  <si>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</si>
  <si>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</si>
  <si>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</si>
  <si>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</si>
  <si>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</si>
  <si>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</si>
  <si>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</si>
  <si>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</si>
  <si>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</si>
  <si>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</si>
  <si>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</si>
  <si>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</si>
  <si>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</si>
  <si>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</si>
  <si>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</si>
  <si>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</si>
  <si>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</si>
  <si>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</si>
  <si>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</si>
  <si>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</si>
  <si>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</si>
  <si>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</si>
  <si>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</si>
  <si>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</si>
  <si>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</si>
  <si>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</si>
  <si>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</si>
  <si>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</si>
  <si>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</si>
  <si>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</si>
  <si>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</si>
  <si>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</si>
  <si>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</si>
  <si>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</si>
  <si>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</si>
  <si>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</si>
  <si>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</si>
  <si>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</si>
  <si>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</si>
  <si>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</si>
  <si>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</si>
  <si>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</si>
  <si>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</si>
  <si>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</si>
  <si>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</si>
  <si>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</si>
  <si>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</si>
  <si>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</si>
  <si>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</si>
  <si>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</si>
  <si>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</si>
  <si>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</si>
  <si>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</si>
  <si>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</si>
  <si>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</si>
  <si>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</si>
  <si>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</si>
  <si>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</si>
  <si>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</si>
  <si>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</si>
  <si>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</si>
  <si>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</si>
  <si>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</si>
  <si>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</si>
  <si>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</si>
  <si>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</si>
  <si>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</si>
  <si>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</si>
  <si>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</si>
  <si>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</si>
  <si>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</si>
  <si>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</si>
  <si>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</si>
  <si>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</si>
  <si>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</si>
  <si>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</si>
  <si>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</si>
  <si>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</si>
  <si>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</si>
  <si>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</si>
  <si>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</si>
  <si>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</si>
  <si>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</si>
  <si>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</si>
  <si>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</si>
  <si>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</si>
  <si>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</si>
  <si>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</si>
  <si>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</si>
  <si>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</si>
  <si>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</si>
  <si>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</si>
  <si>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</si>
  <si>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</si>
  <si>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</si>
  <si>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</si>
  <si>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</si>
  <si>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</si>
  <si>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</si>
  <si>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</si>
  <si>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</si>
  <si>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</si>
  <si>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</si>
  <si>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</si>
  <si>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</si>
  <si>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</si>
  <si>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</si>
  <si>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</si>
  <si>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</si>
  <si>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</si>
  <si>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</si>
  <si>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</si>
  <si>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</si>
  <si>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</si>
  <si>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</si>
  <si>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</si>
  <si>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</si>
  <si>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</si>
  <si>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</si>
  <si>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</si>
  <si>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</si>
  <si>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</si>
  <si>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</si>
  <si>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</si>
  <si>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</si>
  <si>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</si>
  <si>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</si>
  <si>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</si>
  <si>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</si>
  <si>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</si>
  <si>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</si>
  <si>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</si>
  <si>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</si>
  <si>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</si>
  <si>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</si>
  <si>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</si>
  <si>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</si>
  <si>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</si>
  <si>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</si>
  <si>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</si>
  <si>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</si>
  <si>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</si>
  <si>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</si>
  <si>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</si>
  <si>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</si>
  <si>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</si>
  <si>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</si>
  <si>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</si>
  <si>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</si>
  <si>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</si>
  <si>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</si>
  <si>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</si>
  <si>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</si>
  <si>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</si>
  <si>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</si>
  <si>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</si>
  <si>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</si>
  <si>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</si>
  <si>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</si>
  <si>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</si>
  <si>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</si>
  <si>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</si>
  <si>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</si>
  <si>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</si>
  <si>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</si>
  <si>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</si>
  <si>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</si>
  <si>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</si>
  <si>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</si>
  <si>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</si>
  <si>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</si>
  <si>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</si>
  <si>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</si>
  <si>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</si>
  <si>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</si>
  <si>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</si>
  <si>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</si>
  <si>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</si>
  <si>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</si>
  <si>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</si>
  <si>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</si>
  <si>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</si>
  <si>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</si>
  <si>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</si>
  <si>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</si>
  <si>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</si>
  <si>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</si>
  <si>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</si>
  <si>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</si>
  <si>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</si>
  <si>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</si>
  <si>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</si>
  <si>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</si>
  <si>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</si>
  <si>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</si>
  <si>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</si>
  <si>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</si>
  <si>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</si>
  <si>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</si>
  <si>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</si>
  <si>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</si>
  <si>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</si>
  <si>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</si>
  <si>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</si>
  <si>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</si>
  <si>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</si>
  <si>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</si>
  <si>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</si>
  <si>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</si>
  <si>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</si>
  <si>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</si>
  <si>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</si>
  <si>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</si>
  <si>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</si>
  <si>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</si>
  <si>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</si>
  <si>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</si>
  <si>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</si>
  <si>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</si>
  <si>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</si>
  <si>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</si>
  <si>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</si>
  <si>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</si>
  <si>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</si>
  <si>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</si>
  <si>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</si>
  <si>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</si>
  <si>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</si>
  <si>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</si>
  <si>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</si>
  <si>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</si>
  <si>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</si>
  <si>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</si>
  <si>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</si>
  <si>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</si>
  <si>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</si>
  <si>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</si>
  <si>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</si>
  <si>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</si>
  <si>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</si>
  <si>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</si>
  <si>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</si>
  <si>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</si>
  <si>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</si>
  <si>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</si>
  <si>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</si>
  <si>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</si>
  <si>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</si>
  <si>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</si>
  <si>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</si>
  <si>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</si>
  <si>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</si>
  <si>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</si>
  <si>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</si>
  <si>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</si>
  <si>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</si>
  <si>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</si>
  <si>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</si>
  <si>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</si>
  <si>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</si>
  <si>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</si>
  <si>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</si>
  <si>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</si>
  <si>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</si>
  <si>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</si>
  <si>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</si>
  <si>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</si>
  <si>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</si>
  <si>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</si>
  <si>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</si>
  <si>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</si>
  <si>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</si>
  <si>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</si>
  <si>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</si>
  <si>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</si>
  <si>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</si>
  <si>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</si>
  <si>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</si>
  <si>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</si>
  <si>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</si>
  <si>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</si>
  <si>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</si>
  <si>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</si>
  <si>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</si>
  <si>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</si>
  <si>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</si>
  <si>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</si>
  <si>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</si>
  <si>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</si>
  <si>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</si>
  <si>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</si>
  <si>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</si>
  <si>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</si>
  <si>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</si>
  <si>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</si>
  <si>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</si>
  <si>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</si>
  <si>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</si>
  <si>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</si>
  <si>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</si>
  <si>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</si>
  <si>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</si>
  <si>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</si>
  <si>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</si>
  <si>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</si>
  <si>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</si>
  <si>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</si>
  <si>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</si>
  <si>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</si>
  <si>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</si>
  <si>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</si>
  <si>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</si>
  <si>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</si>
  <si>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</si>
  <si>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</si>
  <si>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</si>
  <si>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</si>
  <si>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</si>
  <si>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</si>
  <si>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</si>
  <si>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</si>
  <si>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</si>
  <si>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</si>
  <si>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</si>
  <si>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</si>
  <si>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</si>
  <si>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</si>
  <si>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</si>
  <si>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</si>
  <si>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</si>
  <si>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</si>
  <si>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</si>
  <si>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</si>
  <si>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</si>
  <si>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</si>
  <si>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</si>
  <si>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</si>
  <si>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</si>
  <si>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</si>
  <si>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</si>
  <si>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</si>
  <si>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</si>
  <si>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</si>
  <si>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</si>
  <si>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</si>
  <si>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</si>
  <si>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</si>
  <si>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</si>
  <si>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</si>
  <si>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</si>
  <si>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</si>
  <si>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</si>
  <si>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</si>
  <si>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</si>
  <si>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</si>
  <si>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</si>
  <si>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</si>
  <si>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</si>
  <si>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</si>
  <si>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</si>
  <si>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</si>
  <si>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</si>
  <si>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</si>
  <si>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</si>
  <si>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</si>
  <si>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</si>
  <si>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</si>
  <si>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</si>
  <si>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</si>
  <si>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</si>
  <si>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</si>
  <si>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</si>
  <si>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</si>
  <si>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</si>
  <si>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</si>
  <si>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</si>
  <si>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</si>
  <si>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</si>
  <si>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</si>
  <si>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</si>
  <si>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</si>
  <si>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</si>
  <si>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</si>
  <si>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</si>
  <si>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</si>
  <si>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</si>
  <si>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</si>
  <si>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</si>
  <si>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</si>
  <si>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</si>
  <si>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</si>
  <si>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</si>
  <si>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</si>
  <si>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</si>
  <si>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</si>
  <si>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</si>
  <si>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</si>
  <si>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</si>
  <si>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</si>
  <si>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</si>
  <si>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</si>
  <si>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</si>
  <si>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</si>
  <si>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</si>
  <si>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</si>
  <si>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</si>
  <si>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</si>
  <si>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</si>
  <si>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</si>
  <si>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</si>
  <si>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</si>
  <si>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</si>
  <si>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</si>
  <si>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</si>
  <si>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</si>
  <si>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</si>
  <si>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</si>
  <si>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</si>
  <si>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</si>
  <si>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</si>
  <si>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</si>
  <si>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</si>
  <si>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</si>
  <si>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</si>
  <si>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</si>
  <si>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</si>
  <si>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</si>
  <si>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</si>
  <si>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</si>
  <si>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</si>
  <si>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</si>
  <si>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</si>
  <si>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</si>
  <si>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</si>
  <si>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</si>
  <si>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</si>
  <si>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</si>
  <si>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</si>
  <si>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</si>
  <si>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</si>
  <si>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</si>
  <si>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</si>
  <si>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</si>
  <si>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</si>
  <si>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</si>
  <si>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</si>
  <si>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</si>
  <si>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</si>
  <si>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</si>
  <si>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</si>
  <si>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</si>
  <si>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</si>
  <si>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</si>
  <si>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</si>
  <si>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</si>
  <si>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</si>
  <si>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</si>
  <si>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</si>
  <si>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</si>
  <si>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</si>
  <si>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</si>
  <si>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</si>
  <si>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</si>
  <si>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</si>
  <si>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</si>
  <si>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</si>
  <si>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</si>
  <si>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</si>
  <si>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</si>
  <si>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</si>
  <si>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</si>
  <si>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</si>
  <si>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</si>
  <si>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</si>
  <si>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</si>
  <si>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</si>
  <si>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</si>
  <si>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</si>
  <si>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</si>
  <si>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</si>
  <si>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</si>
  <si>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</si>
  <si>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</si>
  <si>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</si>
  <si>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</si>
  <si>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</si>
  <si>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</si>
  <si>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</si>
  <si>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</si>
  <si>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</si>
  <si>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</si>
  <si>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</si>
  <si>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</si>
  <si>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</si>
  <si>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</si>
  <si>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</si>
  <si>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</si>
  <si>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</si>
  <si>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</si>
  <si>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</si>
  <si>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</si>
  <si>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</si>
  <si>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</si>
  <si>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</si>
  <si>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</si>
  <si>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</si>
  <si>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</si>
  <si>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</si>
  <si>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</si>
  <si>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</si>
  <si>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</si>
  <si>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</si>
  <si>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</si>
  <si>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</si>
  <si>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</si>
  <si>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</si>
  <si>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</si>
  <si>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</si>
  <si>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</si>
  <si>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</si>
  <si>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</si>
  <si>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</si>
  <si>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</si>
  <si>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</si>
  <si>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</si>
  <si>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</si>
  <si>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</si>
  <si>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</si>
  <si>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</si>
  <si>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</si>
  <si>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</si>
  <si>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</si>
  <si>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</si>
  <si>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</si>
  <si>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</si>
  <si>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</si>
  <si>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</si>
  <si>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</si>
  <si>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</si>
  <si>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</si>
  <si>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</si>
  <si>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</si>
  <si>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</si>
  <si>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</si>
  <si>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</si>
  <si>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</si>
  <si>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</si>
  <si>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</si>
  <si>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</si>
  <si>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</si>
  <si>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</si>
  <si>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</si>
  <si>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</si>
  <si>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</si>
  <si>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</si>
  <si>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</si>
  <si>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</si>
  <si>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</si>
  <si>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</si>
  <si>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</si>
  <si>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</si>
  <si>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</si>
  <si>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</si>
  <si>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</si>
  <si>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</si>
  <si>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</si>
  <si>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</si>
  <si>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</si>
  <si>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</si>
  <si>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</si>
  <si>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</si>
  <si>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</si>
  <si>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</si>
  <si>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</si>
  <si>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</si>
  <si>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</si>
  <si>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</si>
  <si>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</si>
  <si>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</si>
  <si>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</si>
  <si>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</si>
  <si>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</si>
  <si>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</si>
  <si>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</si>
  <si>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</si>
  <si>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</si>
  <si>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</si>
  <si>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</si>
  <si>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</si>
  <si>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</si>
  <si>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</si>
  <si>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</si>
  <si>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</si>
  <si>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</si>
  <si>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</si>
  <si>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</si>
  <si>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</si>
  <si>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</si>
  <si>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</si>
  <si>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</si>
  <si>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</si>
  <si>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</si>
  <si>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</si>
  <si>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</si>
  <si>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</si>
  <si>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</si>
  <si>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</si>
  <si>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</si>
  <si>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</si>
  <si>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</si>
  <si>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</si>
  <si>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</si>
  <si>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</si>
  <si>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</si>
  <si>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</si>
  <si>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</si>
  <si>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</si>
  <si>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</si>
  <si>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</si>
  <si>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</si>
  <si>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</si>
  <si>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</si>
  <si>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</si>
  <si>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</si>
  <si>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</si>
  <si>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</si>
  <si>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</si>
  <si>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</si>
  <si>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</si>
  <si>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</si>
  <si>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</si>
  <si>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</si>
  <si>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</si>
  <si>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</si>
  <si>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</si>
  <si>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</si>
  <si>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</si>
  <si>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</si>
  <si>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</si>
  <si>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</si>
  <si>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</si>
  <si>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</si>
  <si>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</si>
  <si>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</si>
  <si>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</si>
  <si>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</si>
  <si>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</si>
  <si>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</si>
  <si>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</si>
  <si>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</si>
  <si>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</si>
  <si>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</si>
  <si>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</si>
  <si>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</si>
  <si>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</si>
  <si>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</si>
  <si>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</si>
  <si>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</si>
  <si>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</si>
  <si>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</si>
  <si>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</si>
  <si>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</si>
  <si>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</si>
  <si>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</si>
  <si>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</si>
  <si>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</si>
  <si>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</si>
  <si>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</si>
  <si>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</si>
  <si>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</si>
  <si>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</si>
  <si>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</si>
  <si>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</si>
  <si>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</si>
  <si>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</si>
  <si>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</si>
  <si>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</si>
  <si>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</si>
  <si>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</si>
  <si>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</si>
  <si>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</si>
  <si>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</si>
  <si>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</si>
  <si>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</si>
  <si>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</si>
  <si>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</si>
  <si>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</si>
  <si>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</si>
  <si>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</si>
  <si>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</si>
  <si>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</si>
  <si>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</si>
  <si>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</si>
  <si>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</si>
  <si>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</si>
  <si>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</si>
  <si>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</si>
  <si>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</si>
  <si>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</si>
  <si>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</si>
  <si>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</si>
  <si>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</si>
  <si>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</si>
  <si>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</si>
  <si>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</si>
  <si>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</si>
  <si>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</si>
  <si>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</si>
  <si>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</si>
  <si>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</si>
  <si>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</si>
  <si>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</si>
  <si>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</si>
  <si>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</si>
  <si>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</si>
  <si>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</si>
  <si>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</si>
  <si>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</si>
  <si>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</si>
  <si>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</si>
  <si>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</si>
  <si>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</si>
  <si>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</si>
  <si>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</si>
  <si>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</si>
  <si>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</si>
  <si>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</si>
  <si>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</si>
  <si>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</si>
  <si>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</si>
  <si>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</si>
  <si>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</si>
  <si>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</si>
  <si>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</si>
  <si>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</si>
  <si>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</si>
  <si>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</si>
  <si>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</si>
  <si>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</si>
  <si>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</si>
  <si>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</si>
  <si>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</si>
  <si>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</si>
  <si>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</si>
  <si>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</si>
  <si>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</si>
  <si>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</si>
  <si>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</si>
  <si>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</si>
  <si>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</si>
  <si>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</si>
  <si>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</si>
  <si>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</si>
  <si>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</si>
  <si>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</si>
  <si>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</si>
  <si>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</si>
  <si>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</si>
  <si>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</si>
  <si>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</si>
  <si>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</si>
  <si>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</si>
  <si>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</si>
  <si>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</si>
  <si>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</si>
  <si>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</si>
  <si>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</si>
  <si>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</si>
  <si>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</si>
  <si>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</si>
  <si>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</si>
  <si>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</si>
  <si>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</si>
  <si>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</si>
  <si>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</si>
  <si>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</si>
  <si>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</si>
  <si>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</si>
  <si>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</si>
  <si>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</si>
  <si>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</si>
  <si>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</si>
  <si>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</si>
  <si>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</si>
  <si>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</si>
  <si>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</si>
  <si>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</si>
  <si>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</si>
  <si>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</si>
  <si>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</si>
  <si>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</si>
  <si>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</si>
  <si>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</si>
  <si>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</si>
  <si>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</si>
  <si>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</si>
  <si>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</si>
  <si>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</si>
  <si>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</si>
  <si>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</si>
  <si>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</si>
  <si>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</si>
  <si>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</si>
  <si>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</si>
  <si>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</si>
  <si>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</si>
  <si>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</si>
  <si>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</si>
  <si>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</si>
  <si>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</si>
  <si>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</si>
  <si>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</si>
  <si>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</si>
  <si>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</si>
  <si>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</si>
  <si>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</si>
  <si>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</si>
  <si>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</si>
  <si>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</si>
  <si>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</si>
  <si>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</si>
  <si>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</si>
  <si>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</si>
  <si>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</si>
  <si>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</si>
  <si>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</si>
  <si>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</si>
  <si>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</si>
  <si>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</si>
  <si>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</si>
  <si>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</si>
  <si>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</si>
  <si>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</si>
  <si>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</si>
  <si>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</si>
  <si>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</si>
  <si>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</si>
  <si>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</si>
  <si>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</si>
  <si>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</si>
  <si>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</si>
  <si>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</si>
  <si>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</si>
  <si>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</si>
  <si>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</si>
  <si>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</si>
  <si>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</si>
  <si>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</si>
  <si>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</si>
  <si>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</si>
  <si>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</si>
  <si>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</si>
  <si>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</si>
  <si>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</si>
  <si>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</si>
  <si>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</si>
  <si>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</si>
  <si>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</si>
  <si>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</si>
  <si>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</si>
  <si>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</si>
  <si>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</si>
  <si>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</si>
  <si>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</si>
  <si>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</si>
  <si>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</si>
  <si>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</si>
  <si>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</si>
  <si>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</si>
  <si>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</si>
  <si>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</si>
  <si>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</si>
  <si>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</si>
  <si>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</si>
  <si>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</si>
  <si>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</si>
  <si>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</si>
  <si>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</si>
  <si>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</si>
  <si>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</si>
  <si>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</si>
  <si>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</si>
  <si>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</si>
  <si>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</si>
  <si>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</si>
  <si>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</si>
  <si>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</si>
  <si>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</si>
  <si>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</si>
  <si>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</si>
  <si>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</si>
  <si>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</si>
  <si>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</si>
  <si>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</si>
  <si>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</si>
  <si>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</si>
  <si>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</si>
  <si>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</si>
  <si>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</si>
  <si>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</si>
  <si>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</si>
  <si>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</si>
  <si>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</si>
  <si>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</si>
  <si>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</si>
  <si>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</si>
  <si>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</si>
  <si>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</si>
  <si>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</si>
  <si>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</si>
  <si>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</si>
  <si>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</si>
  <si>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</si>
  <si>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</si>
  <si>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</si>
  <si>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</si>
  <si>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</si>
  <si>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</si>
  <si>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</si>
  <si>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</si>
  <si>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</si>
  <si>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</si>
  <si>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</si>
  <si>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</si>
  <si>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</si>
  <si>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</si>
  <si>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</si>
  <si>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</si>
  <si>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</si>
  <si>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</si>
  <si>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</si>
  <si>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</si>
  <si>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</si>
  <si>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</si>
  <si>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</si>
  <si>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</si>
  <si>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</si>
  <si>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</si>
  <si>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</si>
  <si>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</si>
  <si>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</si>
  <si>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</si>
  <si>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</si>
  <si>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</si>
  <si>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</si>
  <si>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</si>
  <si>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</si>
  <si>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</si>
  <si>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</si>
  <si>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</si>
  <si>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</si>
  <si>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</si>
  <si>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</si>
  <si>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</si>
  <si>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</si>
  <si>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</si>
  <si>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</si>
  <si>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</si>
  <si>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</si>
  <si>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</si>
  <si>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</si>
  <si>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</si>
  <si>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</si>
  <si>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</si>
  <si>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</si>
  <si>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</si>
  <si>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</si>
  <si>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</si>
  <si>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</si>
  <si>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</si>
  <si>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</si>
  <si>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</si>
  <si>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</si>
  <si>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</si>
  <si>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</si>
  <si>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</si>
  <si>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</si>
  <si>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</si>
  <si>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</si>
  <si>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</si>
  <si>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</si>
  <si>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</si>
  <si>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</si>
  <si>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</si>
  <si>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</si>
  <si>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</si>
  <si>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</si>
  <si>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</si>
  <si>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</si>
  <si>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</si>
  <si>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</si>
  <si>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</si>
  <si>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</si>
  <si>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</si>
  <si>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</si>
  <si>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</si>
  <si>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</si>
  <si>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</si>
  <si>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</si>
  <si>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</si>
  <si>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</si>
  <si>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</si>
  <si>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</si>
  <si>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</si>
  <si>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</si>
  <si>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</si>
  <si>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</si>
  <si>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</si>
  <si>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</si>
  <si>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</si>
  <si>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</si>
  <si>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</si>
  <si>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</si>
  <si>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</si>
  <si>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</si>
  <si>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</si>
  <si>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</si>
  <si>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</si>
  <si>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</si>
  <si>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</si>
  <si>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</si>
  <si>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</si>
  <si>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</si>
  <si>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</si>
  <si>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</si>
  <si>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</si>
  <si>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</si>
  <si>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</si>
  <si>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</si>
  <si>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</si>
  <si>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</si>
  <si>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</si>
  <si>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</si>
  <si>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</si>
  <si>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</si>
  <si>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</si>
  <si>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</si>
  <si>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</si>
  <si>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</si>
  <si>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</si>
  <si>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</si>
  <si>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</si>
  <si>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</si>
  <si>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</si>
  <si>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</si>
  <si>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</si>
  <si>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</si>
  <si>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</si>
  <si>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</si>
  <si>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</si>
  <si>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</si>
  <si>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</si>
  <si>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</si>
  <si>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</si>
  <si>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</si>
  <si>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</si>
  <si>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</si>
  <si>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</si>
  <si>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</si>
  <si>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</si>
  <si>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</si>
  <si>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</si>
  <si>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</si>
  <si>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</si>
  <si>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</si>
  <si>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</si>
  <si>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</si>
  <si>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</si>
  <si>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</si>
  <si>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</si>
  <si>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</si>
  <si>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</si>
  <si>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</si>
  <si>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</si>
  <si>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</si>
  <si>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</si>
  <si>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</si>
  <si>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</si>
  <si>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</si>
  <si>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</si>
  <si>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</si>
  <si>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</si>
  <si>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</si>
  <si>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</si>
  <si>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</si>
  <si>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</si>
  <si>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</si>
  <si>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</si>
  <si>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</si>
  <si>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</si>
  <si>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</si>
  <si>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</si>
  <si>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</si>
  <si>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</si>
  <si>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</si>
  <si>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</si>
  <si>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</si>
  <si>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</si>
  <si>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</si>
  <si>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</si>
  <si>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</si>
  <si>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</si>
  <si>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</si>
  <si>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</si>
  <si>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</si>
  <si>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</si>
  <si>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</si>
  <si>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</si>
  <si>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</si>
  <si>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</si>
  <si>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</si>
  <si>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</si>
  <si>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</si>
  <si>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</si>
  <si>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</si>
  <si>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</si>
  <si>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</si>
  <si>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</si>
  <si>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</si>
  <si>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</si>
  <si>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</si>
  <si>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</si>
  <si>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</si>
  <si>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</si>
  <si>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</si>
  <si>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</si>
  <si>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</si>
  <si>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</si>
  <si>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</si>
  <si>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</si>
  <si>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</si>
  <si>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</si>
  <si>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</si>
  <si>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</si>
  <si>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</si>
  <si>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</si>
  <si>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</si>
  <si>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</si>
  <si>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</si>
  <si>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</si>
  <si>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</si>
  <si>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</si>
  <si>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</si>
  <si>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</si>
  <si>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</si>
  <si>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 xml:space="preserve">to </t>
  </si>
  <si>
    <t>Resale - Ind Arts</t>
  </si>
  <si>
    <t>Resale - Other</t>
  </si>
  <si>
    <t>Line 81 - Other Activity Receipts</t>
  </si>
  <si>
    <t>E-Rate Reimbursement</t>
  </si>
  <si>
    <t>IHSA Reimbursement - State Tournament</t>
  </si>
  <si>
    <t>Donations</t>
  </si>
  <si>
    <t>Insurance Premium Reimbursements</t>
  </si>
  <si>
    <t>Other Refunds and Reimbursements</t>
  </si>
  <si>
    <t>Resale - Athletic/Physical Education</t>
  </si>
  <si>
    <t>Line 107 - Other Local Receipts - Educational</t>
  </si>
  <si>
    <t>Line 107 - Other Local Receipts - Operations &amp; Maintenance</t>
  </si>
  <si>
    <t>Insurance Reimbursement - Roof Repair</t>
  </si>
  <si>
    <t>Line 107 - Other Local Receipts - Transportation</t>
  </si>
  <si>
    <t>Sale or Trade of Vehicle</t>
  </si>
  <si>
    <t>Field Trip and Sport Event Reimbursements</t>
  </si>
  <si>
    <t>Line 41 - Other Support Services - Supplies</t>
  </si>
  <si>
    <t>Extra-curricular Program Supplies</t>
  </si>
  <si>
    <t>EXPENDITURES</t>
  </si>
  <si>
    <t>Line 171 - Debt Service - Other</t>
  </si>
  <si>
    <t>Bond Fees</t>
  </si>
  <si>
    <t>Bond Issuance Cost</t>
  </si>
  <si>
    <t>Line 302 - Other Support Services</t>
  </si>
  <si>
    <t>x</t>
  </si>
  <si>
    <t>Effingham</t>
  </si>
  <si>
    <t>801 West Main</t>
  </si>
  <si>
    <t>Teutopolis</t>
  </si>
  <si>
    <t>philpotd@ttown.k12.il.us</t>
  </si>
  <si>
    <t>Deborah Philpot</t>
  </si>
  <si>
    <t>(217)857-3535</t>
  </si>
  <si>
    <t>(217)857-6365</t>
  </si>
  <si>
    <t>Bo V. Thomas, CPA</t>
  </si>
  <si>
    <t>2009 Life Safety Bonds</t>
  </si>
  <si>
    <t>2019 Life Safety Bonds</t>
  </si>
  <si>
    <t>Education - Improvement of Instruction - Purchased Service</t>
  </si>
  <si>
    <t>10-2200-300</t>
  </si>
  <si>
    <t>Ricoh USA, Inc</t>
  </si>
  <si>
    <t>Operations &amp; Maint - Plant Services - Purchased Services</t>
  </si>
  <si>
    <t>St. Francis of Assisi</t>
  </si>
  <si>
    <t>20-2550-300</t>
  </si>
  <si>
    <t>Martinsville Roofing Co</t>
  </si>
  <si>
    <t>Larry Heuerman Trucking</t>
  </si>
  <si>
    <t>John L. Lewis Construction</t>
  </si>
  <si>
    <t>Eastern Illinois Area of Special Education</t>
  </si>
  <si>
    <t xml:space="preserve">Line 168 - Other State Receipts </t>
  </si>
  <si>
    <t>E-Rate Matching</t>
  </si>
  <si>
    <t>PSAT</t>
  </si>
  <si>
    <t>Teutopolis CUSD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</si>
</sst>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sz val="7.5"/>
      <color indexed="12"/>
      <name val="Arial"/>
      <family val="2"/>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alignment vertical="top"/>
      <protection locked="0"/>
    </xf>
    <xf numFmtId="44" fontId="138" fillId="0" borderId="0" applyFont="0" applyFill="0" applyBorder="0" applyAlignment="0" applyProtection="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64" fontId="64" fillId="0" borderId="0" xfId="0" applyNumberFormat="1" applyFont="1"/>
    <xf numFmtId="181" fontId="56" fillId="0" borderId="0" xfId="1" applyNumberFormat="1" applyFont="1"/>
    <xf numFmtId="182" fontId="56" fillId="0" borderId="0" xfId="20" applyNumberFormat="1" applyFont="1"/>
    <xf numFmtId="181" fontId="56" fillId="0" borderId="78" xfId="1" applyNumberFormat="1" applyFont="1" applyBorder="1"/>
    <xf numFmtId="182" fontId="56" fillId="0" borderId="165" xfId="20" applyNumberFormat="1" applyFont="1" applyBorder="1"/>
    <xf numFmtId="182" fontId="56" fillId="0" borderId="0" xfId="20" applyNumberFormat="1" applyFont="1" applyBorder="1"/>
    <xf numFmtId="182" fontId="56" fillId="0" borderId="166" xfId="20"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Currency" xfId="20" builtinId="4"/>
    <cellStyle name="Hyperlink" xfId="2" builtinId="8"/>
    <cellStyle name="Hyperlink 2" xfId="15" xr:uid="{00000000-0005-0000-0000-000003000000}"/>
    <cellStyle name="Hyperlink 3" xfId="19"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4" xfId="16" xr:uid="{00000000-0005-0000-0000-00000A000000}"/>
    <cellStyle name="Normal 5" xfId="17"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66675</xdr:rowOff>
        </xdr:from>
        <xdr:to>
          <xdr:col>1</xdr:col>
          <xdr:colOff>914400</xdr:colOff>
          <xdr:row>11</xdr:row>
          <xdr:rowOff>114300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7" t="s">
        <v>405</v>
      </c>
      <c r="J1" s="1988"/>
      <c r="K1" s="1988"/>
      <c r="L1" s="1988"/>
      <c r="M1" s="1988"/>
      <c r="N1" s="1988"/>
      <c r="O1" s="1988"/>
      <c r="P1" s="1988"/>
      <c r="Q1" s="1988"/>
      <c r="R1" s="1988"/>
      <c r="S1" s="1988"/>
    </row>
    <row r="2" spans="1:28" ht="12" customHeight="1" x14ac:dyDescent="0.2">
      <c r="A2" s="47" t="s">
        <v>1993</v>
      </c>
      <c r="D2" s="48"/>
      <c r="I2" s="1989" t="s">
        <v>979</v>
      </c>
      <c r="J2" s="1988"/>
      <c r="K2" s="1988"/>
      <c r="L2" s="1988"/>
      <c r="M2" s="1988"/>
      <c r="N2" s="1988"/>
      <c r="O2" s="1988"/>
      <c r="P2" s="1988"/>
      <c r="Q2" s="1988"/>
      <c r="R2" s="1988"/>
      <c r="S2" s="1988"/>
    </row>
    <row r="3" spans="1:28" ht="12" customHeight="1" x14ac:dyDescent="0.2">
      <c r="A3" s="155" t="s">
        <v>1945</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2095</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2095</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3025050026</v>
      </c>
      <c r="B13" s="2023"/>
      <c r="C13" s="2023"/>
      <c r="D13" s="2023"/>
      <c r="E13" s="2023"/>
      <c r="F13" s="2023"/>
      <c r="G13" s="2023"/>
      <c r="H13" s="2024"/>
      <c r="I13" s="31"/>
      <c r="J13" s="30"/>
      <c r="K13" s="28"/>
      <c r="L13" s="30"/>
      <c r="M13" s="30"/>
      <c r="N13" s="30"/>
      <c r="O13" s="30"/>
      <c r="P13" s="30"/>
      <c r="Q13" s="30"/>
      <c r="R13" s="30"/>
      <c r="S13" s="30"/>
      <c r="T13" s="2027" t="s">
        <v>2064</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2096</v>
      </c>
      <c r="B15" s="2025"/>
      <c r="C15" s="2025"/>
      <c r="D15" s="2025"/>
      <c r="E15" s="2025"/>
      <c r="F15" s="2025"/>
      <c r="G15" s="2025"/>
      <c r="H15" s="2026"/>
      <c r="T15" s="2031" t="s">
        <v>2103</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2119</v>
      </c>
      <c r="B17" s="1982"/>
      <c r="C17" s="1982"/>
      <c r="D17" s="1982"/>
      <c r="E17" s="1982"/>
      <c r="F17" s="1982"/>
      <c r="G17" s="1982"/>
      <c r="H17" s="2007"/>
      <c r="T17" s="2038" t="s">
        <v>2065</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2097</v>
      </c>
      <c r="B19" s="1967"/>
      <c r="C19" s="1967"/>
      <c r="D19" s="1967"/>
      <c r="E19" s="1967"/>
      <c r="F19" s="1967"/>
      <c r="G19" s="1967"/>
      <c r="H19" s="1947"/>
      <c r="I19" s="30"/>
      <c r="J19" s="99"/>
      <c r="K19" s="40"/>
      <c r="L19" s="38"/>
      <c r="M19" s="112" t="s">
        <v>315</v>
      </c>
      <c r="P19" s="27"/>
      <c r="Q19" s="27"/>
      <c r="R19" s="27"/>
      <c r="S19" s="31"/>
      <c r="T19" s="2021" t="s">
        <v>2066</v>
      </c>
      <c r="U19" s="1946"/>
      <c r="V19" s="1946"/>
      <c r="W19" s="1947"/>
      <c r="X19" s="2036" t="s">
        <v>2067</v>
      </c>
      <c r="Y19" s="2037"/>
      <c r="Z19" s="2034">
        <v>62801</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2098</v>
      </c>
      <c r="B21" s="1946"/>
      <c r="C21" s="1946"/>
      <c r="D21" s="1946"/>
      <c r="E21" s="1946"/>
      <c r="F21" s="1946"/>
      <c r="G21" s="1946"/>
      <c r="H21" s="1947"/>
      <c r="I21" s="2001" t="s">
        <v>678</v>
      </c>
      <c r="J21" s="1996"/>
      <c r="K21" s="1996"/>
      <c r="L21" s="1996"/>
      <c r="M21" s="1996"/>
      <c r="N21" s="1996"/>
      <c r="O21" s="1996"/>
      <c r="P21" s="1996"/>
      <c r="Q21" s="1996"/>
      <c r="R21" s="1996"/>
      <c r="S21" s="2002"/>
      <c r="T21" s="2045" t="s">
        <v>2068</v>
      </c>
      <c r="U21" s="2046"/>
      <c r="V21" s="2046"/>
      <c r="W21" s="2046"/>
      <c r="X21" s="2051" t="s">
        <v>2069</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t="s">
        <v>2099</v>
      </c>
      <c r="B23" s="1999"/>
      <c r="C23" s="1999"/>
      <c r="D23" s="1999"/>
      <c r="E23" s="1999"/>
      <c r="F23" s="1999"/>
      <c r="G23" s="1999"/>
      <c r="H23" s="2000"/>
      <c r="T23" s="1981" t="s">
        <v>2070</v>
      </c>
      <c r="U23" s="2044"/>
      <c r="V23" s="2044"/>
      <c r="W23" s="2044"/>
      <c r="X23" s="2048">
        <v>44530</v>
      </c>
      <c r="Y23" s="2049"/>
      <c r="Z23" s="2049"/>
      <c r="AA23" s="2050"/>
    </row>
    <row r="24" spans="1:27" ht="14.1" customHeight="1" x14ac:dyDescent="0.2">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62476</v>
      </c>
      <c r="B25" s="1946"/>
      <c r="C25" s="1946"/>
      <c r="D25" s="1946"/>
      <c r="E25" s="1946"/>
      <c r="F25" s="1946"/>
      <c r="G25" s="1946"/>
      <c r="H25" s="1947"/>
      <c r="I25" s="113"/>
      <c r="J25" s="1970"/>
      <c r="K25" s="1970"/>
      <c r="L25" s="1970"/>
      <c r="M25" s="1970"/>
      <c r="N25" s="1970"/>
      <c r="O25" s="1970"/>
      <c r="P25" s="1970"/>
      <c r="Q25" s="1970"/>
      <c r="R25" s="1970"/>
      <c r="S25" s="1971"/>
      <c r="T25" s="2041" t="s">
        <v>2071</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2095</v>
      </c>
      <c r="M29" s="40" t="s">
        <v>99</v>
      </c>
      <c r="N29" s="32" t="s">
        <v>1523</v>
      </c>
      <c r="O29" s="32"/>
      <c r="P29" s="32"/>
      <c r="Q29" s="32"/>
      <c r="R29" s="32"/>
      <c r="S29" s="123"/>
      <c r="T29" s="6"/>
      <c r="U29" s="6"/>
      <c r="V29" s="6"/>
      <c r="W29" s="6"/>
      <c r="X29" s="6"/>
      <c r="Y29" s="6"/>
      <c r="Z29" s="6"/>
      <c r="AA29" s="132"/>
    </row>
    <row r="30" spans="1:27" ht="13.5" customHeight="1" x14ac:dyDescent="0.2">
      <c r="A30" s="153"/>
      <c r="B30" s="136" t="s">
        <v>2095</v>
      </c>
      <c r="C30" s="124" t="s">
        <v>1164</v>
      </c>
      <c r="D30" s="28"/>
      <c r="E30" s="28"/>
      <c r="F30" s="140"/>
      <c r="G30" s="114"/>
      <c r="H30" s="114"/>
      <c r="I30" s="54"/>
      <c r="J30" s="102"/>
      <c r="K30" s="28" t="s">
        <v>576</v>
      </c>
      <c r="L30" s="148" t="s">
        <v>2095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2095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2100</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2099</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2101</v>
      </c>
      <c r="B42" s="1965"/>
      <c r="C42" s="1966"/>
      <c r="D42" s="1964" t="s">
        <v>2102</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19" sqref="A1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7" t="s">
        <v>1802</v>
      </c>
      <c r="B2" s="1526" t="s">
        <v>1951</v>
      </c>
      <c r="C2" s="714" t="s">
        <v>1952</v>
      </c>
      <c r="D2" s="714" t="s">
        <v>1953</v>
      </c>
      <c r="E2" s="714" t="s">
        <v>1954</v>
      </c>
      <c r="F2" s="714" t="s">
        <v>1955</v>
      </c>
    </row>
    <row r="3" spans="1:6" ht="12" customHeight="1" x14ac:dyDescent="0.2">
      <c r="A3" s="2188"/>
      <c r="B3" s="1523"/>
      <c r="C3" s="1524"/>
      <c r="D3" s="1525" t="s">
        <v>256</v>
      </c>
      <c r="E3" s="1524"/>
      <c r="F3" s="1525" t="s">
        <v>257</v>
      </c>
    </row>
    <row r="4" spans="1:6" ht="13.7" customHeight="1" x14ac:dyDescent="0.2">
      <c r="A4" s="715" t="s">
        <v>1155</v>
      </c>
      <c r="B4" s="1747">
        <f>'Revenues 9-14'!C5</f>
        <v>2491058</v>
      </c>
      <c r="C4" s="1522"/>
      <c r="D4" s="1750">
        <f>B4-C4</f>
        <v>2491058</v>
      </c>
      <c r="E4" s="1522">
        <f>2511913-3543</f>
        <v>2508370</v>
      </c>
      <c r="F4" s="1750">
        <f>E4-C4</f>
        <v>2508370</v>
      </c>
    </row>
    <row r="5" spans="1:6" ht="13.7" customHeight="1" x14ac:dyDescent="0.2">
      <c r="A5" s="715" t="s">
        <v>870</v>
      </c>
      <c r="B5" s="1748">
        <f>'Revenues 9-14'!D5</f>
        <v>779293</v>
      </c>
      <c r="C5" s="585"/>
      <c r="D5" s="1751">
        <f t="shared" ref="D5:D18" si="0">B5-C5</f>
        <v>779293</v>
      </c>
      <c r="E5" s="585">
        <v>784973</v>
      </c>
      <c r="F5" s="1751">
        <f>E5-C5</f>
        <v>784973</v>
      </c>
    </row>
    <row r="6" spans="1:6" ht="13.7" customHeight="1" x14ac:dyDescent="0.2">
      <c r="A6" s="715" t="s">
        <v>411</v>
      </c>
      <c r="B6" s="1748">
        <f>'Revenues 9-14'!E5</f>
        <v>403472</v>
      </c>
      <c r="C6" s="585"/>
      <c r="D6" s="1751">
        <f t="shared" si="0"/>
        <v>403472</v>
      </c>
      <c r="E6" s="585">
        <v>694448</v>
      </c>
      <c r="F6" s="1751">
        <f t="shared" ref="F6:F18" si="1">E6-C6</f>
        <v>694448</v>
      </c>
    </row>
    <row r="7" spans="1:6" ht="13.7" customHeight="1" x14ac:dyDescent="0.2">
      <c r="A7" s="715" t="s">
        <v>155</v>
      </c>
      <c r="B7" s="1748">
        <f>'Revenues 9-14'!F5</f>
        <v>271060</v>
      </c>
      <c r="C7" s="585"/>
      <c r="D7" s="1751">
        <f t="shared" si="0"/>
        <v>271060</v>
      </c>
      <c r="E7" s="585">
        <v>273034</v>
      </c>
      <c r="F7" s="1751">
        <f t="shared" si="1"/>
        <v>273034</v>
      </c>
    </row>
    <row r="8" spans="1:6" ht="13.7" customHeight="1" x14ac:dyDescent="0.2">
      <c r="A8" s="715" t="s">
        <v>1179</v>
      </c>
      <c r="B8" s="1748">
        <f>'Revenues 9-14'!G5</f>
        <v>140476</v>
      </c>
      <c r="C8" s="585"/>
      <c r="D8" s="1751">
        <f t="shared" si="0"/>
        <v>140476</v>
      </c>
      <c r="E8" s="585">
        <v>120012</v>
      </c>
      <c r="F8" s="1751">
        <f t="shared" si="1"/>
        <v>120012</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67765</v>
      </c>
      <c r="C10" s="585"/>
      <c r="D10" s="1751">
        <f t="shared" si="0"/>
        <v>67765</v>
      </c>
      <c r="E10" s="585">
        <v>68259</v>
      </c>
      <c r="F10" s="1751">
        <f t="shared" si="1"/>
        <v>68259</v>
      </c>
    </row>
    <row r="11" spans="1:6" x14ac:dyDescent="0.2">
      <c r="A11" s="715" t="s">
        <v>409</v>
      </c>
      <c r="B11" s="1748">
        <f>'Revenues 9-14'!J5</f>
        <v>361219</v>
      </c>
      <c r="C11" s="585"/>
      <c r="D11" s="1751">
        <f t="shared" si="0"/>
        <v>361219</v>
      </c>
      <c r="E11" s="585">
        <v>360009</v>
      </c>
      <c r="F11" s="1751">
        <f t="shared" si="1"/>
        <v>360009</v>
      </c>
    </row>
    <row r="12" spans="1:6" ht="13.7" customHeight="1" x14ac:dyDescent="0.2">
      <c r="A12" s="715" t="s">
        <v>157</v>
      </c>
      <c r="B12" s="1748">
        <f>'Revenues 9-14'!K5</f>
        <v>67765</v>
      </c>
      <c r="C12" s="585"/>
      <c r="D12" s="1751">
        <f t="shared" si="0"/>
        <v>67765</v>
      </c>
      <c r="E12" s="585">
        <v>68258</v>
      </c>
      <c r="F12" s="1751">
        <f t="shared" si="1"/>
        <v>68258</v>
      </c>
    </row>
    <row r="13" spans="1:6" ht="13.7" customHeight="1" x14ac:dyDescent="0.2">
      <c r="A13" s="715" t="s">
        <v>936</v>
      </c>
      <c r="B13" s="1748">
        <f>SUM('Revenues 9-14'!C6:D6)</f>
        <v>67765</v>
      </c>
      <c r="C13" s="585"/>
      <c r="D13" s="1751">
        <f t="shared" si="0"/>
        <v>67765</v>
      </c>
      <c r="E13" s="585">
        <v>68258</v>
      </c>
      <c r="F13" s="1751">
        <f t="shared" si="1"/>
        <v>68258</v>
      </c>
    </row>
    <row r="14" spans="1:6" ht="13.7" customHeight="1" x14ac:dyDescent="0.2">
      <c r="A14" s="715" t="s">
        <v>410</v>
      </c>
      <c r="B14" s="1748">
        <f>SUM('Revenues 9-14'!C7:D7,'Revenues 9-14'!F7:H7)</f>
        <v>54213</v>
      </c>
      <c r="C14" s="585"/>
      <c r="D14" s="1751">
        <f t="shared" si="0"/>
        <v>54213</v>
      </c>
      <c r="E14" s="585">
        <v>54607</v>
      </c>
      <c r="F14" s="1751">
        <f t="shared" si="1"/>
        <v>54607</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140476</v>
      </c>
      <c r="C16" s="585"/>
      <c r="D16" s="1751">
        <f t="shared" si="0"/>
        <v>140476</v>
      </c>
      <c r="E16" s="585">
        <v>120012</v>
      </c>
      <c r="F16" s="1751">
        <f t="shared" si="1"/>
        <v>120012</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4844562</v>
      </c>
      <c r="C19" s="1749">
        <f>SUM(C4:C18)</f>
        <v>0</v>
      </c>
      <c r="D19" s="1749">
        <f>SUM(D4:D18)</f>
        <v>4844562</v>
      </c>
      <c r="E19" s="1749">
        <f>SUM(E4:E18)</f>
        <v>5120240</v>
      </c>
      <c r="F19" s="1749">
        <f>SUM(F4:F18)</f>
        <v>5120240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A34" sqref="A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2" t="s">
        <v>1956</v>
      </c>
      <c r="D2" s="723" t="s">
        <v>1957</v>
      </c>
      <c r="E2" s="723" t="s">
        <v>1958</v>
      </c>
      <c r="F2" s="1882" t="s">
        <v>1959</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3">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00" t="s">
        <v>631</v>
      </c>
      <c r="B15" s="2201"/>
      <c r="C15" s="1753">
        <f>SUM(C6:C14)</f>
        <v>0</v>
      </c>
      <c r="D15" s="1753">
        <f>SUM(D6:D14)</f>
        <v>0</v>
      </c>
      <c r="E15" s="1753">
        <f>SUM(E6:E14)</f>
        <v>0</v>
      </c>
      <c r="F15" s="1753">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3">
        <f>SUM(C17+D17)-E17</f>
        <v>0</v>
      </c>
    </row>
    <row r="18" spans="1:11" ht="12.75" customHeight="1" thickTop="1" thickBot="1" x14ac:dyDescent="0.25">
      <c r="A18" s="2195" t="s">
        <v>6</v>
      </c>
      <c r="B18" s="2196"/>
      <c r="C18" s="726"/>
      <c r="D18" s="585"/>
      <c r="E18" s="726"/>
      <c r="F18" s="1753">
        <f>SUM(C18+D18)-E18</f>
        <v>0</v>
      </c>
    </row>
    <row r="19" spans="1:11" ht="12.75" customHeight="1" thickTop="1" thickBot="1" x14ac:dyDescent="0.25">
      <c r="A19" s="2195" t="s">
        <v>388</v>
      </c>
      <c r="B19" s="2196"/>
      <c r="C19" s="726"/>
      <c r="D19" s="585"/>
      <c r="E19" s="726"/>
      <c r="F19" s="1753">
        <f>SUM(C19+D19)-E19</f>
        <v>0</v>
      </c>
    </row>
    <row r="20" spans="1:11" ht="12.75" customHeight="1" thickTop="1" thickBot="1" x14ac:dyDescent="0.25">
      <c r="A20" s="2195" t="s">
        <v>448</v>
      </c>
      <c r="B20" s="2196"/>
      <c r="C20" s="726"/>
      <c r="D20" s="585"/>
      <c r="E20" s="726"/>
      <c r="F20" s="1753">
        <f>SUM(C20+D20)-E20</f>
        <v>0</v>
      </c>
    </row>
    <row r="21" spans="1:11" ht="14.25" thickTop="1" thickBot="1" x14ac:dyDescent="0.25">
      <c r="A21" s="2200" t="s">
        <v>632</v>
      </c>
      <c r="B21" s="2201"/>
      <c r="C21" s="1753">
        <f>SUM(C17:C20)</f>
        <v>0</v>
      </c>
      <c r="D21" s="1753">
        <f>SUM(D17:D20)</f>
        <v>0</v>
      </c>
      <c r="E21" s="1753">
        <f>SUM(E17:E20)</f>
        <v>0</v>
      </c>
      <c r="F21" s="1753">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3">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3">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3">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7" t="s">
        <v>1071</v>
      </c>
      <c r="B30" s="730" t="s">
        <v>1124</v>
      </c>
      <c r="C30" s="1883" t="s">
        <v>583</v>
      </c>
      <c r="D30" s="1883" t="s">
        <v>1673</v>
      </c>
      <c r="E30" s="1883" t="s">
        <v>1960</v>
      </c>
      <c r="F30" s="1883" t="s">
        <v>1961</v>
      </c>
      <c r="G30" s="1883" t="s">
        <v>1911</v>
      </c>
      <c r="H30" s="1883" t="s">
        <v>1962</v>
      </c>
      <c r="I30" s="1883" t="s">
        <v>1963</v>
      </c>
      <c r="J30" s="1884" t="s">
        <v>2</v>
      </c>
      <c r="K30" s="731"/>
    </row>
    <row r="31" spans="1:11" ht="12" customHeight="1" x14ac:dyDescent="0.2">
      <c r="A31" s="732" t="s">
        <v>2104</v>
      </c>
      <c r="B31" s="733">
        <v>39939</v>
      </c>
      <c r="C31" s="734">
        <v>4360000</v>
      </c>
      <c r="D31" s="735">
        <v>4</v>
      </c>
      <c r="E31" s="734">
        <v>3885000</v>
      </c>
      <c r="F31" s="734"/>
      <c r="G31" s="734"/>
      <c r="H31" s="734">
        <v>250000</v>
      </c>
      <c r="I31" s="1754">
        <f>((E31+F31)-H31)+G31</f>
        <v>3635000</v>
      </c>
      <c r="J31" s="734">
        <f>I31-(I31/I49*'Assets-Liab 5-6'!E4)</f>
        <v>3582785.4830582105</v>
      </c>
      <c r="K31" s="736"/>
    </row>
    <row r="32" spans="1:11" ht="12" customHeight="1" x14ac:dyDescent="0.2">
      <c r="A32" s="732" t="s">
        <v>2105</v>
      </c>
      <c r="B32" s="733">
        <v>43507</v>
      </c>
      <c r="C32" s="734">
        <v>2120000</v>
      </c>
      <c r="D32" s="735">
        <v>4</v>
      </c>
      <c r="E32" s="734"/>
      <c r="F32" s="734">
        <v>2120000</v>
      </c>
      <c r="G32" s="734"/>
      <c r="H32" s="734"/>
      <c r="I32" s="1754">
        <f>((E32+F32)-H32)+G32</f>
        <v>2120000</v>
      </c>
      <c r="J32" s="734">
        <f>I32-(I32/I49*'Assets-Liab 5-6'!E4)</f>
        <v>2089547.5169417898</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6480000</v>
      </c>
      <c r="D49" s="745"/>
      <c r="E49" s="1754">
        <f t="shared" ref="E49:J49" si="2">SUM(E31:E48)</f>
        <v>3885000</v>
      </c>
      <c r="F49" s="1754">
        <f t="shared" si="2"/>
        <v>2120000</v>
      </c>
      <c r="G49" s="1754">
        <f t="shared" si="2"/>
        <v>0</v>
      </c>
      <c r="H49" s="1754">
        <f t="shared" si="2"/>
        <v>250000</v>
      </c>
      <c r="I49" s="1754">
        <f t="shared" si="2"/>
        <v>5755000</v>
      </c>
      <c r="J49" s="1754">
        <f t="shared" si="2"/>
        <v>5672333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28"/>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1964</v>
      </c>
      <c r="B3" s="2241"/>
      <c r="C3" s="2241"/>
      <c r="D3" s="2241"/>
      <c r="E3" s="2242"/>
      <c r="F3" s="763"/>
      <c r="G3" s="764"/>
      <c r="H3" s="764"/>
      <c r="I3" s="764"/>
      <c r="J3" s="765">
        <v>31716</v>
      </c>
      <c r="K3" s="765">
        <v>-200597</v>
      </c>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f>'Revenues 9-14'!C7</f>
        <v>54213</v>
      </c>
      <c r="I5" s="772"/>
      <c r="J5" s="773"/>
      <c r="K5" s="773"/>
    </row>
    <row r="6" spans="1:11" x14ac:dyDescent="0.2">
      <c r="A6" s="774" t="s">
        <v>720</v>
      </c>
      <c r="B6" s="775"/>
      <c r="C6" s="775"/>
      <c r="D6" s="775"/>
      <c r="E6" s="776"/>
      <c r="F6" s="777" t="s">
        <v>849</v>
      </c>
      <c r="G6" s="764"/>
      <c r="H6" s="764"/>
      <c r="I6" s="764"/>
      <c r="J6" s="765">
        <v>380</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f>'Revenues 9-14'!H103</f>
        <v>29545</v>
      </c>
      <c r="K8" s="769"/>
    </row>
    <row r="9" spans="1:11" x14ac:dyDescent="0.2">
      <c r="A9" s="778" t="s">
        <v>138</v>
      </c>
      <c r="B9" s="779"/>
      <c r="C9" s="779"/>
      <c r="D9" s="779"/>
      <c r="E9" s="780"/>
      <c r="F9" s="777" t="s">
        <v>853</v>
      </c>
      <c r="G9" s="782"/>
      <c r="H9" s="771"/>
      <c r="I9" s="771"/>
      <c r="J9" s="781"/>
      <c r="K9" s="765"/>
    </row>
    <row r="10" spans="1:11" x14ac:dyDescent="0.2">
      <c r="A10" s="2221" t="s">
        <v>1813</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5"/>
      <c r="G12" s="1756">
        <f>SUM(G5:G11)</f>
        <v>0</v>
      </c>
      <c r="H12" s="1756">
        <f>SUM(H5:H11)</f>
        <v>54213</v>
      </c>
      <c r="I12" s="1756">
        <f>SUM(I5:I11)</f>
        <v>0</v>
      </c>
      <c r="J12" s="1756">
        <f>SUM(J5:J11)</f>
        <v>29925</v>
      </c>
      <c r="K12" s="1756">
        <f>SUM(K5:K11)</f>
        <v>0</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f>H5</f>
        <v>54213</v>
      </c>
      <c r="I14" s="771"/>
      <c r="J14" s="773"/>
      <c r="K14" s="765"/>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1809</v>
      </c>
      <c r="B19" s="2230"/>
      <c r="C19" s="2230"/>
      <c r="D19" s="2230"/>
      <c r="E19" s="2231"/>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7"/>
      <c r="G21" s="792"/>
      <c r="H21" s="796"/>
      <c r="I21" s="796"/>
      <c r="J21" s="1758">
        <f>SUM(J18:J20)</f>
        <v>0</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59"/>
      <c r="G23" s="1756">
        <f>SUM(G14:G16,G21,G22)</f>
        <v>0</v>
      </c>
      <c r="H23" s="1756">
        <f>SUM(H14:H16,H21,H22)</f>
        <v>54213</v>
      </c>
      <c r="I23" s="1756">
        <f>SUM(I14:I16,I21,I22)</f>
        <v>0</v>
      </c>
      <c r="J23" s="1756">
        <f>SUM(J14:J16,J21,J22)</f>
        <v>0</v>
      </c>
      <c r="K23" s="1756">
        <f>SUM(K14:K16,K21,K22)</f>
        <v>0</v>
      </c>
    </row>
    <row r="24" spans="1:11" ht="14.25" thickTop="1" thickBot="1" x14ac:dyDescent="0.25">
      <c r="A24" s="2252" t="s">
        <v>1965</v>
      </c>
      <c r="B24" s="2251"/>
      <c r="C24" s="2251"/>
      <c r="D24" s="2251"/>
      <c r="E24" s="2251"/>
      <c r="F24" s="1760"/>
      <c r="G24" s="1761">
        <f>SUM(G3,G12)-G23</f>
        <v>0</v>
      </c>
      <c r="H24" s="1761">
        <f>SUM(H3,H12)-H23</f>
        <v>0</v>
      </c>
      <c r="I24" s="1761">
        <f>SUM(I3,I12)-I23</f>
        <v>0</v>
      </c>
      <c r="J24" s="1761">
        <f>SUM(J3,J12)-J23</f>
        <v>61641</v>
      </c>
      <c r="K24" s="1761">
        <f>SUM(K3,K12)-K23</f>
        <v>-200597</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61641</v>
      </c>
      <c r="K26" s="1756">
        <f>K24-K25</f>
        <v>-200597</v>
      </c>
    </row>
    <row r="27" spans="1:11" ht="5.25" customHeight="1" thickTop="1" x14ac:dyDescent="0.2">
      <c r="I27" s="202"/>
      <c r="J27" s="202"/>
    </row>
    <row r="28" spans="1:11" ht="29.25" customHeight="1" x14ac:dyDescent="0.2">
      <c r="A28" s="1878" t="s">
        <v>1910</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2095</v>
      </c>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1810</v>
      </c>
      <c r="B46" s="408" t="s">
        <v>1675</v>
      </c>
    </row>
    <row r="47" spans="1:11" s="823" customFormat="1" ht="12.75" customHeight="1" x14ac:dyDescent="0.2">
      <c r="A47" s="821"/>
      <c r="B47" s="822" t="s">
        <v>1676</v>
      </c>
      <c r="E47" s="822"/>
      <c r="K47" s="824"/>
    </row>
    <row r="48" spans="1:11" ht="12.75" customHeight="1" x14ac:dyDescent="0.2">
      <c r="A48" s="1530"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1909</v>
      </c>
      <c r="B1" s="2258"/>
      <c r="C1" s="2259"/>
      <c r="D1" s="826"/>
      <c r="E1" s="827"/>
      <c r="F1" s="827"/>
      <c r="G1" s="828"/>
      <c r="H1" s="829"/>
      <c r="I1" s="830"/>
      <c r="J1" s="2255"/>
      <c r="K1" s="2256"/>
      <c r="L1" s="225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634319</v>
      </c>
      <c r="D5" s="841"/>
      <c r="E5" s="841"/>
      <c r="F5" s="1758">
        <f>(C5+D5)-E5</f>
        <v>634319</v>
      </c>
      <c r="G5" s="837"/>
      <c r="H5" s="842"/>
      <c r="I5" s="842"/>
      <c r="J5" s="842"/>
      <c r="K5" s="793"/>
      <c r="L5" s="1767">
        <f>F5-K5</f>
        <v>634319</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17043669</v>
      </c>
      <c r="D8" s="844">
        <v>129673</v>
      </c>
      <c r="E8" s="844"/>
      <c r="F8" s="1758">
        <f>(C8+D8)-E8</f>
        <v>17173342</v>
      </c>
      <c r="G8" s="843">
        <v>50</v>
      </c>
      <c r="H8" s="765">
        <v>5690728</v>
      </c>
      <c r="I8" s="765">
        <v>337026</v>
      </c>
      <c r="J8" s="765"/>
      <c r="K8" s="1767">
        <f>(H8+I8)-J8</f>
        <v>6027754</v>
      </c>
      <c r="L8" s="1767">
        <f>F8-K8</f>
        <v>11145588</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1496570</v>
      </c>
      <c r="D10" s="846">
        <v>3898</v>
      </c>
      <c r="E10" s="846"/>
      <c r="F10" s="1762">
        <f>(C10+D10)-E10</f>
        <v>1500468</v>
      </c>
      <c r="G10" s="843">
        <v>20</v>
      </c>
      <c r="H10" s="847">
        <v>1110299</v>
      </c>
      <c r="I10" s="847">
        <v>57555</v>
      </c>
      <c r="J10" s="847"/>
      <c r="K10" s="1767">
        <f>(H10+I10)-J10</f>
        <v>1167854</v>
      </c>
      <c r="L10" s="1767">
        <f>F10-K10</f>
        <v>332614</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6627585</v>
      </c>
      <c r="D12" s="844">
        <v>107449</v>
      </c>
      <c r="E12" s="844"/>
      <c r="F12" s="1758">
        <f>(C12+D12)-E12</f>
        <v>6735034</v>
      </c>
      <c r="G12" s="843">
        <v>10</v>
      </c>
      <c r="H12" s="765">
        <v>5778868</v>
      </c>
      <c r="I12" s="765">
        <f>7993+155429</f>
        <v>163422</v>
      </c>
      <c r="J12" s="765"/>
      <c r="K12" s="1767">
        <f>(H12+I12)-J12</f>
        <v>5942290</v>
      </c>
      <c r="L12" s="1767">
        <f>F12-K12</f>
        <v>792744</v>
      </c>
    </row>
    <row r="13" spans="1:14" ht="14.25" thickTop="1" thickBot="1" x14ac:dyDescent="0.25">
      <c r="A13" s="848" t="s">
        <v>1122</v>
      </c>
      <c r="B13" s="840">
        <v>252</v>
      </c>
      <c r="C13" s="844">
        <v>1675175</v>
      </c>
      <c r="D13" s="844">
        <v>91760</v>
      </c>
      <c r="E13" s="844">
        <v>80041</v>
      </c>
      <c r="F13" s="1758">
        <f>(C13+D13)-E13</f>
        <v>1686894</v>
      </c>
      <c r="G13" s="843">
        <v>5</v>
      </c>
      <c r="H13" s="765">
        <v>1440481</v>
      </c>
      <c r="I13" s="765">
        <v>92751</v>
      </c>
      <c r="J13" s="765">
        <v>80041</v>
      </c>
      <c r="K13" s="1767">
        <f>(H13+I13)-J13</f>
        <v>1453191</v>
      </c>
      <c r="L13" s="1767">
        <f>F13-K13</f>
        <v>233703</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528</v>
      </c>
      <c r="B15" s="1628">
        <v>260</v>
      </c>
      <c r="C15" s="844">
        <v>60749</v>
      </c>
      <c r="D15" s="844">
        <v>281077</v>
      </c>
      <c r="E15" s="844">
        <v>60749</v>
      </c>
      <c r="F15" s="1758">
        <f>(C15+D15)-E15</f>
        <v>281077</v>
      </c>
      <c r="G15" s="849" t="s">
        <v>862</v>
      </c>
      <c r="H15" s="781"/>
      <c r="I15" s="781"/>
      <c r="J15" s="781"/>
      <c r="K15" s="781"/>
      <c r="L15" s="1767">
        <f>F15-K15</f>
        <v>281077</v>
      </c>
    </row>
    <row r="16" spans="1:14" ht="15" customHeight="1" thickTop="1" thickBot="1" x14ac:dyDescent="0.25">
      <c r="A16" s="1763" t="s">
        <v>643</v>
      </c>
      <c r="B16" s="1764">
        <v>200</v>
      </c>
      <c r="C16" s="1758">
        <f>SUM(C3,C5:C6,C8:C10,C12:C15)</f>
        <v>27538067</v>
      </c>
      <c r="D16" s="1758">
        <f>SUM(D3,D5:D6,D8:D10,D12:D15)</f>
        <v>613857</v>
      </c>
      <c r="E16" s="1758">
        <f>SUM(E3,E5:E6,E8:E10,E12:E15)</f>
        <v>140790</v>
      </c>
      <c r="F16" s="1758">
        <f>SUM(F3,F5:F6,F8:F10,F12:F15)</f>
        <v>28011134</v>
      </c>
      <c r="G16" s="843"/>
      <c r="H16" s="1758">
        <f>SUM(H3,H6,H8:H10,H12:H14,)</f>
        <v>14020376</v>
      </c>
      <c r="I16" s="1758">
        <f>SUM(I3,I6,I8:I10,I12:I14,)</f>
        <v>650754</v>
      </c>
      <c r="J16" s="1758">
        <f>SUM(J3,J6,J8:J10,J12:J14,)</f>
        <v>80041</v>
      </c>
      <c r="K16" s="1758">
        <f>(H16+I16)-J16</f>
        <v>14591089</v>
      </c>
      <c r="L16" s="1758">
        <f>F16-K16</f>
        <v>13420045</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650754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45" sqref="F4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1975</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6662187</v>
      </c>
      <c r="G8" s="865"/>
    </row>
    <row r="9" spans="1:7" x14ac:dyDescent="0.2">
      <c r="A9" s="869" t="s">
        <v>460</v>
      </c>
      <c r="B9" s="870" t="s">
        <v>1877</v>
      </c>
      <c r="C9" s="871"/>
      <c r="D9" s="869" t="s">
        <v>501</v>
      </c>
      <c r="E9" s="868"/>
      <c r="F9" s="1907">
        <f>'Expenditures 15-22'!K151</f>
        <v>854131</v>
      </c>
      <c r="G9" s="872"/>
    </row>
    <row r="10" spans="1:7" x14ac:dyDescent="0.2">
      <c r="A10" s="869" t="s">
        <v>499</v>
      </c>
      <c r="B10" s="870" t="s">
        <v>1878</v>
      </c>
      <c r="C10" s="871"/>
      <c r="D10" s="869" t="s">
        <v>501</v>
      </c>
      <c r="E10" s="868"/>
      <c r="F10" s="1907">
        <f>'Expenditures 15-22'!K174</f>
        <v>402608</v>
      </c>
      <c r="G10" s="872"/>
    </row>
    <row r="11" spans="1:7" x14ac:dyDescent="0.2">
      <c r="A11" s="869" t="s">
        <v>461</v>
      </c>
      <c r="B11" s="870" t="s">
        <v>1879</v>
      </c>
      <c r="C11" s="871"/>
      <c r="D11" s="869" t="s">
        <v>501</v>
      </c>
      <c r="E11" s="868"/>
      <c r="F11" s="1907">
        <f>'Expenditures 15-22'!K210</f>
        <v>480167</v>
      </c>
      <c r="G11" s="872"/>
    </row>
    <row r="12" spans="1:7" x14ac:dyDescent="0.2">
      <c r="A12" s="869" t="s">
        <v>462</v>
      </c>
      <c r="B12" s="870" t="s">
        <v>1880</v>
      </c>
      <c r="C12" s="871"/>
      <c r="D12" s="869" t="s">
        <v>501</v>
      </c>
      <c r="E12" s="868"/>
      <c r="F12" s="1907">
        <f>'Expenditures 15-22'!K295</f>
        <v>276672</v>
      </c>
      <c r="G12" s="872"/>
    </row>
    <row r="13" spans="1:7" x14ac:dyDescent="0.2">
      <c r="A13" s="869" t="s">
        <v>106</v>
      </c>
      <c r="B13" s="870" t="s">
        <v>1881</v>
      </c>
      <c r="C13" s="871"/>
      <c r="D13" s="869" t="s">
        <v>501</v>
      </c>
      <c r="E13" s="868"/>
      <c r="F13" s="1907">
        <f>'Expenditures 15-22'!K342</f>
        <v>354904</v>
      </c>
      <c r="G13" s="873"/>
    </row>
    <row r="14" spans="1:7" ht="12" customHeight="1" thickBot="1" x14ac:dyDescent="0.25">
      <c r="A14" s="1768"/>
      <c r="B14" s="1769"/>
      <c r="C14" s="1770"/>
      <c r="D14" s="1771" t="s">
        <v>501</v>
      </c>
      <c r="E14" s="1772" t="s">
        <v>958</v>
      </c>
      <c r="F14" s="1773">
        <f>SUM(F8:F13)</f>
        <v>9030669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2">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2002</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42838</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1">
        <f>'Expenditures 15-22'!K102</f>
        <v>269479</v>
      </c>
      <c r="G53" s="865"/>
    </row>
    <row r="54" spans="1:7" x14ac:dyDescent="0.2">
      <c r="A54" s="869" t="s">
        <v>459</v>
      </c>
      <c r="B54" s="869" t="s">
        <v>1476</v>
      </c>
      <c r="C54" s="889" t="s">
        <v>982</v>
      </c>
      <c r="D54" s="885" t="s">
        <v>1095</v>
      </c>
      <c r="E54" s="868"/>
      <c r="F54" s="1911">
        <f>'Expenditures 15-22'!G114</f>
        <v>102772</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1">
        <f>'Expenditures 15-22'!K139</f>
        <v>0</v>
      </c>
      <c r="G57" s="865"/>
    </row>
    <row r="58" spans="1:7" x14ac:dyDescent="0.2">
      <c r="A58" s="869" t="s">
        <v>460</v>
      </c>
      <c r="B58" s="869" t="s">
        <v>1883</v>
      </c>
      <c r="C58" s="886" t="s">
        <v>982</v>
      </c>
      <c r="D58" s="885" t="s">
        <v>1095</v>
      </c>
      <c r="E58" s="868"/>
      <c r="F58" s="1913">
        <f>'Expenditures 15-22'!G151</f>
        <v>155270</v>
      </c>
      <c r="G58" s="865"/>
    </row>
    <row r="59" spans="1:7" x14ac:dyDescent="0.2">
      <c r="A59" s="893" t="s">
        <v>460</v>
      </c>
      <c r="B59" s="856" t="s">
        <v>1884</v>
      </c>
      <c r="C59" s="894" t="s">
        <v>982</v>
      </c>
      <c r="D59" s="856" t="s">
        <v>291</v>
      </c>
      <c r="F59" s="1914">
        <f>'Expenditures 15-22'!I151</f>
        <v>0</v>
      </c>
      <c r="G59" s="865"/>
    </row>
    <row r="60" spans="1:7" x14ac:dyDescent="0.2">
      <c r="A60" s="893" t="s">
        <v>499</v>
      </c>
      <c r="B60" s="856" t="s">
        <v>1885</v>
      </c>
      <c r="C60" s="894">
        <v>4000</v>
      </c>
      <c r="D60" s="856" t="s">
        <v>312</v>
      </c>
      <c r="F60" s="1912">
        <f>'Expenditures 15-22'!K160</f>
        <v>0</v>
      </c>
      <c r="G60" s="865"/>
    </row>
    <row r="61" spans="1:7" x14ac:dyDescent="0.2">
      <c r="A61" s="895" t="s">
        <v>499</v>
      </c>
      <c r="B61" s="895" t="s">
        <v>1886</v>
      </c>
      <c r="C61" s="896" t="str">
        <f>'Expenditures 15-22'!B170</f>
        <v>5300</v>
      </c>
      <c r="D61" s="897" t="s">
        <v>311</v>
      </c>
      <c r="E61" s="879"/>
      <c r="F61" s="1911">
        <f>'Expenditures 15-22'!K170</f>
        <v>250000</v>
      </c>
      <c r="G61" s="865"/>
    </row>
    <row r="62" spans="1:7" x14ac:dyDescent="0.2">
      <c r="A62" s="869" t="s">
        <v>461</v>
      </c>
      <c r="B62" s="869" t="s">
        <v>1887</v>
      </c>
      <c r="C62" s="886">
        <f>'Expenditures 15-22'!B185</f>
        <v>3000</v>
      </c>
      <c r="D62" s="876" t="s">
        <v>449</v>
      </c>
      <c r="E62" s="868"/>
      <c r="F62" s="1911">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1889</v>
      </c>
      <c r="C64" s="896" t="str">
        <f>'Expenditures 15-22'!B206</f>
        <v>5300</v>
      </c>
      <c r="D64" s="892" t="s">
        <v>311</v>
      </c>
      <c r="E64" s="868"/>
      <c r="F64" s="1911">
        <f>'Expenditures 15-22'!K206</f>
        <v>0</v>
      </c>
      <c r="G64" s="865"/>
    </row>
    <row r="65" spans="1:8" x14ac:dyDescent="0.2">
      <c r="A65" s="869" t="s">
        <v>461</v>
      </c>
      <c r="B65" s="869" t="s">
        <v>1890</v>
      </c>
      <c r="C65" s="886" t="s">
        <v>982</v>
      </c>
      <c r="D65" s="885" t="s">
        <v>1095</v>
      </c>
      <c r="E65" s="868"/>
      <c r="F65" s="1911">
        <f>'Expenditures 15-22'!G210</f>
        <v>91760</v>
      </c>
      <c r="G65" s="865"/>
    </row>
    <row r="66" spans="1:8" x14ac:dyDescent="0.2">
      <c r="A66" s="869" t="s">
        <v>461</v>
      </c>
      <c r="B66" s="869" t="s">
        <v>1891</v>
      </c>
      <c r="C66" s="886" t="s">
        <v>982</v>
      </c>
      <c r="D66" s="885" t="s">
        <v>291</v>
      </c>
      <c r="E66" s="868"/>
      <c r="F66" s="1911">
        <f>'Expenditures 15-22'!I210</f>
        <v>0</v>
      </c>
      <c r="G66" s="865"/>
    </row>
    <row r="67" spans="1:8" x14ac:dyDescent="0.2">
      <c r="A67" s="869" t="s">
        <v>462</v>
      </c>
      <c r="B67" s="869" t="s">
        <v>1892</v>
      </c>
      <c r="C67" s="886" t="str">
        <f>'Expenditures 15-22'!B216</f>
        <v>1125</v>
      </c>
      <c r="D67" s="892" t="str">
        <f>'Expenditures 15-22'!A216</f>
        <v>Pre-K Programs</v>
      </c>
      <c r="E67" s="868"/>
      <c r="F67" s="1911">
        <f>'Expenditures 15-22'!K216</f>
        <v>2648</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1894</v>
      </c>
      <c r="C70" s="886">
        <f>'Expenditures 15-22'!B221</f>
        <v>1300</v>
      </c>
      <c r="D70" s="887" t="str">
        <f>'Expenditures 15-22'!A221</f>
        <v>Adult/Continuing Education Programs</v>
      </c>
      <c r="E70" s="868"/>
      <c r="F70" s="1911">
        <f>'Expenditures 15-22'!K221</f>
        <v>0</v>
      </c>
      <c r="G70" s="865"/>
    </row>
    <row r="71" spans="1:8" x14ac:dyDescent="0.2">
      <c r="A71" s="869" t="s">
        <v>462</v>
      </c>
      <c r="B71" s="869" t="s">
        <v>1895</v>
      </c>
      <c r="C71" s="886">
        <f>'Expenditures 15-22'!B224</f>
        <v>1600</v>
      </c>
      <c r="D71" s="887" t="str">
        <f>'Expenditures 15-22'!A224</f>
        <v>Summer School Programs</v>
      </c>
      <c r="E71" s="868"/>
      <c r="F71" s="1911">
        <f>'Expenditures 15-22'!K224</f>
        <v>0</v>
      </c>
      <c r="G71" s="865"/>
    </row>
    <row r="72" spans="1:8" x14ac:dyDescent="0.2">
      <c r="A72" s="869" t="s">
        <v>462</v>
      </c>
      <c r="B72" s="869" t="s">
        <v>1896</v>
      </c>
      <c r="C72" s="886">
        <f>'Expenditures 15-22'!B280</f>
        <v>3000</v>
      </c>
      <c r="D72" s="876" t="s">
        <v>449</v>
      </c>
      <c r="E72" s="868"/>
      <c r="F72" s="1911">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1898</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1899</v>
      </c>
      <c r="E76" s="1772" t="s">
        <v>958</v>
      </c>
      <c r="F76" s="1776">
        <f>SUM(F18:F74)</f>
        <v>914767</v>
      </c>
      <c r="G76" s="865"/>
    </row>
    <row r="77" spans="1:8" s="893" customFormat="1" ht="12" customHeight="1" thickTop="1" thickBot="1" x14ac:dyDescent="0.25">
      <c r="A77" s="1777"/>
      <c r="B77" s="1774"/>
      <c r="C77" s="1770"/>
      <c r="D77" s="1775" t="s">
        <v>1900</v>
      </c>
      <c r="E77" s="1772"/>
      <c r="F77" s="1778">
        <f>(F14-F76)</f>
        <v>8115902</v>
      </c>
      <c r="G77" s="869"/>
    </row>
    <row r="78" spans="1:8" s="893" customFormat="1" ht="12" customHeight="1" thickTop="1" x14ac:dyDescent="0.2">
      <c r="A78" s="1779"/>
      <c r="B78" s="1774"/>
      <c r="C78" s="1770"/>
      <c r="D78" s="1775" t="s">
        <v>2062</v>
      </c>
      <c r="E78" s="1772"/>
      <c r="F78" s="898">
        <v>1005.437</v>
      </c>
      <c r="G78" s="899"/>
      <c r="H78" s="869"/>
    </row>
    <row r="79" spans="1:8" s="893" customFormat="1" ht="12" customHeight="1" thickBot="1" x14ac:dyDescent="0.25">
      <c r="A79" s="1780"/>
      <c r="B79" s="1774"/>
      <c r="C79" s="1770"/>
      <c r="D79" s="1775" t="s">
        <v>1901</v>
      </c>
      <c r="E79" s="1772" t="s">
        <v>958</v>
      </c>
      <c r="F79" s="1781">
        <f>IF(F78&gt;0,F77/F78," Complete Line 78")</f>
        <v>8072.0144573951429</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360376</v>
      </c>
      <c r="G94" s="912"/>
    </row>
    <row r="95" spans="1:7" x14ac:dyDescent="0.2">
      <c r="A95" s="908" t="s">
        <v>140</v>
      </c>
      <c r="B95" s="908" t="s">
        <v>175</v>
      </c>
      <c r="C95" s="910">
        <v>1700</v>
      </c>
      <c r="D95" s="918" t="str">
        <f>'Revenues 9-14'!A82</f>
        <v>Total District/School Activity Income</v>
      </c>
      <c r="E95" s="906"/>
      <c r="F95" s="1787">
        <f>SUM('Revenues 9-14'!C82,'Revenues 9-14'!D82)</f>
        <v>216703</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1270</v>
      </c>
      <c r="G104" s="912"/>
    </row>
    <row r="105" spans="1:7" x14ac:dyDescent="0.2">
      <c r="A105" s="908" t="s">
        <v>503</v>
      </c>
      <c r="B105" s="908" t="s">
        <v>2003</v>
      </c>
      <c r="C105" s="913">
        <v>3100</v>
      </c>
      <c r="D105" s="919" t="str">
        <f>'Revenues 9-14'!A132</f>
        <v>Total Special Education</v>
      </c>
      <c r="E105" s="906"/>
      <c r="F105" s="1787">
        <f>SUM('Revenues 9-14'!C132:D132,'Revenues 9-14'!F132)</f>
        <v>63582</v>
      </c>
      <c r="G105" s="912"/>
    </row>
    <row r="106" spans="1:7" x14ac:dyDescent="0.2">
      <c r="A106" s="908" t="s">
        <v>673</v>
      </c>
      <c r="B106" s="908" t="s">
        <v>2004</v>
      </c>
      <c r="C106" s="920">
        <v>3200</v>
      </c>
      <c r="D106" s="911" t="str">
        <f>'Revenues 9-14'!A141</f>
        <v>Total Career and Technical Education</v>
      </c>
      <c r="E106" s="906"/>
      <c r="F106" s="1787">
        <f>SUM('Revenues 9-14'!C141,'Revenues 9-14'!D141,'Revenues 9-14'!G141)</f>
        <v>30624</v>
      </c>
      <c r="G106" s="912"/>
    </row>
    <row r="107" spans="1:7" x14ac:dyDescent="0.2">
      <c r="A107" s="921" t="s">
        <v>664</v>
      </c>
      <c r="B107" s="908" t="s">
        <v>2005</v>
      </c>
      <c r="C107" s="920">
        <v>3300</v>
      </c>
      <c r="D107" s="911" t="str">
        <f>'Revenues 9-14'!A145</f>
        <v>Total Bilingual Ed</v>
      </c>
      <c r="E107" s="906"/>
      <c r="F107" s="1787">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7">
        <f>'Revenues 9-14'!C146</f>
        <v>733</v>
      </c>
      <c r="G108" s="912"/>
    </row>
    <row r="109" spans="1:7" x14ac:dyDescent="0.2">
      <c r="A109" s="908" t="s">
        <v>673</v>
      </c>
      <c r="B109" s="908" t="s">
        <v>2007</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7">
        <f>SUM('Revenues 9-14'!C148,'Revenues 9-14'!D148)</f>
        <v>15867</v>
      </c>
      <c r="G110" s="912"/>
    </row>
    <row r="111" spans="1:7" x14ac:dyDescent="0.2">
      <c r="A111" s="908" t="s">
        <v>668</v>
      </c>
      <c r="B111" s="908" t="s">
        <v>2009</v>
      </c>
      <c r="C111" s="922">
        <v>3500</v>
      </c>
      <c r="D111" s="911" t="str">
        <f>'Revenues 9-14'!A155</f>
        <v>Total Transportation</v>
      </c>
      <c r="E111" s="906"/>
      <c r="F111" s="1787">
        <f>SUM('Revenues 9-14'!C155,'Revenues 9-14'!D155,'Revenues 9-14'!F155,'Revenues 9-14'!G155)</f>
        <v>248289</v>
      </c>
      <c r="G111" s="912"/>
    </row>
    <row r="112" spans="1:7" x14ac:dyDescent="0.2">
      <c r="A112" s="908" t="s">
        <v>459</v>
      </c>
      <c r="B112" s="908" t="s">
        <v>2010</v>
      </c>
      <c r="C112" s="920">
        <f>'Revenues 9-14'!B156</f>
        <v>3610</v>
      </c>
      <c r="D112" s="911" t="str">
        <f>'Revenues 9-14'!A156</f>
        <v>Learning Improvement - Change Grants</v>
      </c>
      <c r="E112" s="906"/>
      <c r="F112" s="1787">
        <f>'Revenues 9-14'!C156</f>
        <v>0</v>
      </c>
      <c r="G112" s="912"/>
    </row>
    <row r="113" spans="1:7" x14ac:dyDescent="0.2">
      <c r="A113" s="908" t="s">
        <v>668</v>
      </c>
      <c r="B113" s="908" t="s">
        <v>2011</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5">
        <f>SUM('Revenues 9-14'!C163:G163)</f>
        <v>0</v>
      </c>
      <c r="G118" s="912"/>
    </row>
    <row r="119" spans="1:7" x14ac:dyDescent="0.2">
      <c r="A119" s="923" t="s">
        <v>504</v>
      </c>
      <c r="B119" s="923" t="s">
        <v>2017</v>
      </c>
      <c r="C119" s="924">
        <f>'Revenues 9-14'!B164</f>
        <v>3815</v>
      </c>
      <c r="D119" s="925" t="str">
        <f>'Revenues 9-14'!A164</f>
        <v>State Charter Schools</v>
      </c>
      <c r="E119" s="906"/>
      <c r="F119" s="1905">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7">
        <f>'Revenues 9-14'!D167</f>
        <v>0</v>
      </c>
      <c r="G120" s="930"/>
    </row>
    <row r="121" spans="1:7" x14ac:dyDescent="0.2">
      <c r="A121" s="927" t="s">
        <v>500</v>
      </c>
      <c r="B121" s="927" t="s">
        <v>2019</v>
      </c>
      <c r="C121" s="928">
        <f>'Revenues 9-14'!B168</f>
        <v>3999</v>
      </c>
      <c r="D121" s="929" t="s">
        <v>543</v>
      </c>
      <c r="E121" s="931"/>
      <c r="F121" s="1787">
        <f>SUM('Revenues 9-14'!C168:G168,'Revenues 9-14'!J168)</f>
        <v>43456</v>
      </c>
      <c r="G121" s="930"/>
    </row>
    <row r="122" spans="1:7" x14ac:dyDescent="0.2">
      <c r="A122" s="927" t="s">
        <v>459</v>
      </c>
      <c r="B122" s="927" t="s">
        <v>2020</v>
      </c>
      <c r="C122" s="932">
        <f>'Revenues 9-14'!B177</f>
        <v>4045</v>
      </c>
      <c r="D122" s="929" t="str">
        <f>'Revenues 9-14'!A177 &amp; " (Subtract)"</f>
        <v>Head Start (Subtract)</v>
      </c>
      <c r="E122" s="906"/>
      <c r="F122" s="1787">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2022</v>
      </c>
      <c r="C124" s="932">
        <v>4100</v>
      </c>
      <c r="D124" s="933" t="str">
        <f>'Revenues 9-14'!A188</f>
        <v>Total Title V</v>
      </c>
      <c r="E124" s="906"/>
      <c r="F124" s="1787">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7">
        <f>SUM('Revenues 9-14'!C198,'Revenues 9-14'!G198)</f>
        <v>92349</v>
      </c>
      <c r="G125" s="930"/>
    </row>
    <row r="126" spans="1:7" x14ac:dyDescent="0.2">
      <c r="A126" s="927" t="s">
        <v>668</v>
      </c>
      <c r="B126" s="927" t="s">
        <v>2024</v>
      </c>
      <c r="C126" s="932">
        <v>4300</v>
      </c>
      <c r="D126" s="933" t="str">
        <f>'Revenues 9-14'!A204</f>
        <v>Total Title I</v>
      </c>
      <c r="E126" s="906"/>
      <c r="F126" s="1787">
        <f>SUM('Revenues 9-14'!C204,'Revenues 9-14'!D204,'Revenues 9-14'!F204,'Revenues 9-14'!G204)</f>
        <v>109256</v>
      </c>
      <c r="G126" s="930"/>
    </row>
    <row r="127" spans="1:7" x14ac:dyDescent="0.2">
      <c r="A127" s="927" t="s">
        <v>668</v>
      </c>
      <c r="B127" s="927" t="s">
        <v>2025</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7">
        <f>SUM('Revenues 9-14'!C213:D213,'Revenues 9-14'!F213:G213)</f>
        <v>75331</v>
      </c>
      <c r="G128" s="930"/>
    </row>
    <row r="129" spans="1:7" x14ac:dyDescent="0.2">
      <c r="A129" s="927" t="s">
        <v>668</v>
      </c>
      <c r="B129" s="927" t="s">
        <v>2027</v>
      </c>
      <c r="C129" s="932">
        <f>'Revenues 9-14'!B214</f>
        <v>4625</v>
      </c>
      <c r="D129" s="933" t="str">
        <f>'Revenues 9-14'!A214</f>
        <v>Fed - Spec Education - IDEA - Room &amp; Board</v>
      </c>
      <c r="E129" s="906"/>
      <c r="F129" s="1787">
        <f>SUM('Revenues 9-14'!C214,'Revenues 9-14'!D214,'Revenues 9-14'!F214,'Revenues 9-14'!G214)</f>
        <v>123079</v>
      </c>
      <c r="G129" s="930"/>
    </row>
    <row r="130" spans="1:7" x14ac:dyDescent="0.2">
      <c r="A130" s="927" t="s">
        <v>668</v>
      </c>
      <c r="B130" s="927" t="s">
        <v>2028</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2029</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7">
        <v>0</v>
      </c>
      <c r="G138" s="905"/>
    </row>
    <row r="139" spans="1:7" s="867" customFormat="1" hidden="1" x14ac:dyDescent="0.2">
      <c r="A139" s="934" t="s">
        <v>206</v>
      </c>
      <c r="B139" s="934" t="s">
        <v>2036</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2044</v>
      </c>
      <c r="C157" s="940" t="s">
        <v>841</v>
      </c>
      <c r="D157" s="941" t="s">
        <v>777</v>
      </c>
      <c r="E157" s="942"/>
      <c r="F157" s="1787">
        <f>SUM(F133:F156)</f>
        <v>0</v>
      </c>
      <c r="G157" s="905"/>
    </row>
    <row r="158" spans="1:7" s="867" customFormat="1" x14ac:dyDescent="0.2">
      <c r="A158" s="938" t="s">
        <v>459</v>
      </c>
      <c r="B158" s="939" t="s">
        <v>2045</v>
      </c>
      <c r="C158" s="940" t="s">
        <v>1427</v>
      </c>
      <c r="D158" s="941" t="s">
        <v>1428</v>
      </c>
      <c r="E158" s="942"/>
      <c r="F158" s="1787">
        <f>SUM('Revenues 9-14'!C253)</f>
        <v>0</v>
      </c>
      <c r="G158" s="905"/>
    </row>
    <row r="159" spans="1:7" s="867" customFormat="1" x14ac:dyDescent="0.2">
      <c r="A159" s="938" t="s">
        <v>500</v>
      </c>
      <c r="B159" s="939" t="s">
        <v>2046</v>
      </c>
      <c r="C159" s="940" t="s">
        <v>1466</v>
      </c>
      <c r="D159" s="941" t="s">
        <v>1467</v>
      </c>
      <c r="E159" s="942"/>
      <c r="F159" s="1787">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5">
        <f>SUM('Revenues 9-14'!C259,'Revenues 9-14'!D259,'Revenues 9-14'!F259,'Revenues 9-14'!G259)</f>
        <v>19892</v>
      </c>
      <c r="G164" s="930"/>
    </row>
    <row r="165" spans="1:7" x14ac:dyDescent="0.2">
      <c r="A165" s="927" t="s">
        <v>668</v>
      </c>
      <c r="B165" s="927" t="s">
        <v>2052</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7">
        <f>SUM('Revenues 9-14'!C263:D263,'Revenues 9-14'!F263:G263)</f>
        <v>1863</v>
      </c>
      <c r="G168" s="947">
        <v>6320</v>
      </c>
    </row>
    <row r="169" spans="1:7" x14ac:dyDescent="0.2">
      <c r="A169" s="927" t="s">
        <v>668</v>
      </c>
      <c r="B169" s="927" t="s">
        <v>2054</v>
      </c>
      <c r="C169" s="932">
        <f>'Revenues 9-14'!B264</f>
        <v>4992</v>
      </c>
      <c r="D169" s="933" t="str">
        <f>'Revenues 9-14'!A264</f>
        <v>Medicaid Matching Funds - Fee-for-Service Program</v>
      </c>
      <c r="E169" s="906"/>
      <c r="F169" s="1787">
        <f>SUM('Revenues 9-14'!C264:D264,'Revenues 9-14'!F264:G264)</f>
        <v>7698</v>
      </c>
      <c r="G169" s="947"/>
    </row>
    <row r="170" spans="1:7" x14ac:dyDescent="0.2">
      <c r="A170" s="948" t="s">
        <v>668</v>
      </c>
      <c r="B170" s="944" t="s">
        <v>2055</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1920</v>
      </c>
      <c r="C171" s="1918">
        <v>3100</v>
      </c>
      <c r="D171" s="1919" t="s">
        <v>1922</v>
      </c>
      <c r="E171" s="906"/>
      <c r="F171" s="1904"/>
      <c r="G171" s="927"/>
    </row>
    <row r="172" spans="1:7" x14ac:dyDescent="0.2">
      <c r="A172" s="1916" t="s">
        <v>664</v>
      </c>
      <c r="B172" s="1917" t="s">
        <v>1920</v>
      </c>
      <c r="C172" s="1918">
        <v>3300</v>
      </c>
      <c r="D172" s="1919" t="s">
        <v>1923</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2056</v>
      </c>
      <c r="E174" s="1785" t="s">
        <v>958</v>
      </c>
      <c r="F174" s="1786">
        <f>SUM(F84:F132,F157:F172)</f>
        <v>1410368</v>
      </c>
    </row>
    <row r="175" spans="1:7" ht="12" customHeight="1" x14ac:dyDescent="0.2">
      <c r="A175" s="1768"/>
      <c r="B175" s="1782"/>
      <c r="C175" s="1783"/>
      <c r="D175" s="1784" t="s">
        <v>2057</v>
      </c>
      <c r="E175" s="1785"/>
      <c r="F175" s="1787">
        <f>'PCTC-OEPP 27-28'!F77-F174</f>
        <v>6705534</v>
      </c>
    </row>
    <row r="176" spans="1:7" ht="12" customHeight="1" x14ac:dyDescent="0.2">
      <c r="A176" s="1768"/>
      <c r="B176" s="1782"/>
      <c r="C176" s="1783"/>
      <c r="D176" s="1784" t="s">
        <v>1817</v>
      </c>
      <c r="E176" s="1785"/>
      <c r="F176" s="1787">
        <f>'Cap Outlay Deprec 26'!I18</f>
        <v>650754</v>
      </c>
    </row>
    <row r="177" spans="1:7" ht="12" customHeight="1" x14ac:dyDescent="0.2">
      <c r="A177" s="1768"/>
      <c r="B177" s="1782"/>
      <c r="C177" s="1783"/>
      <c r="D177" s="1784" t="s">
        <v>2058</v>
      </c>
      <c r="E177" s="1785"/>
      <c r="F177" s="1787">
        <f>F175+F176</f>
        <v>7356288</v>
      </c>
    </row>
    <row r="178" spans="1:7" ht="12" customHeight="1" x14ac:dyDescent="0.2">
      <c r="A178" s="1768"/>
      <c r="B178" s="1788"/>
      <c r="C178" s="1783"/>
      <c r="D178" s="1784" t="str">
        <f>D78</f>
        <v>9 Month ADA from District Average Daily Attendance/Prior General State Aid Inquiry 2018-2019</v>
      </c>
      <c r="E178" s="1785"/>
      <c r="F178" s="1789">
        <f>'PCTC-OEPP 27-28'!F78</f>
        <v>1005.437</v>
      </c>
      <c r="G178" s="930"/>
    </row>
    <row r="179" spans="1:7" ht="12" customHeight="1" thickBot="1" x14ac:dyDescent="0.25">
      <c r="A179" s="1768"/>
      <c r="B179" s="1788"/>
      <c r="C179" s="1783"/>
      <c r="D179" s="1784" t="s">
        <v>2059</v>
      </c>
      <c r="E179" s="1785" t="s">
        <v>1545</v>
      </c>
      <c r="F179" s="1790">
        <f>F177/F178</f>
        <v>7316.5081452144686</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0" customFormat="1" ht="12.2" customHeight="1" x14ac:dyDescent="0.2">
      <c r="A182" s="1920" t="s">
        <v>1994</v>
      </c>
      <c r="B182" s="1921"/>
      <c r="C182" s="1922"/>
      <c r="D182" s="1921"/>
      <c r="E182" s="1922"/>
      <c r="F182" s="1921"/>
      <c r="G182" s="1921"/>
    </row>
    <row r="183" spans="1:7" s="1920" customFormat="1" ht="12.2" customHeight="1" x14ac:dyDescent="0.2">
      <c r="A183" s="1923" t="s">
        <v>1996</v>
      </c>
      <c r="C183" s="1922"/>
      <c r="D183" s="1921"/>
      <c r="E183" s="1922"/>
      <c r="F183" s="1921"/>
      <c r="G183" s="1921"/>
    </row>
    <row r="184" spans="1:7" ht="12" customHeight="1" x14ac:dyDescent="0.2">
      <c r="C184" s="949"/>
      <c r="D184" s="930"/>
      <c r="E184" s="949"/>
      <c r="F184" s="930"/>
      <c r="G184" s="930"/>
    </row>
    <row r="185" spans="1:7" x14ac:dyDescent="0.2">
      <c r="A185" s="1924" t="s">
        <v>1925</v>
      </c>
      <c r="B185" s="1925"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19" sqref="C19"/>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2" t="s">
        <v>1819</v>
      </c>
      <c r="B6" s="1533"/>
      <c r="C6" s="1533"/>
      <c r="D6" s="1533"/>
      <c r="E6" s="1533"/>
      <c r="F6" s="1533"/>
      <c r="G6" s="1534"/>
    </row>
    <row r="7" spans="1:7" ht="30.75" customHeight="1" x14ac:dyDescent="0.25">
      <c r="A7" s="2280" t="s">
        <v>1932</v>
      </c>
      <c r="B7" s="2281"/>
      <c r="C7" s="2281"/>
      <c r="D7" s="2281"/>
      <c r="E7" s="2281"/>
      <c r="F7" s="2281"/>
      <c r="G7" s="2282"/>
    </row>
    <row r="8" spans="1:7" ht="15.75" customHeight="1" x14ac:dyDescent="0.25">
      <c r="A8" s="2283" t="s">
        <v>1907</v>
      </c>
      <c r="B8" s="2284"/>
      <c r="C8" s="2284"/>
      <c r="D8" s="2284"/>
      <c r="E8" s="2284"/>
      <c r="F8" s="2284"/>
      <c r="G8" s="2285"/>
    </row>
    <row r="9" spans="1:7" ht="35.25" customHeight="1" x14ac:dyDescent="0.25">
      <c r="A9" s="2280" t="s">
        <v>1935</v>
      </c>
      <c r="B9" s="2281"/>
      <c r="C9" s="2281"/>
      <c r="D9" s="2281"/>
      <c r="E9" s="2281"/>
      <c r="F9" s="2281"/>
      <c r="G9" s="2282"/>
    </row>
    <row r="10" spans="1:7" ht="15" customHeight="1" x14ac:dyDescent="0.25">
      <c r="A10" s="1535" t="s">
        <v>1820</v>
      </c>
      <c r="B10" s="1536"/>
      <c r="C10" s="1536"/>
      <c r="D10" s="1536"/>
      <c r="E10" s="1536"/>
      <c r="F10" s="1536"/>
      <c r="G10" s="1537"/>
    </row>
    <row r="11" spans="1:7" ht="17.25" customHeight="1" x14ac:dyDescent="0.25">
      <c r="A11" s="2280" t="s">
        <v>1934</v>
      </c>
      <c r="B11" s="2281"/>
      <c r="C11" s="2281"/>
      <c r="D11" s="2281"/>
      <c r="E11" s="2281"/>
      <c r="F11" s="2281"/>
      <c r="G11" s="2282"/>
    </row>
    <row r="12" spans="1:7" ht="15" customHeight="1" x14ac:dyDescent="0.25">
      <c r="A12" s="1535" t="s">
        <v>1825</v>
      </c>
      <c r="B12" s="1536"/>
      <c r="C12" s="1536"/>
      <c r="D12" s="1536"/>
      <c r="E12" s="1536"/>
      <c r="F12" s="1536"/>
      <c r="G12" s="1537"/>
    </row>
    <row r="13" spans="1:7" ht="32.25" customHeight="1" x14ac:dyDescent="0.25">
      <c r="A13" s="2271" t="s">
        <v>1976</v>
      </c>
      <c r="B13" s="2272"/>
      <c r="C13" s="2272"/>
      <c r="D13" s="2272"/>
      <c r="E13" s="2272"/>
      <c r="F13" s="2272"/>
      <c r="G13" s="2273"/>
    </row>
    <row r="14" spans="1:7" x14ac:dyDescent="0.25">
      <c r="A14" s="1659" t="s">
        <v>1833</v>
      </c>
      <c r="B14" s="1660"/>
      <c r="C14" s="1660"/>
      <c r="D14" s="1660"/>
      <c r="E14" s="1660"/>
      <c r="F14" s="1660"/>
      <c r="G14" s="1661"/>
    </row>
    <row r="15" spans="1:7" ht="61.5" customHeight="1" x14ac:dyDescent="0.25">
      <c r="A15" s="1544" t="s">
        <v>1826</v>
      </c>
      <c r="B15" s="1544" t="s">
        <v>1827</v>
      </c>
      <c r="C15" s="1544" t="s">
        <v>1828</v>
      </c>
      <c r="D15" s="1545" t="s">
        <v>1829</v>
      </c>
      <c r="E15" s="1545" t="s">
        <v>1821</v>
      </c>
      <c r="F15" s="1545" t="s">
        <v>1830</v>
      </c>
      <c r="G15" s="1545" t="s">
        <v>1831</v>
      </c>
    </row>
    <row r="16" spans="1:7" x14ac:dyDescent="0.25">
      <c r="A16" s="1646" t="s">
        <v>1834</v>
      </c>
      <c r="B16" s="1647" t="s">
        <v>1824</v>
      </c>
      <c r="C16" s="1648" t="s">
        <v>1822</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ht="30" x14ac:dyDescent="0.25">
      <c r="A17" s="1942" t="s">
        <v>2106</v>
      </c>
      <c r="B17" s="1943" t="s">
        <v>2107</v>
      </c>
      <c r="C17" s="1944" t="s">
        <v>2108</v>
      </c>
      <c r="D17" s="1842">
        <v>23081</v>
      </c>
      <c r="E17" s="1538">
        <f t="shared" ref="E17:E141" si="0">IF(D17&lt;=25000,D17,IF(D17&gt;25000,25000,0))</f>
        <v>23081</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23081</v>
      </c>
      <c r="G17" s="1791">
        <f>IF(F17=0,0,D17-F17)</f>
        <v>0</v>
      </c>
      <c r="H17" s="1645"/>
    </row>
    <row r="18" spans="1:8" x14ac:dyDescent="0.25">
      <c r="A18" s="1942" t="s">
        <v>2109</v>
      </c>
      <c r="B18" s="1943" t="s">
        <v>2111</v>
      </c>
      <c r="C18" s="1944" t="s">
        <v>2110</v>
      </c>
      <c r="D18" s="1842">
        <v>40000</v>
      </c>
      <c r="E18" s="1538">
        <f t="shared" ref="E18:E140" si="2">IF(D18&lt;=25000,D18,IF(D18&gt;25000,25000,0))</f>
        <v>25000</v>
      </c>
      <c r="F18" s="1930">
        <f t="shared" si="1"/>
        <v>25000</v>
      </c>
      <c r="G18" s="1791">
        <f t="shared" ref="G18:G140" si="3">IF(F18=0,0,D18-F18)</f>
        <v>15000</v>
      </c>
    </row>
    <row r="19" spans="1:8" x14ac:dyDescent="0.25">
      <c r="A19" s="1942" t="s">
        <v>2109</v>
      </c>
      <c r="B19" s="1943" t="s">
        <v>2111</v>
      </c>
      <c r="C19" s="1944" t="s">
        <v>2112</v>
      </c>
      <c r="D19" s="1842">
        <v>8000</v>
      </c>
      <c r="E19" s="1538">
        <f t="shared" si="2"/>
        <v>8000</v>
      </c>
      <c r="F19" s="1930">
        <f t="shared" si="1"/>
        <v>8000</v>
      </c>
      <c r="G19" s="1791">
        <f t="shared" si="3"/>
        <v>0</v>
      </c>
    </row>
    <row r="20" spans="1:8" x14ac:dyDescent="0.25">
      <c r="A20" s="1942" t="s">
        <v>2109</v>
      </c>
      <c r="B20" s="1943" t="s">
        <v>2111</v>
      </c>
      <c r="C20" s="1944" t="s">
        <v>2113</v>
      </c>
      <c r="D20" s="1842">
        <v>25000</v>
      </c>
      <c r="E20" s="1538">
        <f t="shared" si="2"/>
        <v>25000</v>
      </c>
      <c r="F20" s="1930">
        <f t="shared" si="1"/>
        <v>25000</v>
      </c>
      <c r="G20" s="1791">
        <f t="shared" si="3"/>
        <v>0</v>
      </c>
    </row>
    <row r="21" spans="1:8" x14ac:dyDescent="0.25">
      <c r="A21" s="1942" t="s">
        <v>2109</v>
      </c>
      <c r="B21" s="1943" t="s">
        <v>2111</v>
      </c>
      <c r="C21" s="1944" t="s">
        <v>2114</v>
      </c>
      <c r="D21" s="1842">
        <v>17037</v>
      </c>
      <c r="E21" s="1538">
        <f t="shared" si="2"/>
        <v>17037</v>
      </c>
      <c r="F21" s="1930">
        <f t="shared" si="1"/>
        <v>17037</v>
      </c>
      <c r="G21" s="1791">
        <f t="shared" si="3"/>
        <v>0</v>
      </c>
    </row>
    <row r="22" spans="1:8" x14ac:dyDescent="0.25">
      <c r="A22" s="1651"/>
      <c r="B22" s="1932"/>
      <c r="C22" s="1654"/>
      <c r="D22" s="1842"/>
      <c r="E22" s="1538">
        <f t="shared" si="2"/>
        <v>0</v>
      </c>
      <c r="F22" s="1930">
        <f t="shared" si="1"/>
        <v>0</v>
      </c>
      <c r="G22" s="1791">
        <f t="shared" si="3"/>
        <v>0</v>
      </c>
    </row>
    <row r="23" spans="1:8" x14ac:dyDescent="0.25">
      <c r="A23" s="1651"/>
      <c r="B23" s="1932"/>
      <c r="C23" s="1654"/>
      <c r="D23" s="1842"/>
      <c r="E23" s="1538">
        <f t="shared" si="2"/>
        <v>0</v>
      </c>
      <c r="F23" s="1930">
        <f t="shared" si="1"/>
        <v>0</v>
      </c>
      <c r="G23" s="1791">
        <f t="shared" si="3"/>
        <v>0</v>
      </c>
    </row>
    <row r="24" spans="1:8" x14ac:dyDescent="0.25">
      <c r="A24" s="1651"/>
      <c r="B24" s="1932"/>
      <c r="C24" s="1654"/>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113118</v>
      </c>
      <c r="E141" s="1539">
        <f t="shared" si="0"/>
        <v>25000</v>
      </c>
      <c r="F141" s="1931">
        <f>SUM(F17:F140)</f>
        <v>98118</v>
      </c>
      <c r="G141" s="1793">
        <f>SUM(G17:G140)</f>
        <v>15000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E46" sqref="E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f>'Expenditures 15-22'!E63+'Expenditures 15-22'!F63-'Revenues 9-14'!C146</f>
        <v>194939</v>
      </c>
      <c r="F10" s="974"/>
      <c r="G10" s="975"/>
      <c r="H10" s="162"/>
      <c r="I10" s="162"/>
    </row>
    <row r="11" spans="1:9" s="668" customFormat="1" ht="22.5" customHeight="1" x14ac:dyDescent="0.2">
      <c r="A11" s="2291" t="s">
        <v>1977</v>
      </c>
      <c r="B11" s="2292"/>
      <c r="C11" s="2292"/>
      <c r="D11" s="2293"/>
      <c r="E11" s="977">
        <v>55514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4751063</v>
      </c>
      <c r="F19" s="1797"/>
      <c r="G19" s="1799">
        <f>'Expenditures 15-22'!K33-SUM('Expenditures 15-22'!G33,'Expenditures 15-22'!I33)+'Expenditures 15-22'!D229</f>
        <v>4751063</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337505</v>
      </c>
      <c r="F21" s="1800"/>
      <c r="G21" s="1803">
        <f>'Expenditures 15-22'!K42-SUM('Expenditures 15-22'!G42,'Expenditures 15-22'!I42)+'Expenditures 15-22'!K120-SUM('Expenditures 15-22'!G120,'Expenditures 15-22'!I120)+'Expenditures 15-22'!K180-SUM('Expenditures 15-22'!G180,'Expenditures 15-22'!I180)+'Expenditures 15-22'!D238</f>
        <v>337505</v>
      </c>
      <c r="H21" s="987"/>
      <c r="I21" s="162"/>
    </row>
    <row r="22" spans="1:9" s="668" customFormat="1" ht="12" customHeight="1" x14ac:dyDescent="0.2">
      <c r="A22" s="994" t="s">
        <v>564</v>
      </c>
      <c r="B22" s="995"/>
      <c r="C22" s="993">
        <v>2200</v>
      </c>
      <c r="D22" s="1800"/>
      <c r="E22" s="1802">
        <f>'Expenditures 15-22'!K47-SUM('Expenditures 15-22'!G47,'Expenditures 15-22'!I47)+'Expenditures 15-22'!D243</f>
        <v>150657</v>
      </c>
      <c r="F22" s="1800"/>
      <c r="G22" s="1803">
        <f>'Expenditures 15-22'!K47-SUM('Expenditures 15-22'!G47,'Expenditures 15-22'!I47)+'Expenditures 15-22'!D243</f>
        <v>150657</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574545</v>
      </c>
      <c r="F23" s="1800"/>
      <c r="G23" s="1802">
        <f>'Expenditures 15-22'!K53-SUM('Expenditures 15-22'!G53,'Expenditures 15-22'!I53)+'Expenditures 15-22'!D257+'Expenditures 15-22'!K330-SUM('Expenditures 15-22'!G330,'Expenditures 15-22'!I330)</f>
        <v>574545</v>
      </c>
      <c r="H23" s="987"/>
      <c r="I23" s="162"/>
    </row>
    <row r="24" spans="1:9" s="668" customFormat="1" ht="12" customHeight="1" x14ac:dyDescent="0.2">
      <c r="A24" s="994" t="s">
        <v>566</v>
      </c>
      <c r="B24" s="995"/>
      <c r="C24" s="993">
        <v>2400</v>
      </c>
      <c r="D24" s="1800"/>
      <c r="E24" s="1802">
        <f>'Expenditures 15-22'!K57-SUM('Expenditures 15-22'!G57,'Expenditures 15-22'!I57)+'Expenditures 15-22'!D261</f>
        <v>487604</v>
      </c>
      <c r="F24" s="1800"/>
      <c r="G24" s="1803">
        <f>'Expenditures 15-22'!K57-SUM('Expenditures 15-22'!G57,'Expenditures 15-22'!I57)+'Expenditures 15-22'!D261</f>
        <v>487604</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69697</v>
      </c>
      <c r="E27" s="1802">
        <f>E8</f>
        <v>0</v>
      </c>
      <c r="F27" s="1802">
        <f>'Expenditures 15-22'!K60-SUM('Expenditures 15-22'!G60,'Expenditures 15-22'!I60)+'Expenditures 15-22'!D264-E8</f>
        <v>69697</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840560</v>
      </c>
      <c r="F28" s="1804">
        <f>'Expenditures 15-22'!K61-SUM('Expenditures 15-22'!G61,'Expenditures 15-22'!I61)+'Expenditures 15-22'!K124-SUM('Expenditures 15-22'!G124,'Expenditures 15-22'!I124)+'Expenditures 15-22'!D266-E9</f>
        <v>840560</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432091</v>
      </c>
      <c r="F29" s="1800"/>
      <c r="G29" s="1803">
        <f>'Expenditures 15-22'!K62-SUM('Expenditures 15-22'!G62,'Expenditures 15-22'!I62)+'Expenditures 15-22'!K125-SUM('Expenditures 15-22'!G125,'Expenditures 15-22'!I125)+'Expenditures 15-22'!K182-SUM('Expenditures 15-22'!G182,'Expenditures 15-22'!I182)+'Expenditures 15-22'!D267</f>
        <v>432091</v>
      </c>
      <c r="H29" s="985"/>
    </row>
    <row r="30" spans="1:9" ht="12" customHeight="1" x14ac:dyDescent="0.2">
      <c r="A30" s="994" t="s">
        <v>100</v>
      </c>
      <c r="B30" s="997"/>
      <c r="C30" s="993">
        <v>2560</v>
      </c>
      <c r="D30" s="1800"/>
      <c r="E30" s="1802">
        <f>'Expenditures 15-22'!K63-SUM('Expenditures 15-22'!G63,'Expenditures 15-22'!I63)+'Expenditures 15-22'!D268-E10</f>
        <v>170119</v>
      </c>
      <c r="F30" s="1800"/>
      <c r="G30" s="1802">
        <f>'Expenditures 15-22'!K63-SUM('Expenditures 15-22'!G63,'Expenditures 15-22'!I63)+'Expenditures 15-22'!D268-E10</f>
        <v>170119</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0"/>
      <c r="E40" s="1804">
        <f>-'Contracts Paid in CY 29'!G141</f>
        <v>-15000</v>
      </c>
      <c r="F40" s="1800"/>
      <c r="G40" s="1804">
        <f>-'Contracts Paid in CY 29'!G141</f>
        <v>-15000</v>
      </c>
    </row>
    <row r="41" spans="1:7" ht="12" customHeight="1" x14ac:dyDescent="0.2">
      <c r="A41" s="998" t="s">
        <v>156</v>
      </c>
      <c r="B41" s="999"/>
      <c r="C41" s="1000"/>
      <c r="D41" s="1804">
        <f>SUM(D19:D39)</f>
        <v>69697</v>
      </c>
      <c r="E41" s="1804">
        <f>SUM(E19:E40)</f>
        <v>7729144</v>
      </c>
      <c r="F41" s="1804">
        <f>SUM(F19:F39)</f>
        <v>910257</v>
      </c>
      <c r="G41" s="1804">
        <f>SUM(G19:G40)</f>
        <v>6888584</v>
      </c>
    </row>
    <row r="42" spans="1:7" x14ac:dyDescent="0.2">
      <c r="A42" s="987"/>
      <c r="B42" s="162"/>
      <c r="C42" s="1001"/>
      <c r="D42" s="2289" t="s">
        <v>522</v>
      </c>
      <c r="E42" s="2290"/>
      <c r="F42" s="1002" t="s">
        <v>523</v>
      </c>
      <c r="G42" s="1003"/>
    </row>
    <row r="43" spans="1:7" ht="12" customHeight="1" x14ac:dyDescent="0.2">
      <c r="A43" s="987"/>
      <c r="B43" s="162"/>
      <c r="C43" s="1001"/>
      <c r="D43" s="1805" t="s">
        <v>473</v>
      </c>
      <c r="E43" s="1806">
        <f>D41</f>
        <v>69697</v>
      </c>
      <c r="F43" s="1805" t="s">
        <v>473</v>
      </c>
      <c r="G43" s="1806">
        <f>F41</f>
        <v>910257</v>
      </c>
    </row>
    <row r="44" spans="1:7" ht="12" customHeight="1" x14ac:dyDescent="0.2">
      <c r="A44" s="987"/>
      <c r="B44" s="162"/>
      <c r="C44" s="1001"/>
      <c r="D44" s="1805" t="s">
        <v>474</v>
      </c>
      <c r="E44" s="1806">
        <f>E41</f>
        <v>7729144</v>
      </c>
      <c r="F44" s="1805" t="s">
        <v>474</v>
      </c>
      <c r="G44" s="1806">
        <f>G41</f>
        <v>6888584</v>
      </c>
    </row>
    <row r="45" spans="1:7" ht="12" customHeight="1" x14ac:dyDescent="0.2">
      <c r="A45" s="987"/>
      <c r="B45" s="162"/>
      <c r="C45" s="162"/>
      <c r="D45" s="1807" t="s">
        <v>1006</v>
      </c>
      <c r="E45" s="1808">
        <f>(E43/E44)</f>
        <v>9.0174280618914599E-3</v>
      </c>
      <c r="F45" s="1807" t="s">
        <v>1006</v>
      </c>
      <c r="G45" s="1808">
        <f>(G43/G44)</f>
        <v>0.13213992890265983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C31" sqref="C31"/>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8" t="s">
        <v>1379</v>
      </c>
      <c r="B1" s="2308"/>
      <c r="C1" s="2308"/>
      <c r="D1" s="2308"/>
      <c r="E1" s="2308"/>
      <c r="F1" s="2308"/>
    </row>
    <row r="2" spans="1:10" x14ac:dyDescent="0.2">
      <c r="A2" s="1885" t="s">
        <v>1912</v>
      </c>
      <c r="B2" s="1846"/>
      <c r="C2" s="1885"/>
      <c r="D2" s="1846"/>
      <c r="E2" s="1846"/>
      <c r="F2" s="1847"/>
    </row>
    <row r="3" spans="1:10" x14ac:dyDescent="0.2">
      <c r="A3" s="1885" t="s">
        <v>1978</v>
      </c>
      <c r="B3" s="1846"/>
      <c r="C3" s="1885"/>
      <c r="D3" s="1846"/>
      <c r="E3" s="1846"/>
      <c r="F3" s="1847"/>
    </row>
    <row r="4" spans="1:10" ht="3.75" customHeight="1" x14ac:dyDescent="0.2">
      <c r="A4" s="1846"/>
      <c r="B4" s="1846"/>
      <c r="C4" s="1846"/>
      <c r="D4" s="1846"/>
      <c r="E4" s="1846"/>
      <c r="F4" s="1847"/>
    </row>
    <row r="5" spans="1:10" ht="15" x14ac:dyDescent="0.25">
      <c r="A5" s="2309" t="s">
        <v>1546</v>
      </c>
      <c r="B5" s="2310"/>
      <c r="C5" s="2311"/>
      <c r="D5" s="2311"/>
      <c r="E5" s="2311"/>
      <c r="F5" s="2311"/>
    </row>
    <row r="6" spans="1:10" ht="12" customHeight="1" x14ac:dyDescent="0.25">
      <c r="A6" s="1848"/>
      <c r="B6" s="1849"/>
      <c r="C6" s="2312" t="str">
        <f>COVER!A17</f>
        <v>Teutopolis CUSD 50</v>
      </c>
      <c r="D6" s="2312"/>
      <c r="E6" s="2312"/>
      <c r="F6" s="1850"/>
    </row>
    <row r="7" spans="1:10" ht="11.25" customHeight="1" thickBot="1" x14ac:dyDescent="0.3">
      <c r="A7" s="1848"/>
      <c r="B7" s="1849"/>
      <c r="C7" s="2313">
        <f>COVER!A13</f>
        <v>3025050026</v>
      </c>
      <c r="D7" s="2313"/>
      <c r="E7" s="2313"/>
      <c r="F7" s="1850"/>
    </row>
    <row r="8" spans="1:10" ht="25.5" customHeight="1" thickBot="1" x14ac:dyDescent="0.25">
      <c r="A8" s="1891" t="s">
        <v>1908</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2095</v>
      </c>
      <c r="D26" s="1863" t="s">
        <v>2095</v>
      </c>
      <c r="E26" s="1866" t="s">
        <v>2095</v>
      </c>
      <c r="F26" s="1865" t="s">
        <v>2115</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5</v>
      </c>
      <c r="K34" s="1876">
        <f>SUM(H34:J34)</f>
        <v>15</v>
      </c>
    </row>
    <row r="35" spans="1:11" ht="12" customHeight="1" x14ac:dyDescent="0.2">
      <c r="A35" s="1869" t="s">
        <v>1392</v>
      </c>
      <c r="B35" s="1870"/>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1"/>
      <c r="B39" s="1871"/>
      <c r="C39" s="1871"/>
      <c r="D39" s="1871"/>
      <c r="E39" s="1871"/>
      <c r="F39" s="1871"/>
    </row>
    <row r="40" spans="1:11" s="1868" customFormat="1" ht="12" customHeight="1" x14ac:dyDescent="0.25">
      <c r="A40" s="1872" t="s">
        <v>1391</v>
      </c>
      <c r="B40" s="1873"/>
      <c r="C40" s="2303"/>
      <c r="D40" s="2303"/>
      <c r="E40" s="2303"/>
      <c r="F40" s="2304"/>
      <c r="H40" s="1877"/>
      <c r="I40" s="1877"/>
      <c r="J40" s="1877"/>
      <c r="K40" s="1877"/>
    </row>
    <row r="41" spans="1:11" s="1868" customFormat="1" ht="12" customHeight="1" x14ac:dyDescent="0.25">
      <c r="A41" s="2305"/>
      <c r="B41" s="2306"/>
      <c r="C41" s="2306"/>
      <c r="D41" s="2306"/>
      <c r="E41" s="2306"/>
      <c r="F41" s="2307"/>
      <c r="H41" s="1877"/>
      <c r="I41" s="1877"/>
      <c r="J41" s="1877"/>
      <c r="K41" s="1877"/>
    </row>
    <row r="42" spans="1:11" s="1868" customFormat="1" ht="12" customHeight="1" x14ac:dyDescent="0.25">
      <c r="A42" s="2305"/>
      <c r="B42" s="2306"/>
      <c r="C42" s="2306"/>
      <c r="D42" s="2306"/>
      <c r="E42" s="2306"/>
      <c r="F42" s="2307"/>
      <c r="H42" s="1877"/>
      <c r="I42" s="1877"/>
      <c r="J42" s="1877"/>
      <c r="K42" s="1877"/>
    </row>
    <row r="43" spans="1:11" s="1868" customFormat="1" ht="15" x14ac:dyDescent="0.25">
      <c r="A43" s="2294"/>
      <c r="B43" s="2295"/>
      <c r="C43" s="2295"/>
      <c r="D43" s="2295"/>
      <c r="E43" s="2295"/>
      <c r="F43" s="2296"/>
      <c r="H43" s="1877"/>
      <c r="I43" s="1877"/>
      <c r="J43" s="1877"/>
      <c r="K43" s="1877"/>
    </row>
    <row r="44" spans="1:11" s="1868" customFormat="1" ht="12" hidden="1" customHeight="1" x14ac:dyDescent="0.25">
      <c r="A44" s="2294"/>
      <c r="B44" s="2295"/>
      <c r="C44" s="2295"/>
      <c r="D44" s="2295"/>
      <c r="E44" s="2295"/>
      <c r="F44" s="2296"/>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21" t="str">
        <f>COVER!A17</f>
        <v>Teutopolis CUSD 50</v>
      </c>
      <c r="J6" s="2322"/>
      <c r="Q6" s="1662"/>
    </row>
    <row r="7" spans="1:17" x14ac:dyDescent="0.2">
      <c r="A7" s="2323" t="s">
        <v>869</v>
      </c>
      <c r="B7" s="2324"/>
      <c r="C7" s="2324"/>
      <c r="D7" s="2324"/>
      <c r="E7" s="2325"/>
      <c r="F7" s="1017"/>
      <c r="G7" s="1009"/>
      <c r="H7" s="1016" t="s">
        <v>372</v>
      </c>
      <c r="I7" s="2326">
        <f>COVER!A13</f>
        <v>3025050026</v>
      </c>
      <c r="J7" s="2326"/>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1979</v>
      </c>
      <c r="F9" s="1023"/>
      <c r="G9" s="1023"/>
      <c r="H9" s="1894"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191066</v>
      </c>
      <c r="F12" s="1039"/>
      <c r="G12" s="1809">
        <f t="shared" ref="G12:G18" si="0">SUM(E12:F12)</f>
        <v>191066</v>
      </c>
      <c r="H12" s="1040"/>
      <c r="I12" s="1039"/>
      <c r="J12" s="1809">
        <f t="shared" ref="J12:J18" si="1">SUM(H12:I12)</f>
        <v>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30" t="s">
        <v>7</v>
      </c>
      <c r="C18" s="2331"/>
      <c r="D18" s="2332"/>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191066</v>
      </c>
      <c r="F19" s="1811">
        <f t="shared" si="2"/>
        <v>0</v>
      </c>
      <c r="G19" s="1811">
        <f t="shared" si="2"/>
        <v>191066</v>
      </c>
      <c r="H19" s="1811">
        <f t="shared" si="2"/>
        <v>0</v>
      </c>
      <c r="I19" s="1811">
        <f t="shared" si="2"/>
        <v>0</v>
      </c>
      <c r="J19" s="1811">
        <f t="shared" si="2"/>
        <v>0</v>
      </c>
    </row>
    <row r="20" spans="1:10" ht="13.5" thickTop="1" x14ac:dyDescent="0.2">
      <c r="A20" s="1035">
        <v>9</v>
      </c>
      <c r="B20" s="2333" t="s">
        <v>1981</v>
      </c>
      <c r="C20" s="2333"/>
      <c r="D20" s="2334"/>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1983</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71"/>
  <sheetViews>
    <sheetView showGridLines="0" topLeftCell="A19" zoomScale="160" zoomScaleNormal="160" workbookViewId="0">
      <selection activeCell="F29" sqref="F29"/>
    </sheetView>
  </sheetViews>
  <sheetFormatPr defaultColWidth="9.140625" defaultRowHeight="12.75" x14ac:dyDescent="0.2"/>
  <cols>
    <col min="1" max="1" width="3.28515625" style="329" customWidth="1"/>
    <col min="2" max="2" width="3" style="329" customWidth="1"/>
    <col min="3" max="3" width="4.28515625" style="329" customWidth="1"/>
    <col min="4" max="4" width="3.140625" style="329" customWidth="1"/>
    <col min="5" max="9" width="9.140625" style="329"/>
    <col min="10" max="10" width="10" style="1936" bestFit="1" customWidth="1"/>
    <col min="11" max="16384" width="9.140625" style="329"/>
  </cols>
  <sheetData>
    <row r="2" spans="1:10" x14ac:dyDescent="0.2">
      <c r="A2" s="389" t="s">
        <v>258</v>
      </c>
    </row>
    <row r="3" spans="1:10" x14ac:dyDescent="0.2">
      <c r="A3" s="329" t="s">
        <v>259</v>
      </c>
    </row>
    <row r="5" spans="1:10" x14ac:dyDescent="0.2">
      <c r="A5" s="329" t="s">
        <v>1175</v>
      </c>
    </row>
    <row r="6" spans="1:10" x14ac:dyDescent="0.2">
      <c r="B6" s="1935" t="s">
        <v>2075</v>
      </c>
    </row>
    <row r="7" spans="1:10" x14ac:dyDescent="0.2">
      <c r="B7" s="1935"/>
      <c r="C7" s="329" t="s">
        <v>2073</v>
      </c>
      <c r="J7" s="1937">
        <v>1390</v>
      </c>
    </row>
    <row r="8" spans="1:10" x14ac:dyDescent="0.2">
      <c r="B8" s="1935"/>
      <c r="C8" s="329" t="s">
        <v>2081</v>
      </c>
      <c r="J8" s="1936">
        <v>2606</v>
      </c>
    </row>
    <row r="9" spans="1:10" x14ac:dyDescent="0.2">
      <c r="B9" s="1935"/>
      <c r="C9" s="329" t="s">
        <v>2074</v>
      </c>
      <c r="J9" s="1938">
        <v>126</v>
      </c>
    </row>
    <row r="10" spans="1:10" ht="13.5" thickBot="1" x14ac:dyDescent="0.25">
      <c r="B10" s="1935"/>
      <c r="J10" s="1939">
        <f>+J7+J8+J9</f>
        <v>4122</v>
      </c>
    </row>
    <row r="11" spans="1:10" ht="13.5" thickTop="1" x14ac:dyDescent="0.2">
      <c r="B11" s="1935"/>
      <c r="J11" s="1940"/>
    </row>
    <row r="12" spans="1:10" x14ac:dyDescent="0.2">
      <c r="B12" s="1935" t="s">
        <v>2082</v>
      </c>
    </row>
    <row r="13" spans="1:10" x14ac:dyDescent="0.2">
      <c r="B13" s="1935"/>
      <c r="C13" s="329" t="s">
        <v>2076</v>
      </c>
      <c r="J13" s="1937">
        <v>14149</v>
      </c>
    </row>
    <row r="14" spans="1:10" x14ac:dyDescent="0.2">
      <c r="B14" s="1935"/>
      <c r="C14" s="329" t="s">
        <v>2077</v>
      </c>
      <c r="J14" s="1936">
        <f>2176+4492</f>
        <v>6668</v>
      </c>
    </row>
    <row r="15" spans="1:10" x14ac:dyDescent="0.2">
      <c r="B15" s="1935"/>
      <c r="C15" s="329" t="s">
        <v>2078</v>
      </c>
      <c r="J15" s="1936">
        <f>400+20+508+1197</f>
        <v>2125</v>
      </c>
    </row>
    <row r="16" spans="1:10" x14ac:dyDescent="0.2">
      <c r="B16" s="1935"/>
      <c r="C16" s="329" t="s">
        <v>2079</v>
      </c>
      <c r="J16" s="1936">
        <f>583+591+591+591+591+591+520+658+725+591+591+996+591+520+591+571</f>
        <v>9892</v>
      </c>
    </row>
    <row r="17" spans="2:10" x14ac:dyDescent="0.2">
      <c r="B17" s="1935"/>
      <c r="C17" s="329" t="s">
        <v>2080</v>
      </c>
      <c r="J17" s="1938">
        <f>43733-J13-J14-J15-J16</f>
        <v>10899</v>
      </c>
    </row>
    <row r="18" spans="2:10" ht="13.5" thickBot="1" x14ac:dyDescent="0.25">
      <c r="B18" s="1935"/>
      <c r="J18" s="1939">
        <f>SUM(J13:J17)</f>
        <v>43733</v>
      </c>
    </row>
    <row r="19" spans="2:10" ht="13.5" thickTop="1" x14ac:dyDescent="0.2">
      <c r="B19" s="1935"/>
    </row>
    <row r="20" spans="2:10" x14ac:dyDescent="0.2">
      <c r="B20" s="1935" t="s">
        <v>2083</v>
      </c>
    </row>
    <row r="21" spans="2:10" ht="13.5" thickBot="1" x14ac:dyDescent="0.25">
      <c r="B21" s="1935"/>
      <c r="C21" s="329" t="s">
        <v>2084</v>
      </c>
      <c r="J21" s="1941">
        <v>7863</v>
      </c>
    </row>
    <row r="22" spans="2:10" ht="13.5" thickTop="1" x14ac:dyDescent="0.2">
      <c r="B22" s="1935"/>
    </row>
    <row r="23" spans="2:10" x14ac:dyDescent="0.2">
      <c r="B23" s="1935" t="s">
        <v>2085</v>
      </c>
    </row>
    <row r="24" spans="2:10" x14ac:dyDescent="0.2">
      <c r="B24" s="1935"/>
      <c r="C24" s="329" t="s">
        <v>2086</v>
      </c>
      <c r="J24" s="1937">
        <f>1200+1211</f>
        <v>2411</v>
      </c>
    </row>
    <row r="25" spans="2:10" x14ac:dyDescent="0.2">
      <c r="B25" s="1935"/>
      <c r="C25" s="329" t="s">
        <v>2087</v>
      </c>
      <c r="J25" s="1936">
        <f>5499-J24</f>
        <v>3088</v>
      </c>
    </row>
    <row r="26" spans="2:10" ht="13.5" thickBot="1" x14ac:dyDescent="0.25">
      <c r="B26" s="1935"/>
      <c r="J26" s="1939">
        <f>+J24+J25</f>
        <v>5499</v>
      </c>
    </row>
    <row r="27" spans="2:10" ht="13.5" thickTop="1" x14ac:dyDescent="0.2">
      <c r="B27" s="1935"/>
      <c r="J27" s="1940"/>
    </row>
    <row r="28" spans="2:10" x14ac:dyDescent="0.2">
      <c r="B28" s="1935" t="s">
        <v>2116</v>
      </c>
      <c r="J28" s="1940"/>
    </row>
    <row r="29" spans="2:10" x14ac:dyDescent="0.2">
      <c r="B29" s="1935"/>
      <c r="C29" s="329" t="s">
        <v>2117</v>
      </c>
      <c r="J29" s="1940">
        <v>41810</v>
      </c>
    </row>
    <row r="30" spans="2:10" x14ac:dyDescent="0.2">
      <c r="B30" s="1935"/>
      <c r="C30" s="329" t="s">
        <v>2118</v>
      </c>
      <c r="J30" s="1938">
        <v>1646</v>
      </c>
    </row>
    <row r="31" spans="2:10" ht="13.5" thickBot="1" x14ac:dyDescent="0.25">
      <c r="B31" s="1935"/>
      <c r="J31" s="1941">
        <v>43456</v>
      </c>
    </row>
    <row r="32" spans="2:10" ht="13.5" thickTop="1" x14ac:dyDescent="0.2">
      <c r="B32" s="1935"/>
      <c r="J32" s="1940"/>
    </row>
    <row r="33" spans="1:10" x14ac:dyDescent="0.2">
      <c r="A33" s="329" t="s">
        <v>2090</v>
      </c>
      <c r="B33" s="1935"/>
    </row>
    <row r="34" spans="1:10" x14ac:dyDescent="0.2">
      <c r="B34" s="1935" t="s">
        <v>2088</v>
      </c>
    </row>
    <row r="35" spans="1:10" ht="13.5" thickBot="1" x14ac:dyDescent="0.25">
      <c r="B35" s="1935"/>
      <c r="C35" s="329" t="s">
        <v>2089</v>
      </c>
      <c r="J35" s="1941">
        <v>7429</v>
      </c>
    </row>
    <row r="36" spans="1:10" ht="13.5" thickTop="1" x14ac:dyDescent="0.2">
      <c r="B36" s="1935"/>
    </row>
    <row r="37" spans="1:10" x14ac:dyDescent="0.2">
      <c r="B37" s="1935" t="s">
        <v>2091</v>
      </c>
    </row>
    <row r="38" spans="1:10" ht="13.5" thickBot="1" x14ac:dyDescent="0.25">
      <c r="B38" s="1935"/>
      <c r="C38" s="329" t="s">
        <v>2092</v>
      </c>
      <c r="J38" s="1941">
        <v>750</v>
      </c>
    </row>
    <row r="39" spans="1:10" ht="13.5" thickTop="1" x14ac:dyDescent="0.2">
      <c r="B39" s="1935"/>
    </row>
    <row r="40" spans="1:10" x14ac:dyDescent="0.2">
      <c r="B40" s="1935" t="s">
        <v>2094</v>
      </c>
    </row>
    <row r="41" spans="1:10" ht="13.5" thickBot="1" x14ac:dyDescent="0.25">
      <c r="B41" s="1935"/>
      <c r="C41" s="329" t="s">
        <v>2093</v>
      </c>
      <c r="J41" s="1941">
        <v>64757</v>
      </c>
    </row>
    <row r="42" spans="1:10" ht="13.5" thickTop="1" x14ac:dyDescent="0.2">
      <c r="B42" s="1935"/>
    </row>
    <row r="43" spans="1:10" x14ac:dyDescent="0.2">
      <c r="B43" s="1935"/>
    </row>
    <row r="44" spans="1:10" x14ac:dyDescent="0.2">
      <c r="B44" s="1935"/>
    </row>
    <row r="45" spans="1:10" x14ac:dyDescent="0.2">
      <c r="B45" s="1935"/>
    </row>
    <row r="46" spans="1:10" x14ac:dyDescent="0.2">
      <c r="B46" s="1935"/>
    </row>
    <row r="47" spans="1:10" x14ac:dyDescent="0.2">
      <c r="B47" s="1935"/>
    </row>
    <row r="48" spans="1:10" x14ac:dyDescent="0.2">
      <c r="B48" s="1935"/>
    </row>
    <row r="49" spans="2:2" x14ac:dyDescent="0.2">
      <c r="B49" s="1935"/>
    </row>
    <row r="50" spans="2:2" x14ac:dyDescent="0.2">
      <c r="B50" s="1935"/>
    </row>
    <row r="51" spans="2:2" x14ac:dyDescent="0.2">
      <c r="B51" s="1935"/>
    </row>
    <row r="52" spans="2:2" x14ac:dyDescent="0.2">
      <c r="B52" s="1935"/>
    </row>
    <row r="53" spans="2:2" x14ac:dyDescent="0.2">
      <c r="B53" s="1935"/>
    </row>
    <row r="54" spans="2:2" x14ac:dyDescent="0.2">
      <c r="B54" s="1935"/>
    </row>
    <row r="55" spans="2:2" x14ac:dyDescent="0.2">
      <c r="B55" s="1935"/>
    </row>
    <row r="56" spans="2:2" x14ac:dyDescent="0.2">
      <c r="B56" s="1935"/>
    </row>
    <row r="57" spans="2:2" x14ac:dyDescent="0.2">
      <c r="B57" s="1935"/>
    </row>
    <row r="58" spans="2:2" x14ac:dyDescent="0.2">
      <c r="B58" s="1935"/>
    </row>
    <row r="59" spans="2:2" x14ac:dyDescent="0.2">
      <c r="B59" s="1935"/>
    </row>
    <row r="60" spans="2:2" x14ac:dyDescent="0.2">
      <c r="B60" s="1935"/>
    </row>
    <row r="61" spans="2:2" x14ac:dyDescent="0.2">
      <c r="B61" s="1935"/>
    </row>
    <row r="62" spans="2:2" x14ac:dyDescent="0.2">
      <c r="B62" s="1935"/>
    </row>
    <row r="63" spans="2:2" x14ac:dyDescent="0.2">
      <c r="B63" s="1935"/>
    </row>
    <row r="64" spans="2:2" x14ac:dyDescent="0.2">
      <c r="B64" s="1935"/>
    </row>
    <row r="65" spans="2:3" x14ac:dyDescent="0.2">
      <c r="B65" s="1935"/>
    </row>
    <row r="66" spans="2:3" x14ac:dyDescent="0.2">
      <c r="B66" s="1935"/>
    </row>
    <row r="67" spans="2:3" x14ac:dyDescent="0.2">
      <c r="B67" s="1935"/>
    </row>
    <row r="68" spans="2:3" x14ac:dyDescent="0.2">
      <c r="B68" s="1935"/>
      <c r="C68" s="258" t="str">
        <f>COVER!A17</f>
        <v>Teutopolis CUSD 50</v>
      </c>
    </row>
    <row r="69" spans="2:3" x14ac:dyDescent="0.2">
      <c r="B69" s="389"/>
      <c r="C69" s="1068">
        <f>COVER!A13</f>
        <v>3025050026</v>
      </c>
    </row>
    <row r="70" spans="2:3" x14ac:dyDescent="0.2">
      <c r="B70" s="389"/>
    </row>
    <row r="71" spans="2:3" x14ac:dyDescent="0.2">
      <c r="B71" s="389"/>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4" t="s">
        <v>1611</v>
      </c>
    </row>
    <row r="23" spans="1:5" x14ac:dyDescent="0.2">
      <c r="A23" s="168"/>
      <c r="B23" s="162" t="s">
        <v>1857</v>
      </c>
      <c r="D23" s="167" t="s">
        <v>637</v>
      </c>
      <c r="E23" s="1834"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0" t="s">
        <v>1685</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6</xdr:row>
                <xdr:rowOff>66675</xdr:rowOff>
              </from>
              <to>
                <xdr:col>1</xdr:col>
                <xdr:colOff>914400</xdr:colOff>
                <xdr:row>11</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2"/>
      <c r="H2" s="1072"/>
    </row>
    <row r="3" spans="1:8" ht="57" customHeight="1" x14ac:dyDescent="0.2">
      <c r="A3" s="2354" t="s">
        <v>1686</v>
      </c>
      <c r="B3" s="2355"/>
      <c r="C3" s="2355"/>
      <c r="D3" s="2355"/>
      <c r="E3" s="2355"/>
      <c r="F3" s="2356"/>
      <c r="G3" s="1072"/>
      <c r="H3" s="1072"/>
    </row>
    <row r="4" spans="1:8" ht="14.25" customHeight="1" x14ac:dyDescent="0.2">
      <c r="A4" s="2360" t="s">
        <v>1988</v>
      </c>
      <c r="B4" s="2361"/>
      <c r="C4" s="2361"/>
      <c r="D4" s="2361"/>
      <c r="E4" s="2361"/>
      <c r="F4" s="2362"/>
      <c r="G4" s="1072"/>
      <c r="H4" s="1072"/>
    </row>
    <row r="5" spans="1:8" ht="14.25" customHeight="1" x14ac:dyDescent="0.2">
      <c r="A5" s="2363" t="s">
        <v>1984</v>
      </c>
      <c r="B5" s="2364"/>
      <c r="C5" s="2364"/>
      <c r="D5" s="2364"/>
      <c r="E5" s="2364"/>
      <c r="F5" s="2365"/>
      <c r="G5" s="1072"/>
      <c r="H5" s="1072"/>
    </row>
    <row r="6" spans="1:8" s="1073" customFormat="1" ht="41.25" customHeight="1" x14ac:dyDescent="0.2">
      <c r="A6" s="2357" t="s">
        <v>1691</v>
      </c>
      <c r="B6" s="2358"/>
      <c r="C6" s="2358"/>
      <c r="D6" s="2358"/>
      <c r="E6" s="2358"/>
      <c r="F6" s="2359"/>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13">
        <f>'Acct Summary 7-8'!C8</f>
        <v>7241610</v>
      </c>
      <c r="C8" s="1813">
        <f>'Acct Summary 7-8'!D8</f>
        <v>851450</v>
      </c>
      <c r="D8" s="1813">
        <f>'Acct Summary 7-8'!F8</f>
        <v>535057</v>
      </c>
      <c r="E8" s="1813">
        <f>'Acct Summary 7-8'!I8</f>
        <v>80561</v>
      </c>
      <c r="F8" s="1813">
        <f>SUM(B8:E8)</f>
        <v>8708678</v>
      </c>
    </row>
    <row r="9" spans="1:8" s="1077" customFormat="1" ht="14.25" customHeight="1" thickBot="1" x14ac:dyDescent="0.25">
      <c r="A9" s="1076" t="s">
        <v>1369</v>
      </c>
      <c r="B9" s="1814">
        <f>'Acct Summary 7-8'!C17</f>
        <v>6662187</v>
      </c>
      <c r="C9" s="1814">
        <f>'Acct Summary 7-8'!D17</f>
        <v>854131</v>
      </c>
      <c r="D9" s="1814">
        <f>'Acct Summary 7-8'!F17</f>
        <v>480167</v>
      </c>
      <c r="E9" s="1813"/>
      <c r="F9" s="1813">
        <f>SUM(B9:E9)</f>
        <v>7996485</v>
      </c>
    </row>
    <row r="10" spans="1:8" s="1077" customFormat="1" ht="14.25" thickTop="1" thickBot="1" x14ac:dyDescent="0.25">
      <c r="A10" s="1078" t="s">
        <v>1370</v>
      </c>
      <c r="B10" s="1815">
        <f>(B8-B9)</f>
        <v>579423</v>
      </c>
      <c r="C10" s="1815">
        <f>(C8-C9)</f>
        <v>-2681</v>
      </c>
      <c r="D10" s="1815">
        <f>(D8-D9)</f>
        <v>54890</v>
      </c>
      <c r="E10" s="1814">
        <f>(E8-E9)</f>
        <v>80561</v>
      </c>
      <c r="F10" s="1816">
        <f>SUM(F8-F9)</f>
        <v>712193</v>
      </c>
    </row>
    <row r="11" spans="1:8" s="1077" customFormat="1" ht="14.25" thickTop="1" thickBot="1" x14ac:dyDescent="0.25">
      <c r="A11" s="1079" t="s">
        <v>1985</v>
      </c>
      <c r="B11" s="1817">
        <f>'Acct Summary 7-8'!C81</f>
        <v>2958479</v>
      </c>
      <c r="C11" s="1817">
        <f>'Acct Summary 7-8'!D81</f>
        <v>1615025</v>
      </c>
      <c r="D11" s="1817">
        <f>'Acct Summary 7-8'!F81</f>
        <v>852249</v>
      </c>
      <c r="E11" s="1817">
        <f>'Acct Summary 7-8'!I81</f>
        <v>819295</v>
      </c>
      <c r="F11" s="1818">
        <f>SUM(B11:E11)</f>
        <v>6245048</v>
      </c>
    </row>
    <row r="12" spans="1:8" ht="16.5" customHeight="1" thickTop="1" x14ac:dyDescent="0.2">
      <c r="A12" s="1080"/>
      <c r="B12" s="1081"/>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2"/>
      <c r="B13" s="1083"/>
      <c r="C13" s="2345"/>
      <c r="D13" s="2346"/>
      <c r="E13" s="2346"/>
      <c r="F13" s="2347"/>
      <c r="H13" s="1072"/>
    </row>
    <row r="14" spans="1:8" ht="19.5" customHeight="1" x14ac:dyDescent="0.2">
      <c r="A14" s="1082"/>
      <c r="B14" s="1083"/>
      <c r="C14" s="2345"/>
      <c r="D14" s="2346"/>
      <c r="E14" s="2346"/>
      <c r="F14" s="2347"/>
      <c r="H14" s="1072"/>
    </row>
    <row r="15" spans="1:8" ht="17.25" customHeight="1" x14ac:dyDescent="0.2">
      <c r="A15" s="1082"/>
      <c r="B15" s="1083"/>
      <c r="C15" s="2348"/>
      <c r="D15" s="2349"/>
      <c r="E15" s="2349"/>
      <c r="F15" s="2350"/>
      <c r="H15" s="1072"/>
    </row>
    <row r="16" spans="1:8" s="310" customFormat="1" ht="51.75" hidden="1" customHeight="1" x14ac:dyDescent="0.2">
      <c r="A16" s="2344" t="s">
        <v>1687</v>
      </c>
      <c r="B16" s="2344"/>
      <c r="C16" s="2344"/>
      <c r="D16" s="2344"/>
      <c r="E16" s="2344"/>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0" colorId="8" zoomScale="110" zoomScaleNormal="110" workbookViewId="0">
      <selection activeCell="D55" sqref="D55"/>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66" t="s">
        <v>665</v>
      </c>
      <c r="B3" s="2367"/>
      <c r="C3" s="2367"/>
      <c r="D3" s="2368"/>
    </row>
    <row r="4" spans="1:4" x14ac:dyDescent="0.2">
      <c r="A4" s="1150" t="s">
        <v>1692</v>
      </c>
      <c r="B4" s="1151"/>
      <c r="C4" s="1152"/>
      <c r="D4" s="1153"/>
    </row>
    <row r="5" spans="1:4" ht="21" customHeight="1" x14ac:dyDescent="0.2">
      <c r="A5" s="1146"/>
      <c r="B5" s="1147">
        <v>1</v>
      </c>
      <c r="C5" s="1148" t="s">
        <v>1835</v>
      </c>
      <c r="D5" s="1149"/>
    </row>
    <row r="6" spans="1:4" s="668" customFormat="1" ht="14.25" customHeight="1" x14ac:dyDescent="0.2">
      <c r="A6" s="1136"/>
      <c r="B6" s="1091">
        <f t="shared" ref="B6:B13" si="0">B5+1</f>
        <v>2</v>
      </c>
      <c r="C6" s="1092" t="s">
        <v>864</v>
      </c>
      <c r="D6" s="1093"/>
    </row>
    <row r="7" spans="1:4" s="668" customFormat="1" ht="12.75" x14ac:dyDescent="0.2">
      <c r="A7" s="1136"/>
      <c r="B7" s="1091">
        <f t="shared" si="0"/>
        <v>3</v>
      </c>
      <c r="C7" s="2377" t="s">
        <v>1504</v>
      </c>
      <c r="D7" s="2378"/>
    </row>
    <row r="8" spans="1:4" s="668" customFormat="1" ht="12.75" x14ac:dyDescent="0.2">
      <c r="A8" s="1136"/>
      <c r="B8" s="1091"/>
      <c r="C8" s="1094" t="s">
        <v>1503</v>
      </c>
      <c r="D8" s="1095"/>
    </row>
    <row r="9" spans="1:4" s="668" customFormat="1" ht="14.25" customHeight="1" x14ac:dyDescent="0.2">
      <c r="A9" s="1136"/>
      <c r="B9" s="1091">
        <f>B7+1</f>
        <v>4</v>
      </c>
      <c r="C9" s="1092" t="s">
        <v>1913</v>
      </c>
      <c r="D9" s="1093"/>
    </row>
    <row r="10" spans="1:4" s="668" customFormat="1" ht="14.25" customHeight="1" x14ac:dyDescent="0.2">
      <c r="A10" s="1136"/>
      <c r="B10" s="1091">
        <f t="shared" si="0"/>
        <v>5</v>
      </c>
      <c r="C10" s="1092" t="s">
        <v>639</v>
      </c>
      <c r="D10" s="1093"/>
    </row>
    <row r="11" spans="1:4" s="668" customFormat="1" ht="14.25" customHeight="1" x14ac:dyDescent="0.2">
      <c r="A11" s="1136"/>
      <c r="B11" s="1091">
        <f t="shared" si="0"/>
        <v>6</v>
      </c>
      <c r="C11" s="1092" t="s">
        <v>778</v>
      </c>
      <c r="D11" s="1093"/>
    </row>
    <row r="12" spans="1:4" s="668" customFormat="1" ht="14.25" customHeight="1" x14ac:dyDescent="0.2">
      <c r="A12" s="1136"/>
      <c r="B12" s="1091">
        <f t="shared" si="0"/>
        <v>7</v>
      </c>
      <c r="C12" s="1092" t="s">
        <v>1062</v>
      </c>
      <c r="D12" s="1093"/>
    </row>
    <row r="13" spans="1:4" s="668" customFormat="1" ht="14.25" customHeight="1" x14ac:dyDescent="0.2">
      <c r="A13" s="1136"/>
      <c r="B13" s="1091">
        <f t="shared" si="0"/>
        <v>8</v>
      </c>
      <c r="C13" s="1132" t="s">
        <v>779</v>
      </c>
      <c r="D13" s="1093"/>
    </row>
    <row r="14" spans="1:4" s="668" customFormat="1" ht="14.25" customHeight="1" x14ac:dyDescent="0.2">
      <c r="A14" s="1136"/>
      <c r="B14" s="1133">
        <v>9</v>
      </c>
      <c r="C14" s="1134" t="s">
        <v>1505</v>
      </c>
      <c r="D14" s="1135"/>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4" t="s">
        <v>1693</v>
      </c>
      <c r="B17" s="1155"/>
      <c r="C17" s="1156"/>
      <c r="D17" s="1157"/>
    </row>
    <row r="18" spans="1:10" s="668"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1" t="s">
        <v>314</v>
      </c>
      <c r="D21" s="2382"/>
    </row>
    <row r="22" spans="1:10" ht="12.75" x14ac:dyDescent="0.2">
      <c r="A22" s="1137"/>
      <c r="B22" s="1138">
        <v>2</v>
      </c>
      <c r="C22" s="2379" t="s">
        <v>1524</v>
      </c>
      <c r="D22" s="2380"/>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3" t="s">
        <v>536</v>
      </c>
      <c r="D43" s="2384"/>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5" t="s">
        <v>784</v>
      </c>
      <c r="D56" s="2376"/>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1914</v>
      </c>
      <c r="D66" s="1123"/>
    </row>
    <row r="67" spans="1:4" x14ac:dyDescent="0.2">
      <c r="A67" s="1117"/>
      <c r="B67" s="1138"/>
      <c r="C67" s="1145" t="s">
        <v>1021</v>
      </c>
      <c r="D67" s="1123"/>
    </row>
    <row r="68" spans="1:4" x14ac:dyDescent="0.2">
      <c r="A68" s="1098"/>
      <c r="B68" s="1108"/>
      <c r="C68" s="1100" t="s">
        <v>1915</v>
      </c>
      <c r="D68" s="1122" t="str">
        <f>IF('Short-Term Long-Term Debt 24'!F49=SUM(,'Acct Summary 7-8'!C33:K33),"OK","ERROR!")</f>
        <v>OK</v>
      </c>
    </row>
    <row r="69" spans="1:4" x14ac:dyDescent="0.2">
      <c r="A69" s="1098"/>
      <c r="B69" s="1108"/>
      <c r="C69" s="1100" t="s">
        <v>1916</v>
      </c>
      <c r="D69" s="1122" t="str">
        <f>IF('Expenditures 15-22'!H170&lt;&gt;'Short-Term Long-Term Debt 24'!H49,"ERROR!","OK")</f>
        <v>OK</v>
      </c>
    </row>
    <row r="70" spans="1:4" x14ac:dyDescent="0.2">
      <c r="A70" s="1096"/>
      <c r="B70" s="1118">
        <f>B66+1</f>
        <v>9</v>
      </c>
      <c r="C70" s="2375" t="s">
        <v>1696</v>
      </c>
      <c r="D70" s="2376"/>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1917</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1918</v>
      </c>
      <c r="D78" s="1122" t="str">
        <f>IF(ISNUMBER('Acct Summary 7-8'!C9),"OK","ENTRY IS REQUIRED!")</f>
        <v>OK</v>
      </c>
    </row>
    <row r="79" spans="1:4" x14ac:dyDescent="0.2">
      <c r="A79" s="1117"/>
      <c r="B79" s="1118">
        <f>B74+1+1</f>
        <v>12</v>
      </c>
      <c r="C79" s="1128" t="s">
        <v>1903</v>
      </c>
      <c r="D79" s="1129" t="str">
        <f>IF(OR(COVER!$B$6="X",'PCTC-OEPP 27-28'!F78&gt;0),"OK","PLEASE ENTER 9 MO ADA.")</f>
        <v>OK</v>
      </c>
    </row>
    <row r="80" spans="1:4" x14ac:dyDescent="0.2">
      <c r="A80" s="1096"/>
      <c r="B80" s="1118">
        <v>13</v>
      </c>
      <c r="C80" s="1128" t="s">
        <v>1919</v>
      </c>
      <c r="D80" s="1129" t="str">
        <f>IF('Contracts Paid in CY 29'!D141&gt;0,"OK","PLEASE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3025050026</v>
      </c>
    </row>
    <row r="3" spans="1:2" x14ac:dyDescent="0.2">
      <c r="A3" t="s">
        <v>956</v>
      </c>
      <c r="B3" s="138" t="str">
        <f>COVER!A15</f>
        <v>Effingham</v>
      </c>
    </row>
    <row r="4" spans="1:2" x14ac:dyDescent="0.2">
      <c r="A4" t="s">
        <v>1007</v>
      </c>
      <c r="B4" s="138" t="str">
        <f>COVER!A17</f>
        <v>Teutopolis CUSD 50</v>
      </c>
    </row>
    <row r="5" spans="1:2" x14ac:dyDescent="0.2">
      <c r="A5" t="s">
        <v>704</v>
      </c>
      <c r="B5" s="138" t="str">
        <f>COVER!A38</f>
        <v>Deborah Philpot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066-004976</v>
      </c>
    </row>
    <row r="16" spans="1:2" x14ac:dyDescent="0.2">
      <c r="A16" t="s">
        <v>422</v>
      </c>
      <c r="B16" s="138" t="str">
        <f>COVER!T13</f>
        <v>Glass &amp; Shuffett, Ltd.</v>
      </c>
    </row>
    <row r="17" spans="1:2" x14ac:dyDescent="0.2">
      <c r="A17" t="s">
        <v>884</v>
      </c>
      <c r="B17" s="138" t="str">
        <f>COVER!T15</f>
        <v>Bo V. Thomas, CPA</v>
      </c>
    </row>
    <row r="18" spans="1:2" x14ac:dyDescent="0.2">
      <c r="A18" t="s">
        <v>1150</v>
      </c>
      <c r="B18" s="138" t="str">
        <f>COVER!T17</f>
        <v>1819 W McCord, PO Box 489</v>
      </c>
    </row>
    <row r="19" spans="1:2" x14ac:dyDescent="0.2">
      <c r="A19" t="s">
        <v>886</v>
      </c>
      <c r="B19" s="138" t="str">
        <f>COVER!T25</f>
        <v>gandscpa@sbcglobal.net</v>
      </c>
    </row>
    <row r="20" spans="1:2" x14ac:dyDescent="0.2">
      <c r="A20" t="s">
        <v>887</v>
      </c>
      <c r="B20" s="138" t="str">
        <f>COVER!T19</f>
        <v>Centralia</v>
      </c>
    </row>
    <row r="21" spans="1:2" x14ac:dyDescent="0.2">
      <c r="A21" t="s">
        <v>479</v>
      </c>
      <c r="B21" s="138" t="str">
        <f>COVER!X19</f>
        <v>IL</v>
      </c>
    </row>
    <row r="22" spans="1:2" x14ac:dyDescent="0.2">
      <c r="A22" t="s">
        <v>888</v>
      </c>
      <c r="B22" s="138">
        <f>COVER!Z19</f>
        <v>62801</v>
      </c>
    </row>
    <row r="23" spans="1:2" x14ac:dyDescent="0.2">
      <c r="A23" t="s">
        <v>1152</v>
      </c>
      <c r="B23" s="138" t="str">
        <f>COVER!T21</f>
        <v>618-532-5683</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2958479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2895035</v>
      </c>
      <c r="D92" s="2" t="str">
        <f t="shared" si="0"/>
        <v>Error?</v>
      </c>
    </row>
    <row r="93" spans="1:4" x14ac:dyDescent="0.2">
      <c r="A93" s="5">
        <v>32</v>
      </c>
      <c r="B93" s="138">
        <f>'Assets-Liab 5-6'!C41</f>
        <v>2958479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1615025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1615025</v>
      </c>
      <c r="D123" s="2" t="str">
        <f t="shared" si="0"/>
        <v>Error?</v>
      </c>
    </row>
    <row r="124" spans="1:4" x14ac:dyDescent="0.2">
      <c r="A124" s="5">
        <v>63</v>
      </c>
      <c r="B124" s="138">
        <f>'Assets-Liab 5-6'!D41</f>
        <v>1615025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82667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82667</v>
      </c>
      <c r="D140" s="2" t="str">
        <f t="shared" si="1"/>
        <v>Error?</v>
      </c>
    </row>
    <row r="141" spans="1:4" x14ac:dyDescent="0.2">
      <c r="A141" s="5">
        <v>80</v>
      </c>
      <c r="B141" s="138">
        <f>'Assets-Liab 5-6'!E41</f>
        <v>82667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852249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852249</v>
      </c>
      <c r="D170" s="2" t="str">
        <f t="shared" si="1"/>
        <v>Error?</v>
      </c>
    </row>
    <row r="171" spans="1:4" x14ac:dyDescent="0.2">
      <c r="A171" s="5">
        <v>110</v>
      </c>
      <c r="B171" s="138">
        <f>'Assets-Liab 5-6'!F41</f>
        <v>852249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326179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326179</v>
      </c>
      <c r="D189" s="2" t="str">
        <f t="shared" si="1"/>
        <v>Error?</v>
      </c>
    </row>
    <row r="190" spans="1:4" x14ac:dyDescent="0.2">
      <c r="A190" s="5">
        <v>129</v>
      </c>
      <c r="B190" s="138">
        <f>'Assets-Liab 5-6'!G41</f>
        <v>326179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2285275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2285275</v>
      </c>
      <c r="D212" s="2" t="str">
        <f t="shared" si="2"/>
        <v>Error?</v>
      </c>
    </row>
    <row r="213" spans="1:4" x14ac:dyDescent="0.2">
      <c r="A213" s="12">
        <v>152</v>
      </c>
      <c r="B213" s="138">
        <f>'Assets-Liab 5-6'!H41</f>
        <v>2285275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634319</v>
      </c>
      <c r="D273" s="2" t="str">
        <f t="shared" si="3"/>
        <v>Error?</v>
      </c>
    </row>
    <row r="274" spans="1:4" x14ac:dyDescent="0.2">
      <c r="A274" s="5">
        <v>213</v>
      </c>
      <c r="B274" s="138">
        <f>'Assets-Liab 5-6'!M17</f>
        <v>17173342</v>
      </c>
      <c r="D274" s="2" t="str">
        <f t="shared" si="3"/>
        <v>Error?</v>
      </c>
    </row>
    <row r="275" spans="1:4" x14ac:dyDescent="0.2">
      <c r="A275" s="5">
        <v>214</v>
      </c>
      <c r="B275" s="138">
        <f>'Assets-Liab 5-6'!M18</f>
        <v>1500468</v>
      </c>
      <c r="D275" s="2" t="str">
        <f t="shared" si="3"/>
        <v>Error?</v>
      </c>
    </row>
    <row r="276" spans="1:4" x14ac:dyDescent="0.2">
      <c r="A276" s="5">
        <v>215</v>
      </c>
      <c r="B276" s="138">
        <f>'Assets-Liab 5-6'!M19</f>
        <v>8421928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28011134</v>
      </c>
      <c r="C279" s="2" t="s">
        <v>573</v>
      </c>
      <c r="D279" s="2" t="str">
        <f t="shared" si="3"/>
        <v>Error?</v>
      </c>
    </row>
    <row r="280" spans="1:4" x14ac:dyDescent="0.2">
      <c r="A280" s="5">
        <v>219</v>
      </c>
      <c r="B280" s="138">
        <f>'Assets-Liab 5-6'!M40</f>
        <v>28011134</v>
      </c>
      <c r="D280" s="2" t="str">
        <f t="shared" si="3"/>
        <v>Error?</v>
      </c>
    </row>
    <row r="281" spans="1:4" x14ac:dyDescent="0.2">
      <c r="A281" s="5">
        <v>220</v>
      </c>
      <c r="B281" s="138">
        <f>'Assets-Liab 5-6'!M41</f>
        <v>28011134</v>
      </c>
      <c r="C281" s="2" t="s">
        <v>573</v>
      </c>
      <c r="D281" s="2" t="str">
        <f t="shared" si="3"/>
        <v>Error?</v>
      </c>
    </row>
    <row r="282" spans="1:4" x14ac:dyDescent="0.2">
      <c r="A282" s="5">
        <v>221</v>
      </c>
      <c r="B282" s="138">
        <f>'Assets-Liab 5-6'!N21</f>
        <v>82667</v>
      </c>
      <c r="D282" s="2" t="str">
        <f t="shared" si="3"/>
        <v>Error?</v>
      </c>
    </row>
    <row r="283" spans="1:4" x14ac:dyDescent="0.2">
      <c r="A283" s="5">
        <v>222</v>
      </c>
      <c r="B283" s="138">
        <f>'Assets-Liab 5-6'!N22</f>
        <v>5672333</v>
      </c>
      <c r="D283" s="2" t="str">
        <f t="shared" si="3"/>
        <v>Error?</v>
      </c>
    </row>
    <row r="284" spans="1:4" x14ac:dyDescent="0.2">
      <c r="A284" s="5">
        <v>223</v>
      </c>
      <c r="B284" s="138">
        <f>'Assets-Liab 5-6'!N23</f>
        <v>5755000</v>
      </c>
      <c r="C284" s="2" t="s">
        <v>573</v>
      </c>
      <c r="D284" s="2" t="str">
        <f t="shared" si="3"/>
        <v>Error?</v>
      </c>
    </row>
    <row r="285" spans="1:4" x14ac:dyDescent="0.2">
      <c r="A285" s="5">
        <v>224</v>
      </c>
      <c r="B285" s="138">
        <f>'Assets-Liab 5-6'!N36</f>
        <v>5755000</v>
      </c>
      <c r="D285" s="2" t="str">
        <f t="shared" si="3"/>
        <v>Error?</v>
      </c>
    </row>
    <row r="286" spans="1:4" x14ac:dyDescent="0.2">
      <c r="A286" s="10">
        <v>225</v>
      </c>
      <c r="D286" s="2" t="str">
        <f t="shared" si="3"/>
        <v>OK</v>
      </c>
    </row>
    <row r="287" spans="1:4" x14ac:dyDescent="0.2">
      <c r="A287" s="5">
        <v>226</v>
      </c>
      <c r="B287" s="138">
        <f>'Assets-Liab 5-6'!N37</f>
        <v>5755000</v>
      </c>
      <c r="C287" s="2" t="s">
        <v>573</v>
      </c>
      <c r="D287" s="2" t="str">
        <f t="shared" si="3"/>
        <v>Error?</v>
      </c>
    </row>
    <row r="288" spans="1:4" x14ac:dyDescent="0.2">
      <c r="A288" s="5">
        <v>227</v>
      </c>
      <c r="B288" s="138">
        <f>'Assets-Liab 5-6'!N41</f>
        <v>5755000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2120000</v>
      </c>
      <c r="D618" s="2" t="str">
        <f t="shared" si="8"/>
        <v>Error?</v>
      </c>
    </row>
    <row r="619" spans="1:4" x14ac:dyDescent="0.2">
      <c r="A619" s="5">
        <v>558</v>
      </c>
      <c r="B619" s="138">
        <f>'Acct Summary 7-8'!H34</f>
        <v>283810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3021400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171869</v>
      </c>
      <c r="D717" s="2" t="str">
        <f t="shared" si="10"/>
        <v>Error?</v>
      </c>
    </row>
    <row r="718" spans="1:4" x14ac:dyDescent="0.2">
      <c r="A718" s="5">
        <v>657</v>
      </c>
      <c r="B718" s="138">
        <f>'Expenditures 15-22'!C14</f>
        <v>205583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4065999</v>
      </c>
      <c r="C720" s="2" t="s">
        <v>573</v>
      </c>
      <c r="D720" s="2" t="str">
        <f t="shared" si="10"/>
        <v>Error?</v>
      </c>
    </row>
    <row r="721" spans="1:4" x14ac:dyDescent="0.2">
      <c r="A721" s="5">
        <v>660</v>
      </c>
      <c r="B721" s="138">
        <f>'Expenditures 15-22'!C36</f>
        <v>17957</v>
      </c>
      <c r="D721" s="2" t="str">
        <f t="shared" si="10"/>
        <v>Error?</v>
      </c>
    </row>
    <row r="722" spans="1:4" x14ac:dyDescent="0.2">
      <c r="A722" s="5">
        <v>661</v>
      </c>
      <c r="B722" s="138">
        <f>'Expenditures 15-22'!C37</f>
        <v>161313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16749</v>
      </c>
      <c r="D724" s="2" t="str">
        <f t="shared" si="10"/>
        <v>Error?</v>
      </c>
    </row>
    <row r="725" spans="1:4" x14ac:dyDescent="0.2">
      <c r="A725" s="5">
        <v>664</v>
      </c>
      <c r="B725" s="138">
        <f>'Expenditures 15-22'!C40</f>
        <v>113394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309413</v>
      </c>
      <c r="C727" s="2" t="s">
        <v>573</v>
      </c>
      <c r="D727" s="2" t="str">
        <f t="shared" si="10"/>
        <v>Error?</v>
      </c>
    </row>
    <row r="728" spans="1:4" x14ac:dyDescent="0.2">
      <c r="A728" s="5">
        <v>667</v>
      </c>
      <c r="B728" s="138">
        <f>'Expenditures 15-22'!C44</f>
        <v>17718</v>
      </c>
      <c r="D728" s="2" t="str">
        <f t="shared" si="10"/>
        <v>Error?</v>
      </c>
    </row>
    <row r="729" spans="1:4" x14ac:dyDescent="0.2">
      <c r="A729" s="5">
        <v>668</v>
      </c>
      <c r="B729" s="138">
        <f>'Expenditures 15-22'!C45</f>
        <v>68301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86019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166978</v>
      </c>
      <c r="D733" s="2" t="str">
        <f t="shared" si="10"/>
        <v>Error?</v>
      </c>
    </row>
    <row r="734" spans="1:4" x14ac:dyDescent="0.2">
      <c r="A734" s="5">
        <v>673</v>
      </c>
      <c r="B734" s="138">
        <f>'Expenditures 15-22'!C53</f>
        <v>166978</v>
      </c>
      <c r="C734" s="2" t="s">
        <v>573</v>
      </c>
      <c r="D734" s="2" t="str">
        <f t="shared" si="10"/>
        <v>Error?</v>
      </c>
    </row>
    <row r="735" spans="1:4" x14ac:dyDescent="0.2">
      <c r="A735" s="5">
        <v>674</v>
      </c>
      <c r="B735" s="138">
        <f>'Expenditures 15-22'!C55</f>
        <v>408035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408035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46163</v>
      </c>
      <c r="D739" s="2" t="str">
        <f t="shared" si="10"/>
        <v>Error?</v>
      </c>
    </row>
    <row r="740" spans="1:4" x14ac:dyDescent="0.2">
      <c r="A740" s="5">
        <v>679</v>
      </c>
      <c r="B740" s="138">
        <f>'Expenditures 15-22'!C61</f>
        <v>77367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132750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256280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1226725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5292724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226494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5494</v>
      </c>
      <c r="D775" s="2" t="str">
        <f t="shared" si="11"/>
        <v>Error?</v>
      </c>
    </row>
    <row r="776" spans="1:4" x14ac:dyDescent="0.2">
      <c r="A776" s="5">
        <v>715</v>
      </c>
      <c r="B776" s="138">
        <f>'Expenditures 15-22'!D14</f>
        <v>11820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286271</v>
      </c>
      <c r="C778" s="2" t="s">
        <v>573</v>
      </c>
      <c r="D778" s="2" t="str">
        <f t="shared" si="11"/>
        <v>Error?</v>
      </c>
    </row>
    <row r="779" spans="1:4" x14ac:dyDescent="0.2">
      <c r="A779" s="5">
        <v>718</v>
      </c>
      <c r="B779" s="138">
        <f>'Expenditures 15-22'!D36</f>
        <v>1911</v>
      </c>
      <c r="D779" s="2" t="str">
        <f t="shared" si="11"/>
        <v>Error?</v>
      </c>
    </row>
    <row r="780" spans="1:4" x14ac:dyDescent="0.2">
      <c r="A780" s="5">
        <v>719</v>
      </c>
      <c r="B780" s="138">
        <f>'Expenditures 15-22'!D37</f>
        <v>7046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251</v>
      </c>
      <c r="D782" s="2" t="str">
        <f t="shared" si="11"/>
        <v>Error?</v>
      </c>
    </row>
    <row r="783" spans="1:4" x14ac:dyDescent="0.2">
      <c r="A783" s="5">
        <v>722</v>
      </c>
      <c r="B783" s="138">
        <f>'Expenditures 15-22'!D40</f>
        <v>6333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15541</v>
      </c>
      <c r="C785" s="2" t="s">
        <v>573</v>
      </c>
      <c r="D785" s="2" t="str">
        <f t="shared" si="11"/>
        <v>Error?</v>
      </c>
    </row>
    <row r="786" spans="1:4" x14ac:dyDescent="0.2">
      <c r="A786" s="5">
        <v>725</v>
      </c>
      <c r="B786" s="138">
        <f>'Expenditures 15-22'!D44</f>
        <v>266</v>
      </c>
      <c r="D786" s="2" t="str">
        <f t="shared" si="11"/>
        <v>Error?</v>
      </c>
    </row>
    <row r="787" spans="1:4" x14ac:dyDescent="0.2">
      <c r="A787" s="5">
        <v>726</v>
      </c>
      <c r="B787" s="138">
        <f>'Expenditures 15-22'!D45</f>
        <v>748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1014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20169</v>
      </c>
      <c r="D791" s="2" t="str">
        <f t="shared" si="11"/>
        <v>Error?</v>
      </c>
    </row>
    <row r="792" spans="1:4" x14ac:dyDescent="0.2">
      <c r="A792" s="5">
        <v>731</v>
      </c>
      <c r="B792" s="138">
        <f>'Expenditures 15-22'!D53</f>
        <v>20169</v>
      </c>
      <c r="C792" s="2" t="s">
        <v>573</v>
      </c>
      <c r="D792" s="2" t="str">
        <f t="shared" si="11"/>
        <v>Error?</v>
      </c>
    </row>
    <row r="793" spans="1:4" x14ac:dyDescent="0.2">
      <c r="A793" s="5">
        <v>732</v>
      </c>
      <c r="B793" s="138">
        <f>'Expenditures 15-22'!D55</f>
        <v>52492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52492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10827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15164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25991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115207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401478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13108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186</v>
      </c>
      <c r="D833" s="2" t="str">
        <f t="shared" si="12"/>
        <v>Error?</v>
      </c>
    </row>
    <row r="834" spans="1:4" x14ac:dyDescent="0.2">
      <c r="A834" s="5">
        <v>773</v>
      </c>
      <c r="B834" s="138">
        <f>'Expenditures 15-22'!E14</f>
        <v>41097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67621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23081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23081</v>
      </c>
      <c r="C847" s="2" t="s">
        <v>573</v>
      </c>
      <c r="D847" s="2" t="str">
        <f t="shared" si="12"/>
        <v>Error?</v>
      </c>
    </row>
    <row r="848" spans="1:4" x14ac:dyDescent="0.2">
      <c r="A848" s="5">
        <v>787</v>
      </c>
      <c r="B848" s="138">
        <f>'Expenditures 15-22'!E49</f>
        <v>10031</v>
      </c>
      <c r="D848" s="2" t="str">
        <f t="shared" si="12"/>
        <v>Error?</v>
      </c>
    </row>
    <row r="849" spans="1:4" x14ac:dyDescent="0.2">
      <c r="A849" s="5">
        <v>788</v>
      </c>
      <c r="B849" s="138">
        <f>'Expenditures 15-22'!E50</f>
        <v>283</v>
      </c>
      <c r="D849" s="2" t="str">
        <f t="shared" si="12"/>
        <v>Error?</v>
      </c>
    </row>
    <row r="850" spans="1:4" x14ac:dyDescent="0.2">
      <c r="A850" s="5">
        <v>789</v>
      </c>
      <c r="B850" s="138">
        <f>'Expenditures 15-22'!E53</f>
        <v>10314</v>
      </c>
      <c r="C850" s="2" t="s">
        <v>573</v>
      </c>
      <c r="D850" s="2" t="str">
        <f t="shared" si="12"/>
        <v>Error?</v>
      </c>
    </row>
    <row r="851" spans="1:4" x14ac:dyDescent="0.2">
      <c r="A851" s="5">
        <v>790</v>
      </c>
      <c r="B851" s="138">
        <f>'Expenditures 15-22'!E55</f>
        <v>442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6754</v>
      </c>
      <c r="D855" s="2" t="str">
        <f t="shared" si="12"/>
        <v>Error?</v>
      </c>
    </row>
    <row r="856" spans="1:4" x14ac:dyDescent="0.2">
      <c r="A856" s="5">
        <v>795</v>
      </c>
      <c r="B856" s="138">
        <f>'Expenditures 15-22'!E61</f>
        <v>4450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10745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21949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55786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181532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162181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7520</v>
      </c>
      <c r="D891" s="2" t="str">
        <f t="shared" si="12"/>
        <v>Error?</v>
      </c>
    </row>
    <row r="892" spans="1:4" x14ac:dyDescent="0.2">
      <c r="A892" s="5">
        <v>831</v>
      </c>
      <c r="B892" s="138">
        <f>'Expenditures 15-22'!F14</f>
        <v>24784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202562</v>
      </c>
      <c r="C894" s="2" t="s">
        <v>573</v>
      </c>
      <c r="D894" s="2" t="str">
        <f t="shared" si="12"/>
        <v>Error?</v>
      </c>
    </row>
    <row r="895" spans="1:4" x14ac:dyDescent="0.2">
      <c r="A895" s="5">
        <v>834</v>
      </c>
      <c r="B895" s="138">
        <f>'Expenditures 15-22'!F36</f>
        <v>52</v>
      </c>
      <c r="D895" s="2" t="str">
        <f t="shared" ref="D895:D958" si="13">IF(ISBLANK(B895),"OK",IF(A895-B895=0,"OK","Error?"))</f>
        <v>Error?</v>
      </c>
    </row>
    <row r="896" spans="1:4" x14ac:dyDescent="0.2">
      <c r="A896" s="5">
        <v>835</v>
      </c>
      <c r="B896" s="138">
        <f>'Expenditures 15-22'!F37</f>
        <v>88</v>
      </c>
      <c r="D896" s="2" t="str">
        <f t="shared" si="13"/>
        <v>Error?</v>
      </c>
    </row>
    <row r="897" spans="1:4" x14ac:dyDescent="0.2">
      <c r="A897" s="5">
        <v>836</v>
      </c>
      <c r="B897" s="138">
        <f>'Expenditures 15-22'!F38</f>
        <v>119</v>
      </c>
      <c r="D897" s="2" t="str">
        <f t="shared" si="13"/>
        <v>Error?</v>
      </c>
    </row>
    <row r="898" spans="1:4" x14ac:dyDescent="0.2">
      <c r="A898" s="5">
        <v>837</v>
      </c>
      <c r="B898" s="138">
        <f>'Expenditures 15-22'!F39</f>
        <v>344</v>
      </c>
      <c r="D898" s="2" t="str">
        <f t="shared" si="13"/>
        <v>Error?</v>
      </c>
    </row>
    <row r="899" spans="1:4" x14ac:dyDescent="0.2">
      <c r="A899" s="5">
        <v>838</v>
      </c>
      <c r="B899" s="138">
        <f>'Expenditures 15-22'!F40</f>
        <v>423</v>
      </c>
      <c r="D899" s="2" t="str">
        <f t="shared" si="13"/>
        <v>Error?</v>
      </c>
    </row>
    <row r="900" spans="1:4" x14ac:dyDescent="0.2">
      <c r="A900" s="5">
        <v>839</v>
      </c>
      <c r="B900" s="138">
        <f>'Expenditures 15-22'!F41</f>
        <v>7429</v>
      </c>
      <c r="D900" s="2" t="str">
        <f t="shared" si="13"/>
        <v>Error?</v>
      </c>
    </row>
    <row r="901" spans="1:4" x14ac:dyDescent="0.2">
      <c r="A901" s="5">
        <v>840</v>
      </c>
      <c r="B901" s="138">
        <f>'Expenditures 15-22'!F42</f>
        <v>8455</v>
      </c>
      <c r="C901" s="2" t="s">
        <v>573</v>
      </c>
      <c r="D901" s="2" t="str">
        <f t="shared" si="13"/>
        <v>Error?</v>
      </c>
    </row>
    <row r="902" spans="1:4" x14ac:dyDescent="0.2">
      <c r="A902" s="5">
        <v>841</v>
      </c>
      <c r="B902" s="138">
        <f>'Expenditures 15-22'!F44</f>
        <v>11388</v>
      </c>
      <c r="D902" s="2" t="str">
        <f t="shared" si="13"/>
        <v>Error?</v>
      </c>
    </row>
    <row r="903" spans="1:4" x14ac:dyDescent="0.2">
      <c r="A903" s="5">
        <v>842</v>
      </c>
      <c r="B903" s="138">
        <f>'Expenditures 15-22'!F45</f>
        <v>21141</v>
      </c>
      <c r="D903" s="2" t="str">
        <f t="shared" si="13"/>
        <v>Error?</v>
      </c>
    </row>
    <row r="904" spans="1:4" x14ac:dyDescent="0.2">
      <c r="A904" s="5">
        <v>843</v>
      </c>
      <c r="B904" s="138">
        <f>'Expenditures 15-22'!F46</f>
        <v>3675</v>
      </c>
      <c r="D904" s="2" t="str">
        <f t="shared" si="13"/>
        <v>Error?</v>
      </c>
    </row>
    <row r="905" spans="1:4" x14ac:dyDescent="0.2">
      <c r="A905" s="5">
        <v>844</v>
      </c>
      <c r="B905" s="138">
        <f>'Expenditures 15-22'!F47</f>
        <v>36204</v>
      </c>
      <c r="C905" s="2" t="s">
        <v>573</v>
      </c>
      <c r="D905" s="2" t="str">
        <f t="shared" si="13"/>
        <v>Error?</v>
      </c>
    </row>
    <row r="906" spans="1:4" x14ac:dyDescent="0.2">
      <c r="A906" s="5">
        <v>845</v>
      </c>
      <c r="B906" s="138">
        <f>'Expenditures 15-22'!F49</f>
        <v>8834</v>
      </c>
      <c r="D906" s="2" t="str">
        <f t="shared" si="13"/>
        <v>Error?</v>
      </c>
    </row>
    <row r="907" spans="1:4" x14ac:dyDescent="0.2">
      <c r="A907" s="5">
        <v>846</v>
      </c>
      <c r="B907" s="138">
        <f>'Expenditures 15-22'!F50</f>
        <v>1110</v>
      </c>
      <c r="D907" s="2" t="str">
        <f t="shared" si="13"/>
        <v>Error?</v>
      </c>
    </row>
    <row r="908" spans="1:4" x14ac:dyDescent="0.2">
      <c r="A908" s="5">
        <v>847</v>
      </c>
      <c r="B908" s="138">
        <f>'Expenditures 15-22'!F53</f>
        <v>9944</v>
      </c>
      <c r="C908" s="2" t="s">
        <v>573</v>
      </c>
      <c r="D908" s="2" t="str">
        <f t="shared" si="13"/>
        <v>Error?</v>
      </c>
    </row>
    <row r="909" spans="1:4" x14ac:dyDescent="0.2">
      <c r="A909" s="5">
        <v>848</v>
      </c>
      <c r="B909" s="138">
        <f>'Expenditures 15-22'!F55</f>
        <v>4005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4005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566</v>
      </c>
      <c r="D913" s="2" t="str">
        <f t="shared" si="13"/>
        <v>Error?</v>
      </c>
    </row>
    <row r="914" spans="1:4" x14ac:dyDescent="0.2">
      <c r="A914" s="5">
        <v>853</v>
      </c>
      <c r="B914" s="138">
        <f>'Expenditures 15-22'!F61</f>
        <v>1909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184927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187402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246010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448572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98937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3835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102772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102772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1761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14</v>
      </c>
      <c r="D1007" s="2" t="str">
        <f t="shared" si="14"/>
        <v>Error?</v>
      </c>
    </row>
    <row r="1008" spans="1:4" x14ac:dyDescent="0.2">
      <c r="A1008" s="5">
        <v>947</v>
      </c>
      <c r="B1008" s="138">
        <f>'Expenditures 15-22'!H14</f>
        <v>8521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10296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200</v>
      </c>
      <c r="C1021" s="2" t="s">
        <v>573</v>
      </c>
      <c r="D1021" s="2" t="str">
        <f t="shared" si="14"/>
        <v>Error?</v>
      </c>
    </row>
    <row r="1022" spans="1:4" x14ac:dyDescent="0.2">
      <c r="A1022" s="5">
        <v>961</v>
      </c>
      <c r="B1022" s="138">
        <f>'Expenditures 15-22'!H49</f>
        <v>185</v>
      </c>
      <c r="D1022" s="2" t="str">
        <f t="shared" si="14"/>
        <v>Error?</v>
      </c>
    </row>
    <row r="1023" spans="1:4" x14ac:dyDescent="0.2">
      <c r="A1023" s="5">
        <v>962</v>
      </c>
      <c r="B1023" s="138">
        <f>'Expenditures 15-22'!H50</f>
        <v>2526</v>
      </c>
      <c r="D1023" s="2" t="str">
        <f t="shared" ref="D1023:D1086" si="15">IF(ISBLANK(B1023),"OK",IF(A1023-B1023=0,"OK","Error?"))</f>
        <v>Error?</v>
      </c>
    </row>
    <row r="1024" spans="1:4" x14ac:dyDescent="0.2">
      <c r="A1024" s="5">
        <v>963</v>
      </c>
      <c r="B1024" s="138">
        <f>'Expenditures 15-22'!H53</f>
        <v>2711</v>
      </c>
      <c r="C1024" s="2" t="s">
        <v>573</v>
      </c>
      <c r="D1024" s="2" t="str">
        <f t="shared" si="15"/>
        <v>Error?</v>
      </c>
    </row>
    <row r="1025" spans="1:4" x14ac:dyDescent="0.2">
      <c r="A1025" s="5">
        <v>964</v>
      </c>
      <c r="B1025" s="138">
        <f>'Expenditures 15-22'!H55</f>
        <v>1309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1309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9011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9239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13459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211354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235109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3523881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185083</v>
      </c>
      <c r="C1105" s="2" t="s">
        <v>573</v>
      </c>
      <c r="D1105" s="2" t="str">
        <f t="shared" si="16"/>
        <v>Error?</v>
      </c>
    </row>
    <row r="1106" spans="1:4" x14ac:dyDescent="0.2">
      <c r="A1106" s="5">
        <v>1045</v>
      </c>
      <c r="B1106" s="138">
        <f>'Expenditures 15-22'!K14</f>
        <v>295640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4735521</v>
      </c>
      <c r="C1108" s="2" t="s">
        <v>573</v>
      </c>
      <c r="D1108" s="2" t="str">
        <f t="shared" si="16"/>
        <v>Error?</v>
      </c>
    </row>
    <row r="1109" spans="1:4" x14ac:dyDescent="0.2">
      <c r="A1109" s="5">
        <v>1048</v>
      </c>
      <c r="B1109" s="138">
        <f>'Expenditures 15-22'!K36</f>
        <v>19920</v>
      </c>
      <c r="C1109" s="2" t="s">
        <v>573</v>
      </c>
      <c r="D1109" s="2" t="str">
        <f t="shared" si="16"/>
        <v>Error?</v>
      </c>
    </row>
    <row r="1110" spans="1:4" x14ac:dyDescent="0.2">
      <c r="A1110" s="5">
        <v>1049</v>
      </c>
      <c r="B1110" s="138">
        <f>'Expenditures 15-22'!K37</f>
        <v>168447</v>
      </c>
      <c r="C1110" s="2" t="s">
        <v>573</v>
      </c>
      <c r="D1110" s="2" t="str">
        <f t="shared" si="16"/>
        <v>Error?</v>
      </c>
    </row>
    <row r="1111" spans="1:4" x14ac:dyDescent="0.2">
      <c r="A1111" s="5">
        <v>1050</v>
      </c>
      <c r="B1111" s="138">
        <f>'Expenditures 15-22'!K38</f>
        <v>119</v>
      </c>
      <c r="C1111" s="2" t="s">
        <v>573</v>
      </c>
      <c r="D1111" s="2" t="str">
        <f t="shared" si="16"/>
        <v>Error?</v>
      </c>
    </row>
    <row r="1112" spans="1:4" x14ac:dyDescent="0.2">
      <c r="A1112" s="5">
        <v>1051</v>
      </c>
      <c r="B1112" s="138">
        <f>'Expenditures 15-22'!K39</f>
        <v>17344</v>
      </c>
      <c r="C1112" s="2" t="s">
        <v>573</v>
      </c>
      <c r="D1112" s="2" t="str">
        <f t="shared" si="16"/>
        <v>Error?</v>
      </c>
    </row>
    <row r="1113" spans="1:4" x14ac:dyDescent="0.2">
      <c r="A1113" s="5">
        <v>1052</v>
      </c>
      <c r="B1113" s="138">
        <f>'Expenditures 15-22'!K40</f>
        <v>120150</v>
      </c>
      <c r="C1113" s="2" t="s">
        <v>573</v>
      </c>
      <c r="D1113" s="2" t="str">
        <f t="shared" si="16"/>
        <v>Error?</v>
      </c>
    </row>
    <row r="1114" spans="1:4" x14ac:dyDescent="0.2">
      <c r="A1114" s="5">
        <v>1053</v>
      </c>
      <c r="B1114" s="138">
        <f>'Expenditures 15-22'!K41</f>
        <v>7429</v>
      </c>
      <c r="C1114" s="2" t="s">
        <v>573</v>
      </c>
      <c r="D1114" s="2" t="str">
        <f t="shared" si="16"/>
        <v>Error?</v>
      </c>
    </row>
    <row r="1115" spans="1:4" x14ac:dyDescent="0.2">
      <c r="A1115" s="5">
        <v>1054</v>
      </c>
      <c r="B1115" s="138">
        <f>'Expenditures 15-22'!K42</f>
        <v>333409</v>
      </c>
      <c r="C1115" s="2" t="s">
        <v>573</v>
      </c>
      <c r="D1115" s="2" t="str">
        <f t="shared" si="16"/>
        <v>Error?</v>
      </c>
    </row>
    <row r="1116" spans="1:4" x14ac:dyDescent="0.2">
      <c r="A1116" s="5">
        <v>1055</v>
      </c>
      <c r="B1116" s="138">
        <f>'Expenditures 15-22'!K44</f>
        <v>52453</v>
      </c>
      <c r="C1116" s="2" t="s">
        <v>573</v>
      </c>
      <c r="D1116" s="2" t="str">
        <f t="shared" si="16"/>
        <v>Error?</v>
      </c>
    </row>
    <row r="1117" spans="1:4" x14ac:dyDescent="0.2">
      <c r="A1117" s="5">
        <v>1056</v>
      </c>
      <c r="B1117" s="138">
        <f>'Expenditures 15-22'!K45</f>
        <v>90390</v>
      </c>
      <c r="C1117" s="2" t="s">
        <v>573</v>
      </c>
      <c r="D1117" s="2" t="str">
        <f t="shared" si="16"/>
        <v>Error?</v>
      </c>
    </row>
    <row r="1118" spans="1:4" x14ac:dyDescent="0.2">
      <c r="A1118" s="5">
        <v>1057</v>
      </c>
      <c r="B1118" s="138">
        <f>'Expenditures 15-22'!K46</f>
        <v>3675</v>
      </c>
      <c r="C1118" s="2" t="s">
        <v>573</v>
      </c>
      <c r="D1118" s="2" t="str">
        <f t="shared" si="16"/>
        <v>Error?</v>
      </c>
    </row>
    <row r="1119" spans="1:4" x14ac:dyDescent="0.2">
      <c r="A1119" s="5">
        <v>1058</v>
      </c>
      <c r="B1119" s="138">
        <f>'Expenditures 15-22'!K47</f>
        <v>146518</v>
      </c>
      <c r="C1119" s="2" t="s">
        <v>573</v>
      </c>
      <c r="D1119" s="2" t="str">
        <f t="shared" si="16"/>
        <v>Error?</v>
      </c>
    </row>
    <row r="1120" spans="1:4" x14ac:dyDescent="0.2">
      <c r="A1120" s="5">
        <v>1059</v>
      </c>
      <c r="B1120" s="138">
        <f>'Expenditures 15-22'!K49</f>
        <v>19050</v>
      </c>
      <c r="C1120" s="2" t="s">
        <v>573</v>
      </c>
      <c r="D1120" s="2" t="str">
        <f t="shared" si="16"/>
        <v>Error?</v>
      </c>
    </row>
    <row r="1121" spans="1:4" x14ac:dyDescent="0.2">
      <c r="A1121" s="5">
        <v>1060</v>
      </c>
      <c r="B1121" s="138">
        <f>'Expenditures 15-22'!K50</f>
        <v>191066</v>
      </c>
      <c r="C1121" s="2" t="s">
        <v>573</v>
      </c>
      <c r="D1121" s="2" t="str">
        <f t="shared" si="16"/>
        <v>Error?</v>
      </c>
    </row>
    <row r="1122" spans="1:4" x14ac:dyDescent="0.2">
      <c r="A1122" s="5">
        <v>1061</v>
      </c>
      <c r="B1122" s="138">
        <f>'Expenditures 15-22'!K53</f>
        <v>210116</v>
      </c>
      <c r="C1122" s="2" t="s">
        <v>573</v>
      </c>
      <c r="D1122" s="2" t="str">
        <f t="shared" si="16"/>
        <v>Error?</v>
      </c>
    </row>
    <row r="1123" spans="1:4" x14ac:dyDescent="0.2">
      <c r="A1123" s="5">
        <v>1062</v>
      </c>
      <c r="B1123" s="138">
        <f>'Expenditures 15-22'!K55</f>
        <v>466283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466283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62494</v>
      </c>
      <c r="C1127" s="2" t="s">
        <v>573</v>
      </c>
      <c r="D1127" s="2" t="str">
        <f t="shared" si="16"/>
        <v>Error?</v>
      </c>
    </row>
    <row r="1128" spans="1:4" x14ac:dyDescent="0.2">
      <c r="A1128" s="5">
        <v>1067</v>
      </c>
      <c r="B1128" s="138">
        <f>'Expenditures 15-22'!K61</f>
        <v>94553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343814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500861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1657187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269479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6662187</v>
      </c>
      <c r="C1152" s="2" t="s">
        <v>573</v>
      </c>
      <c r="D1152" s="2" t="str">
        <f t="shared" si="17"/>
        <v>Error?</v>
      </c>
    </row>
    <row r="1153" spans="1:4" x14ac:dyDescent="0.2">
      <c r="A1153" s="5">
        <v>1092</v>
      </c>
      <c r="B1153" s="138">
        <f>'Expenditures 15-22'!K115</f>
        <v>579423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205097</v>
      </c>
      <c r="D1221" s="2" t="str">
        <f t="shared" si="18"/>
        <v>Error?</v>
      </c>
    </row>
    <row r="1222" spans="1:4" x14ac:dyDescent="0.2">
      <c r="A1222" s="10">
        <v>1161</v>
      </c>
      <c r="D1222" s="2" t="str">
        <f t="shared" si="18"/>
        <v>OK</v>
      </c>
    </row>
    <row r="1223" spans="1:4" x14ac:dyDescent="0.2">
      <c r="A1223" s="5">
        <v>1162</v>
      </c>
      <c r="B1223" s="138">
        <f>'Expenditures 15-22'!C127</f>
        <v>205097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205097</v>
      </c>
      <c r="C1225" s="2" t="s">
        <v>573</v>
      </c>
      <c r="D1225" s="2" t="str">
        <f t="shared" si="18"/>
        <v>Error?</v>
      </c>
    </row>
    <row r="1226" spans="1:4" x14ac:dyDescent="0.2">
      <c r="A1226" s="5">
        <v>1165</v>
      </c>
      <c r="B1226" s="138">
        <f>'Expenditures 15-22'!C151</f>
        <v>205097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18908</v>
      </c>
      <c r="D1229" s="2" t="str">
        <f t="shared" si="18"/>
        <v>Error?</v>
      </c>
    </row>
    <row r="1230" spans="1:4" x14ac:dyDescent="0.2">
      <c r="A1230" s="10">
        <v>1169</v>
      </c>
      <c r="D1230" s="2" t="str">
        <f t="shared" si="18"/>
        <v>OK</v>
      </c>
    </row>
    <row r="1231" spans="1:4" x14ac:dyDescent="0.2">
      <c r="A1231" s="5">
        <v>1170</v>
      </c>
      <c r="B1231" s="138">
        <f>'Expenditures 15-22'!D127</f>
        <v>18908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18908</v>
      </c>
      <c r="C1233" s="2" t="s">
        <v>573</v>
      </c>
      <c r="D1233" s="2" t="str">
        <f t="shared" si="18"/>
        <v>Error?</v>
      </c>
    </row>
    <row r="1234" spans="1:4" x14ac:dyDescent="0.2">
      <c r="A1234" s="5">
        <v>1173</v>
      </c>
      <c r="B1234" s="138">
        <f>'Expenditures 15-22'!D151</f>
        <v>18908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257280</v>
      </c>
      <c r="D1237" s="2" t="str">
        <f t="shared" si="18"/>
        <v>Error?</v>
      </c>
    </row>
    <row r="1238" spans="1:4" x14ac:dyDescent="0.2">
      <c r="A1238" s="10">
        <v>1177</v>
      </c>
      <c r="D1238" s="2" t="str">
        <f t="shared" si="18"/>
        <v>OK</v>
      </c>
    </row>
    <row r="1239" spans="1:4" x14ac:dyDescent="0.2">
      <c r="A1239" s="5">
        <v>1178</v>
      </c>
      <c r="B1239" s="138">
        <f>'Expenditures 15-22'!E127</f>
        <v>257280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257280</v>
      </c>
      <c r="C1241" s="2" t="s">
        <v>573</v>
      </c>
      <c r="D1241" s="2" t="str">
        <f t="shared" si="18"/>
        <v>Error?</v>
      </c>
    </row>
    <row r="1242" spans="1:4" x14ac:dyDescent="0.2">
      <c r="A1242" s="5">
        <v>1181</v>
      </c>
      <c r="B1242" s="138">
        <f>'Expenditures 15-22'!E151</f>
        <v>257280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217576</v>
      </c>
      <c r="D1245" s="2" t="str">
        <f t="shared" si="18"/>
        <v>Error?</v>
      </c>
    </row>
    <row r="1246" spans="1:4" x14ac:dyDescent="0.2">
      <c r="A1246" s="10">
        <v>1185</v>
      </c>
      <c r="D1246" s="2" t="str">
        <f t="shared" si="18"/>
        <v>OK</v>
      </c>
    </row>
    <row r="1247" spans="1:4" x14ac:dyDescent="0.2">
      <c r="A1247" s="5">
        <v>1186</v>
      </c>
      <c r="B1247" s="138">
        <f>'Expenditures 15-22'!F127</f>
        <v>217576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217576</v>
      </c>
      <c r="C1249" s="2" t="s">
        <v>573</v>
      </c>
      <c r="D1249" s="2" t="str">
        <f t="shared" si="18"/>
        <v>Error?</v>
      </c>
    </row>
    <row r="1250" spans="1:4" x14ac:dyDescent="0.2">
      <c r="A1250" s="5">
        <v>1189</v>
      </c>
      <c r="B1250" s="138">
        <f>'Expenditures 15-22'!F151</f>
        <v>217576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77773</v>
      </c>
      <c r="D1252" s="2" t="str">
        <f t="shared" si="18"/>
        <v>Error?</v>
      </c>
    </row>
    <row r="1253" spans="1:4" x14ac:dyDescent="0.2">
      <c r="A1253" s="5">
        <v>1192</v>
      </c>
      <c r="B1253" s="138">
        <f>'Expenditures 15-22'!G124</f>
        <v>77497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155270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155270</v>
      </c>
      <c r="C1258" s="2" t="s">
        <v>573</v>
      </c>
      <c r="D1258" s="2" t="str">
        <f t="shared" si="18"/>
        <v>Error?</v>
      </c>
    </row>
    <row r="1259" spans="1:4" x14ac:dyDescent="0.2">
      <c r="A1259" s="5">
        <v>1198</v>
      </c>
      <c r="B1259" s="138">
        <f>'Expenditures 15-22'!G151</f>
        <v>155270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77773</v>
      </c>
      <c r="C1275" s="2" t="s">
        <v>573</v>
      </c>
      <c r="D1275" s="2" t="str">
        <f t="shared" si="18"/>
        <v>Error?</v>
      </c>
    </row>
    <row r="1276" spans="1:4" x14ac:dyDescent="0.2">
      <c r="A1276" s="5">
        <v>1215</v>
      </c>
      <c r="B1276" s="138">
        <f>'Expenditures 15-22'!K124</f>
        <v>776358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854131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854131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854131</v>
      </c>
      <c r="C1288" s="2" t="s">
        <v>573</v>
      </c>
      <c r="D1288" s="2" t="str">
        <f t="shared" si="19"/>
        <v>Error?</v>
      </c>
    </row>
    <row r="1289" spans="1:4" x14ac:dyDescent="0.2">
      <c r="A1289" s="5">
        <v>1228</v>
      </c>
      <c r="B1289" s="138">
        <f>'Expenditures 15-22'!K152</f>
        <v>-2681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151858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250000</v>
      </c>
      <c r="D1315" s="2" t="str">
        <f t="shared" si="19"/>
        <v>Error?</v>
      </c>
    </row>
    <row r="1316" spans="1:4" x14ac:dyDescent="0.2">
      <c r="A1316" s="5">
        <v>1255</v>
      </c>
      <c r="B1316" s="138">
        <f>'Expenditures 15-22'!H171</f>
        <v>750</v>
      </c>
      <c r="D1316" s="2" t="str">
        <f t="shared" si="19"/>
        <v>Error?</v>
      </c>
    </row>
    <row r="1317" spans="1:4" x14ac:dyDescent="0.2">
      <c r="A1317" s="5">
        <v>1256</v>
      </c>
      <c r="B1317" s="138">
        <f>'Expenditures 15-22'!H172</f>
        <v>402608</v>
      </c>
      <c r="C1317" s="2" t="s">
        <v>573</v>
      </c>
      <c r="D1317" s="2" t="str">
        <f t="shared" si="19"/>
        <v>Error?</v>
      </c>
    </row>
    <row r="1318" spans="1:4" x14ac:dyDescent="0.2">
      <c r="A1318" s="5">
        <v>1257</v>
      </c>
      <c r="B1318" s="138">
        <f>'Expenditures 15-22'!H174</f>
        <v>402608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151858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250000</v>
      </c>
      <c r="C1329" s="2" t="s">
        <v>573</v>
      </c>
      <c r="D1329" s="2" t="str">
        <f t="shared" si="19"/>
        <v>Error?</v>
      </c>
    </row>
    <row r="1330" spans="1:4" x14ac:dyDescent="0.2">
      <c r="A1330" s="5">
        <v>1269</v>
      </c>
      <c r="B1330" s="138">
        <f>'Expenditures 15-22'!K171</f>
        <v>750</v>
      </c>
      <c r="C1330" s="2" t="s">
        <v>573</v>
      </c>
      <c r="D1330" s="2" t="str">
        <f t="shared" si="19"/>
        <v>Error?</v>
      </c>
    </row>
    <row r="1331" spans="1:4" x14ac:dyDescent="0.2">
      <c r="A1331" s="5">
        <v>1270</v>
      </c>
      <c r="B1331" s="138">
        <f>'Expenditures 15-22'!K172</f>
        <v>402608</v>
      </c>
      <c r="C1331" s="2" t="s">
        <v>573</v>
      </c>
      <c r="D1331" s="2" t="str">
        <f t="shared" si="19"/>
        <v>Error?</v>
      </c>
    </row>
    <row r="1332" spans="1:4" x14ac:dyDescent="0.2">
      <c r="A1332" s="5">
        <v>1271</v>
      </c>
      <c r="B1332" s="138">
        <f>'Expenditures 15-22'!K174</f>
        <v>402608</v>
      </c>
      <c r="C1332" s="2" t="s">
        <v>573</v>
      </c>
      <c r="D1332" s="2" t="str">
        <f t="shared" si="19"/>
        <v>Error?</v>
      </c>
    </row>
    <row r="1333" spans="1:4" x14ac:dyDescent="0.2">
      <c r="A1333" s="5">
        <v>1272</v>
      </c>
      <c r="B1333" s="138">
        <f>'Expenditures 15-22'!K175</f>
        <v>2678</v>
      </c>
      <c r="C1333" s="2" t="s">
        <v>573</v>
      </c>
      <c r="D1333" s="2" t="str">
        <f t="shared" si="19"/>
        <v>Error?</v>
      </c>
    </row>
    <row r="1334" spans="1:4" x14ac:dyDescent="0.2">
      <c r="A1334" s="10">
        <v>1273</v>
      </c>
      <c r="D1334" s="2" t="str">
        <f t="shared" si="19"/>
        <v>OK</v>
      </c>
    </row>
    <row r="1335" spans="1:4" x14ac:dyDescent="0.2">
      <c r="A1335" s="5">
        <v>1274</v>
      </c>
      <c r="B1335" s="138">
        <f>'Expenditures 15-22'!C182</f>
        <v>231040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231040</v>
      </c>
      <c r="C1339" s="2" t="s">
        <v>573</v>
      </c>
      <c r="D1339" s="2" t="str">
        <f t="shared" si="19"/>
        <v>Error?</v>
      </c>
    </row>
    <row r="1340" spans="1:4" x14ac:dyDescent="0.2">
      <c r="A1340" s="5">
        <v>1279</v>
      </c>
      <c r="B1340" s="138">
        <f>'Expenditures 15-22'!C210</f>
        <v>231040</v>
      </c>
      <c r="C1340" s="2" t="s">
        <v>573</v>
      </c>
      <c r="D1340" s="2" t="str">
        <f t="shared" si="19"/>
        <v>Error?</v>
      </c>
    </row>
    <row r="1341" spans="1:4" x14ac:dyDescent="0.2">
      <c r="A1341" s="5">
        <v>1280</v>
      </c>
      <c r="B1341" s="138">
        <f>'Expenditures 15-22'!D182</f>
        <v>15777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15777</v>
      </c>
      <c r="C1345" s="2" t="s">
        <v>573</v>
      </c>
      <c r="D1345" s="2" t="str">
        <f t="shared" si="20"/>
        <v>Error?</v>
      </c>
    </row>
    <row r="1346" spans="1:4" x14ac:dyDescent="0.2">
      <c r="A1346" s="5">
        <v>1285</v>
      </c>
      <c r="B1346" s="138">
        <f>'Expenditures 15-22'!D210</f>
        <v>15777</v>
      </c>
      <c r="C1346" s="2" t="s">
        <v>573</v>
      </c>
      <c r="D1346" s="2" t="str">
        <f t="shared" si="20"/>
        <v>Error?</v>
      </c>
    </row>
    <row r="1347" spans="1:4" x14ac:dyDescent="0.2">
      <c r="A1347" s="5">
        <v>1286</v>
      </c>
      <c r="B1347" s="138">
        <f>'Expenditures 15-22'!E182</f>
        <v>45627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45627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45627</v>
      </c>
      <c r="C1353" s="2" t="s">
        <v>573</v>
      </c>
      <c r="D1353" s="2" t="str">
        <f t="shared" si="20"/>
        <v>Error?</v>
      </c>
    </row>
    <row r="1354" spans="1:4" x14ac:dyDescent="0.2">
      <c r="A1354" s="5">
        <v>1293</v>
      </c>
      <c r="B1354" s="138">
        <f>'Expenditures 15-22'!F182</f>
        <v>95931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95931</v>
      </c>
      <c r="C1358" s="2" t="s">
        <v>573</v>
      </c>
      <c r="D1358" s="2" t="str">
        <f t="shared" si="20"/>
        <v>Error?</v>
      </c>
    </row>
    <row r="1359" spans="1:4" x14ac:dyDescent="0.2">
      <c r="A1359" s="5">
        <v>1298</v>
      </c>
      <c r="B1359" s="138">
        <f>'Expenditures 15-22'!F210</f>
        <v>95931</v>
      </c>
      <c r="C1359" s="2" t="s">
        <v>573</v>
      </c>
      <c r="D1359" s="2" t="str">
        <f t="shared" si="20"/>
        <v>Error?</v>
      </c>
    </row>
    <row r="1360" spans="1:4" x14ac:dyDescent="0.2">
      <c r="A1360" s="5">
        <v>1299</v>
      </c>
      <c r="B1360" s="138">
        <f>'Expenditures 15-22'!G182</f>
        <v>91760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91760</v>
      </c>
      <c r="C1364" s="2" t="s">
        <v>573</v>
      </c>
      <c r="D1364" s="2" t="str">
        <f t="shared" si="20"/>
        <v>Error?</v>
      </c>
    </row>
    <row r="1365" spans="1:4" x14ac:dyDescent="0.2">
      <c r="A1365" s="5">
        <v>1304</v>
      </c>
      <c r="B1365" s="138">
        <f>'Expenditures 15-22'!G210</f>
        <v>91760</v>
      </c>
      <c r="C1365" s="2" t="s">
        <v>573</v>
      </c>
      <c r="D1365" s="2" t="str">
        <f t="shared" si="20"/>
        <v>Error?</v>
      </c>
    </row>
    <row r="1366" spans="1:4" x14ac:dyDescent="0.2">
      <c r="A1366" s="5">
        <v>1305</v>
      </c>
      <c r="B1366" s="138">
        <f>'Expenditures 15-22'!H182</f>
        <v>32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32</v>
      </c>
      <c r="C1376" s="2" t="s">
        <v>573</v>
      </c>
      <c r="D1376" s="2" t="str">
        <f t="shared" si="20"/>
        <v>Error?</v>
      </c>
    </row>
    <row r="1377" spans="1:4" x14ac:dyDescent="0.2">
      <c r="A1377" s="5">
        <v>1316</v>
      </c>
      <c r="B1377" s="138">
        <f>'Expenditures 15-22'!K182</f>
        <v>480167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480167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480167</v>
      </c>
      <c r="C1388" s="2" t="s">
        <v>573</v>
      </c>
      <c r="D1388" s="2" t="str">
        <f t="shared" si="20"/>
        <v>Error?</v>
      </c>
    </row>
    <row r="1389" spans="1:4" x14ac:dyDescent="0.2">
      <c r="A1389" s="5">
        <v>1328</v>
      </c>
      <c r="B1389" s="138">
        <f>'Expenditures 15-22'!K211</f>
        <v>54890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2210</v>
      </c>
      <c r="D1407" s="2" t="str">
        <f t="shared" ref="D1407:D1470" si="21">IF(ISBLANK(B1407),"OK",IF(A1407-B1407=0,"OK","Error?"))</f>
        <v>Error?</v>
      </c>
    </row>
    <row r="1408" spans="1:4" x14ac:dyDescent="0.2">
      <c r="A1408" s="5">
        <v>1347</v>
      </c>
      <c r="B1408" s="138">
        <f>'Expenditures 15-22'!D223</f>
        <v>8447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118314</v>
      </c>
      <c r="C1410" s="2" t="s">
        <v>573</v>
      </c>
      <c r="D1410" s="2" t="str">
        <f t="shared" si="21"/>
        <v>Error?</v>
      </c>
    </row>
    <row r="1411" spans="1:4" x14ac:dyDescent="0.2">
      <c r="A1411" s="5">
        <v>1350</v>
      </c>
      <c r="B1411" s="138">
        <f>'Expenditures 15-22'!D232</f>
        <v>193</v>
      </c>
      <c r="D1411" s="2" t="str">
        <f t="shared" si="21"/>
        <v>Error?</v>
      </c>
    </row>
    <row r="1412" spans="1:4" x14ac:dyDescent="0.2">
      <c r="A1412" s="5">
        <v>1351</v>
      </c>
      <c r="B1412" s="138">
        <f>'Expenditures 15-22'!D233</f>
        <v>2248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240</v>
      </c>
      <c r="D1414" s="2" t="str">
        <f t="shared" si="21"/>
        <v>Error?</v>
      </c>
    </row>
    <row r="1415" spans="1:4" x14ac:dyDescent="0.2">
      <c r="A1415" s="5">
        <v>1354</v>
      </c>
      <c r="B1415" s="138">
        <f>'Expenditures 15-22'!D236</f>
        <v>1415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4096</v>
      </c>
      <c r="C1417" s="2" t="s">
        <v>573</v>
      </c>
      <c r="D1417" s="2" t="str">
        <f t="shared" si="21"/>
        <v>Error?</v>
      </c>
    </row>
    <row r="1418" spans="1:4" x14ac:dyDescent="0.2">
      <c r="A1418" s="5">
        <v>1357</v>
      </c>
      <c r="B1418" s="138">
        <f>'Expenditures 15-22'!D240</f>
        <v>257</v>
      </c>
      <c r="D1418" s="2" t="str">
        <f t="shared" si="21"/>
        <v>Error?</v>
      </c>
    </row>
    <row r="1419" spans="1:4" x14ac:dyDescent="0.2">
      <c r="A1419" s="5">
        <v>1358</v>
      </c>
      <c r="B1419" s="138">
        <f>'Expenditures 15-22'!D241</f>
        <v>3882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4139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9525</v>
      </c>
      <c r="D1423" s="2" t="str">
        <f t="shared" si="21"/>
        <v>Error?</v>
      </c>
    </row>
    <row r="1424" spans="1:4" x14ac:dyDescent="0.2">
      <c r="A1424" s="5">
        <v>1363</v>
      </c>
      <c r="B1424" s="138">
        <f>'Expenditures 15-22'!D257</f>
        <v>9525</v>
      </c>
      <c r="C1424" s="2" t="s">
        <v>573</v>
      </c>
      <c r="D1424" s="2" t="str">
        <f t="shared" si="21"/>
        <v>Error?</v>
      </c>
    </row>
    <row r="1425" spans="1:4" x14ac:dyDescent="0.2">
      <c r="A1425" s="5">
        <v>1364</v>
      </c>
      <c r="B1425" s="138">
        <f>'Expenditures 15-22'!D259</f>
        <v>21321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21321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47146</v>
      </c>
      <c r="D1431" s="2" t="str">
        <f t="shared" si="21"/>
        <v>Error?</v>
      </c>
    </row>
    <row r="1432" spans="1:4" x14ac:dyDescent="0.2">
      <c r="A1432" s="5">
        <v>1371</v>
      </c>
      <c r="B1432" s="138">
        <f>'Expenditures 15-22'!D267</f>
        <v>43684</v>
      </c>
      <c r="D1432" s="2" t="str">
        <f t="shared" si="21"/>
        <v>Error?</v>
      </c>
    </row>
    <row r="1433" spans="1:4" x14ac:dyDescent="0.2">
      <c r="A1433" s="5">
        <v>1372</v>
      </c>
      <c r="B1433" s="138">
        <f>'Expenditures 15-22'!D268</f>
        <v>21244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119277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158358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276672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2210</v>
      </c>
      <c r="C1471" s="2" t="s">
        <v>573</v>
      </c>
      <c r="D1471" s="2" t="str">
        <f t="shared" ref="D1471:D1534" si="22">IF(ISBLANK(B1471),"OK",IF(A1471-B1471=0,"OK","Error?"))</f>
        <v>Error?</v>
      </c>
    </row>
    <row r="1472" spans="1:4" x14ac:dyDescent="0.2">
      <c r="A1472" s="5">
        <v>1411</v>
      </c>
      <c r="B1472" s="138">
        <f>'Expenditures 15-22'!K223</f>
        <v>8447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118314</v>
      </c>
      <c r="C1474" s="2" t="s">
        <v>573</v>
      </c>
      <c r="D1474" s="2" t="str">
        <f t="shared" si="22"/>
        <v>Error?</v>
      </c>
    </row>
    <row r="1475" spans="1:4" x14ac:dyDescent="0.2">
      <c r="A1475" s="5">
        <v>1414</v>
      </c>
      <c r="B1475" s="138">
        <f>'Expenditures 15-22'!K232</f>
        <v>193</v>
      </c>
      <c r="C1475" s="2" t="s">
        <v>573</v>
      </c>
      <c r="D1475" s="2" t="str">
        <f t="shared" si="22"/>
        <v>Error?</v>
      </c>
    </row>
    <row r="1476" spans="1:4" x14ac:dyDescent="0.2">
      <c r="A1476" s="5">
        <v>1415</v>
      </c>
      <c r="B1476" s="138">
        <f>'Expenditures 15-22'!K233</f>
        <v>2248</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240</v>
      </c>
      <c r="C1478" s="2" t="s">
        <v>573</v>
      </c>
      <c r="D1478" s="2" t="str">
        <f t="shared" si="22"/>
        <v>Error?</v>
      </c>
    </row>
    <row r="1479" spans="1:4" x14ac:dyDescent="0.2">
      <c r="A1479" s="5">
        <v>1418</v>
      </c>
      <c r="B1479" s="138">
        <f>'Expenditures 15-22'!K236</f>
        <v>1415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4096</v>
      </c>
      <c r="C1481" s="2" t="s">
        <v>573</v>
      </c>
      <c r="D1481" s="2" t="str">
        <f t="shared" si="22"/>
        <v>Error?</v>
      </c>
    </row>
    <row r="1482" spans="1:4" x14ac:dyDescent="0.2">
      <c r="A1482" s="5">
        <v>1421</v>
      </c>
      <c r="B1482" s="138">
        <f>'Expenditures 15-22'!K240</f>
        <v>257</v>
      </c>
      <c r="C1482" s="2" t="s">
        <v>573</v>
      </c>
      <c r="D1482" s="2" t="str">
        <f t="shared" si="22"/>
        <v>Error?</v>
      </c>
    </row>
    <row r="1483" spans="1:4" x14ac:dyDescent="0.2">
      <c r="A1483" s="5">
        <v>1422</v>
      </c>
      <c r="B1483" s="138">
        <f>'Expenditures 15-22'!K241</f>
        <v>3882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4139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9525</v>
      </c>
      <c r="C1487" s="2" t="s">
        <v>573</v>
      </c>
      <c r="D1487" s="2" t="str">
        <f t="shared" si="22"/>
        <v>Error?</v>
      </c>
    </row>
    <row r="1488" spans="1:4" x14ac:dyDescent="0.2">
      <c r="A1488" s="5">
        <v>1427</v>
      </c>
      <c r="B1488" s="138">
        <f>'Expenditures 15-22'!K257</f>
        <v>9525</v>
      </c>
      <c r="C1488" s="2" t="s">
        <v>573</v>
      </c>
      <c r="D1488" s="2" t="str">
        <f t="shared" si="22"/>
        <v>Error?</v>
      </c>
    </row>
    <row r="1489" spans="1:4" x14ac:dyDescent="0.2">
      <c r="A1489" s="5">
        <v>1428</v>
      </c>
      <c r="B1489" s="138">
        <f>'Expenditures 15-22'!K259</f>
        <v>21321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21321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7203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47146</v>
      </c>
      <c r="C1495" s="2" t="s">
        <v>573</v>
      </c>
      <c r="D1495" s="2" t="str">
        <f t="shared" si="22"/>
        <v>Error?</v>
      </c>
    </row>
    <row r="1496" spans="1:4" x14ac:dyDescent="0.2">
      <c r="A1496" s="5">
        <v>1435</v>
      </c>
      <c r="B1496" s="138">
        <f>'Expenditures 15-22'!K267</f>
        <v>43684</v>
      </c>
      <c r="C1496" s="2" t="s">
        <v>573</v>
      </c>
      <c r="D1496" s="2" t="str">
        <f t="shared" si="22"/>
        <v>Error?</v>
      </c>
    </row>
    <row r="1497" spans="1:4" x14ac:dyDescent="0.2">
      <c r="A1497" s="5">
        <v>1436</v>
      </c>
      <c r="B1497" s="138">
        <f>'Expenditures 15-22'!K268</f>
        <v>21244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119277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158358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276672</v>
      </c>
      <c r="C1517" s="2" t="s">
        <v>573</v>
      </c>
      <c r="D1517" s="2" t="str">
        <f t="shared" si="22"/>
        <v>Error?</v>
      </c>
    </row>
    <row r="1518" spans="1:4" x14ac:dyDescent="0.2">
      <c r="A1518" s="5">
        <v>1457</v>
      </c>
      <c r="B1518" s="138">
        <f>'Expenditures 15-22'!K296</f>
        <v>25233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64757</v>
      </c>
      <c r="D1534" s="2" t="str">
        <f t="shared" si="22"/>
        <v>Error?</v>
      </c>
    </row>
    <row r="1535" spans="1:4" x14ac:dyDescent="0.2">
      <c r="A1535" s="5">
        <v>1474</v>
      </c>
      <c r="B1535" s="138">
        <f>'Expenditures 15-22'!E303</f>
        <v>64757</v>
      </c>
      <c r="C1535" s="2" t="s">
        <v>573</v>
      </c>
      <c r="D1535" s="2" t="str">
        <f t="shared" ref="D1535:D1598" si="23">IF(ISBLANK(B1535),"OK",IF(A1535-B1535=0,"OK","Error?"))</f>
        <v>Error?</v>
      </c>
    </row>
    <row r="1536" spans="1:4" x14ac:dyDescent="0.2">
      <c r="A1536" s="5">
        <v>1475</v>
      </c>
      <c r="B1536" s="138">
        <f>'Expenditures 15-22'!E312</f>
        <v>64757</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191527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191527</v>
      </c>
      <c r="C1547" s="2" t="s">
        <v>573</v>
      </c>
      <c r="D1547" s="2" t="str">
        <f t="shared" si="23"/>
        <v>Error?</v>
      </c>
    </row>
    <row r="1548" spans="1:4" x14ac:dyDescent="0.2">
      <c r="A1548" s="5">
        <v>1487</v>
      </c>
      <c r="B1548" s="138">
        <f>'Expenditures 15-22'!G312</f>
        <v>191527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191527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64757</v>
      </c>
      <c r="C1558" s="2" t="s">
        <v>573</v>
      </c>
      <c r="D1558" s="2" t="str">
        <f t="shared" si="23"/>
        <v>Error?</v>
      </c>
    </row>
    <row r="1559" spans="1:4" x14ac:dyDescent="0.2">
      <c r="A1559" s="5">
        <v>1498</v>
      </c>
      <c r="B1559" s="138">
        <f>'Expenditures 15-22'!K303</f>
        <v>256284</v>
      </c>
      <c r="C1559" s="2" t="s">
        <v>573</v>
      </c>
      <c r="D1559" s="2" t="str">
        <f t="shared" si="23"/>
        <v>Error?</v>
      </c>
    </row>
    <row r="1560" spans="1:4" x14ac:dyDescent="0.2">
      <c r="A1560" s="5">
        <v>1499</v>
      </c>
      <c r="B1560" s="138">
        <f>'Expenditures 15-22'!K312</f>
        <v>256284</v>
      </c>
      <c r="C1560" s="2" t="s">
        <v>573</v>
      </c>
      <c r="D1560" s="2" t="str">
        <f t="shared" si="23"/>
        <v>Error?</v>
      </c>
    </row>
    <row r="1561" spans="1:4" x14ac:dyDescent="0.2">
      <c r="A1561" s="5">
        <v>1500</v>
      </c>
      <c r="B1561" s="138">
        <f>'Expenditures 15-22'!K313</f>
        <v>-215008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2379056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2958479</v>
      </c>
      <c r="C1630" s="2" t="s">
        <v>573</v>
      </c>
      <c r="D1630" s="2" t="str">
        <f t="shared" si="24"/>
        <v>Error?</v>
      </c>
    </row>
    <row r="1631" spans="1:4" x14ac:dyDescent="0.2">
      <c r="A1631" s="5">
        <v>1570</v>
      </c>
      <c r="B1631" s="138">
        <f>'Acct Summary 7-8'!D79</f>
        <v>1617706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1615025</v>
      </c>
      <c r="C1644" s="2" t="s">
        <v>573</v>
      </c>
      <c r="D1644" s="2" t="str">
        <f t="shared" si="24"/>
        <v>Error?</v>
      </c>
    </row>
    <row r="1645" spans="1:4" x14ac:dyDescent="0.2">
      <c r="A1645" s="5">
        <v>1584</v>
      </c>
      <c r="B1645" s="138">
        <f>'Acct Summary 7-8'!E79</f>
        <v>79989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82667</v>
      </c>
      <c r="C1658" s="2" t="s">
        <v>573</v>
      </c>
      <c r="D1658" s="2" t="str">
        <f t="shared" si="24"/>
        <v>Error?</v>
      </c>
    </row>
    <row r="1659" spans="1:4" x14ac:dyDescent="0.2">
      <c r="A1659" s="5">
        <v>1598</v>
      </c>
      <c r="B1659" s="138">
        <f>'Acct Summary 7-8'!F79</f>
        <v>797359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852249</v>
      </c>
      <c r="C1672" s="2" t="s">
        <v>573</v>
      </c>
      <c r="D1672" s="2" t="str">
        <f t="shared" si="25"/>
        <v>Error?</v>
      </c>
    </row>
    <row r="1673" spans="1:4" x14ac:dyDescent="0.2">
      <c r="A1673" s="5">
        <v>1612</v>
      </c>
      <c r="B1673" s="138">
        <f>'Acct Summary 7-8'!G79</f>
        <v>300946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326179</v>
      </c>
      <c r="C1686" s="2" t="s">
        <v>573</v>
      </c>
      <c r="D1686" s="2" t="str">
        <f t="shared" si="25"/>
        <v>Error?</v>
      </c>
    </row>
    <row r="1687" spans="1:4" x14ac:dyDescent="0.2">
      <c r="A1687" s="5">
        <v>1626</v>
      </c>
      <c r="B1687" s="138">
        <f>'Acct Summary 7-8'!H79</f>
        <v>31716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2285275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2491058</v>
      </c>
      <c r="C1744" s="2" t="s">
        <v>573</v>
      </c>
      <c r="D1744" s="2" t="str">
        <f t="shared" si="26"/>
        <v>Error?</v>
      </c>
    </row>
    <row r="1745" spans="1:5" x14ac:dyDescent="0.2">
      <c r="A1745" s="5">
        <v>1684</v>
      </c>
      <c r="B1745" s="138">
        <f>'Tax Sched 23'!B5</f>
        <v>779293</v>
      </c>
      <c r="C1745" s="2" t="s">
        <v>573</v>
      </c>
      <c r="D1745" s="2" t="str">
        <f t="shared" si="26"/>
        <v>Error?</v>
      </c>
    </row>
    <row r="1746" spans="1:5" x14ac:dyDescent="0.2">
      <c r="A1746" s="5">
        <v>1685</v>
      </c>
      <c r="B1746" s="138">
        <f>'Tax Sched 23'!B6</f>
        <v>403472</v>
      </c>
      <c r="C1746" s="2" t="s">
        <v>573</v>
      </c>
      <c r="D1746" s="2" t="str">
        <f t="shared" si="26"/>
        <v>Error?</v>
      </c>
    </row>
    <row r="1747" spans="1:5" x14ac:dyDescent="0.2">
      <c r="A1747" s="5">
        <v>1686</v>
      </c>
      <c r="B1747" s="138">
        <f>'Tax Sched 23'!B7</f>
        <v>271060</v>
      </c>
      <c r="C1747" s="2" t="s">
        <v>573</v>
      </c>
      <c r="D1747" s="2" t="str">
        <f t="shared" si="26"/>
        <v>Error?</v>
      </c>
    </row>
    <row r="1748" spans="1:5" x14ac:dyDescent="0.2">
      <c r="A1748" s="5">
        <v>1687</v>
      </c>
      <c r="B1748" s="138">
        <f>'Tax Sched 23'!B8</f>
        <v>140476</v>
      </c>
      <c r="C1748" s="2" t="s">
        <v>573</v>
      </c>
      <c r="D1748" s="2" t="str">
        <f t="shared" si="26"/>
        <v>Error?</v>
      </c>
    </row>
    <row r="1749" spans="1:5" x14ac:dyDescent="0.2">
      <c r="A1749" s="5">
        <v>1688</v>
      </c>
      <c r="B1749" s="138">
        <f>'Tax Sched 23'!B10</f>
        <v>67765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361219</v>
      </c>
      <c r="C1752" s="2" t="s">
        <v>573</v>
      </c>
      <c r="D1752" s="2" t="str">
        <f t="shared" si="26"/>
        <v>Error?</v>
      </c>
    </row>
    <row r="1753" spans="1:5" x14ac:dyDescent="0.2">
      <c r="A1753" s="5">
        <v>1692</v>
      </c>
      <c r="B1753" s="138">
        <f>'Tax Sched 23'!B12</f>
        <v>67765</v>
      </c>
      <c r="C1753" s="2" t="s">
        <v>573</v>
      </c>
      <c r="D1753" s="2" t="str">
        <f t="shared" si="26"/>
        <v>Error?</v>
      </c>
    </row>
    <row r="1754" spans="1:5" x14ac:dyDescent="0.2">
      <c r="A1754" s="5">
        <v>1693</v>
      </c>
      <c r="B1754" s="138">
        <f>'Tax Sched 23'!B14</f>
        <v>54213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4844562</v>
      </c>
      <c r="C1759" s="2" t="s">
        <v>573</v>
      </c>
      <c r="D1759" s="2" t="str">
        <f t="shared" si="26"/>
        <v>Error?</v>
      </c>
    </row>
    <row r="1760" spans="1:5" x14ac:dyDescent="0.2">
      <c r="A1760" s="5">
        <v>1699</v>
      </c>
      <c r="B1760" s="138">
        <f>'Tax Sched 23'!D4</f>
        <v>2491058</v>
      </c>
      <c r="C1760" s="2" t="s">
        <v>573</v>
      </c>
      <c r="D1760" s="2" t="str">
        <f t="shared" si="26"/>
        <v>Error?</v>
      </c>
    </row>
    <row r="1761" spans="1:5" x14ac:dyDescent="0.2">
      <c r="A1761" s="5">
        <v>1700</v>
      </c>
      <c r="B1761" s="138">
        <f>'Tax Sched 23'!D5</f>
        <v>779293</v>
      </c>
      <c r="C1761" s="2" t="s">
        <v>573</v>
      </c>
      <c r="D1761" s="2" t="str">
        <f t="shared" si="26"/>
        <v>Error?</v>
      </c>
    </row>
    <row r="1762" spans="1:5" s="8" customFormat="1" x14ac:dyDescent="0.2">
      <c r="A1762" s="5">
        <v>1701</v>
      </c>
      <c r="B1762" s="138">
        <f>'Tax Sched 23'!D6</f>
        <v>403472</v>
      </c>
      <c r="C1762" s="2" t="s">
        <v>573</v>
      </c>
      <c r="D1762" s="2" t="str">
        <f t="shared" si="26"/>
        <v>Error?</v>
      </c>
      <c r="E1762" s="9"/>
    </row>
    <row r="1763" spans="1:5" x14ac:dyDescent="0.2">
      <c r="A1763" s="5">
        <v>1702</v>
      </c>
      <c r="B1763" s="138">
        <f>'Tax Sched 23'!D7</f>
        <v>271060</v>
      </c>
      <c r="C1763" s="2" t="s">
        <v>573</v>
      </c>
      <c r="D1763" s="2" t="str">
        <f t="shared" si="26"/>
        <v>Error?</v>
      </c>
    </row>
    <row r="1764" spans="1:5" x14ac:dyDescent="0.2">
      <c r="A1764" s="5">
        <v>1703</v>
      </c>
      <c r="B1764" s="138">
        <f>'Tax Sched 23'!D8</f>
        <v>140476</v>
      </c>
      <c r="C1764" s="2" t="s">
        <v>573</v>
      </c>
      <c r="D1764" s="2" t="str">
        <f t="shared" si="26"/>
        <v>Error?</v>
      </c>
    </row>
    <row r="1765" spans="1:5" x14ac:dyDescent="0.2">
      <c r="A1765" s="5">
        <v>1704</v>
      </c>
      <c r="B1765" s="138">
        <f>'Tax Sched 23'!D10</f>
        <v>67765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361219</v>
      </c>
      <c r="C1768" s="2" t="s">
        <v>573</v>
      </c>
      <c r="D1768" s="2" t="str">
        <f t="shared" si="26"/>
        <v>Error?</v>
      </c>
    </row>
    <row r="1769" spans="1:5" x14ac:dyDescent="0.2">
      <c r="A1769" s="5">
        <v>1708</v>
      </c>
      <c r="B1769" s="138">
        <f>'Tax Sched 23'!D12</f>
        <v>67765</v>
      </c>
      <c r="C1769" s="2" t="s">
        <v>573</v>
      </c>
      <c r="D1769" s="2" t="str">
        <f t="shared" si="26"/>
        <v>Error?</v>
      </c>
    </row>
    <row r="1770" spans="1:5" x14ac:dyDescent="0.2">
      <c r="A1770" s="5">
        <v>1709</v>
      </c>
      <c r="B1770" s="138">
        <f>'Tax Sched 23'!D14</f>
        <v>54213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4844562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2508370</v>
      </c>
      <c r="C1792" s="2" t="s">
        <v>573</v>
      </c>
      <c r="D1792" s="2" t="str">
        <f t="shared" si="27"/>
        <v>Error?</v>
      </c>
    </row>
    <row r="1793" spans="1:4" x14ac:dyDescent="0.2">
      <c r="A1793" s="5">
        <v>1732</v>
      </c>
      <c r="B1793" s="138">
        <f>'Tax Sched 23'!F5</f>
        <v>784973</v>
      </c>
      <c r="C1793" s="2" t="s">
        <v>573</v>
      </c>
      <c r="D1793" s="2" t="str">
        <f t="shared" si="27"/>
        <v>Error?</v>
      </c>
    </row>
    <row r="1794" spans="1:4" x14ac:dyDescent="0.2">
      <c r="A1794" s="5">
        <v>1733</v>
      </c>
      <c r="B1794" s="138">
        <f>'Tax Sched 23'!F6</f>
        <v>694448</v>
      </c>
      <c r="C1794" s="2" t="s">
        <v>573</v>
      </c>
      <c r="D1794" s="2" t="str">
        <f t="shared" si="27"/>
        <v>Error?</v>
      </c>
    </row>
    <row r="1795" spans="1:4" x14ac:dyDescent="0.2">
      <c r="A1795" s="5">
        <v>1734</v>
      </c>
      <c r="B1795" s="138">
        <f>'Tax Sched 23'!F7</f>
        <v>273034</v>
      </c>
      <c r="C1795" s="2" t="s">
        <v>573</v>
      </c>
      <c r="D1795" s="2" t="str">
        <f t="shared" si="27"/>
        <v>Error?</v>
      </c>
    </row>
    <row r="1796" spans="1:4" x14ac:dyDescent="0.2">
      <c r="A1796" s="5">
        <v>1735</v>
      </c>
      <c r="B1796" s="138">
        <f>'Tax Sched 23'!F8</f>
        <v>120012</v>
      </c>
      <c r="C1796" s="2" t="s">
        <v>573</v>
      </c>
      <c r="D1796" s="2" t="str">
        <f t="shared" si="27"/>
        <v>Error?</v>
      </c>
    </row>
    <row r="1797" spans="1:4" x14ac:dyDescent="0.2">
      <c r="A1797" s="5">
        <v>1736</v>
      </c>
      <c r="B1797" s="138">
        <f>'Tax Sched 23'!F10</f>
        <v>68259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360009</v>
      </c>
      <c r="C1800" s="2" t="s">
        <v>573</v>
      </c>
      <c r="D1800" s="2" t="str">
        <f t="shared" si="27"/>
        <v>Error?</v>
      </c>
    </row>
    <row r="1801" spans="1:4" x14ac:dyDescent="0.2">
      <c r="A1801" s="5">
        <v>1740</v>
      </c>
      <c r="B1801" s="138">
        <f>'Tax Sched 23'!F12</f>
        <v>68258</v>
      </c>
      <c r="C1801" s="2" t="s">
        <v>573</v>
      </c>
      <c r="D1801" s="2" t="str">
        <f t="shared" si="27"/>
        <v>Error?</v>
      </c>
    </row>
    <row r="1802" spans="1:4" x14ac:dyDescent="0.2">
      <c r="A1802" s="5">
        <v>1741</v>
      </c>
      <c r="B1802" s="138">
        <f>'Tax Sched 23'!F14</f>
        <v>54607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5120240</v>
      </c>
      <c r="C1807" s="2" t="s">
        <v>573</v>
      </c>
      <c r="D1807" s="2" t="str">
        <f t="shared" si="27"/>
        <v>Error?</v>
      </c>
    </row>
    <row r="1808" spans="1:4" x14ac:dyDescent="0.2">
      <c r="A1808" s="5">
        <v>1747</v>
      </c>
      <c r="B1808" s="138">
        <f>'Tax Sched 23'!E4</f>
        <v>2508370</v>
      </c>
      <c r="D1808" s="2" t="str">
        <f t="shared" si="27"/>
        <v>Error?</v>
      </c>
    </row>
    <row r="1809" spans="1:4" x14ac:dyDescent="0.2">
      <c r="A1809" s="5">
        <v>1748</v>
      </c>
      <c r="B1809" s="138">
        <f>'Tax Sched 23'!E5</f>
        <v>784973</v>
      </c>
      <c r="D1809" s="2" t="str">
        <f t="shared" si="27"/>
        <v>Error?</v>
      </c>
    </row>
    <row r="1810" spans="1:4" x14ac:dyDescent="0.2">
      <c r="A1810" s="5">
        <v>1749</v>
      </c>
      <c r="B1810" s="138">
        <f>'Tax Sched 23'!E6</f>
        <v>694448</v>
      </c>
      <c r="D1810" s="2" t="str">
        <f t="shared" si="27"/>
        <v>Error?</v>
      </c>
    </row>
    <row r="1811" spans="1:4" x14ac:dyDescent="0.2">
      <c r="A1811" s="5">
        <v>1750</v>
      </c>
      <c r="B1811" s="138">
        <f>'Tax Sched 23'!E7</f>
        <v>273034</v>
      </c>
      <c r="D1811" s="2" t="str">
        <f t="shared" si="27"/>
        <v>Error?</v>
      </c>
    </row>
    <row r="1812" spans="1:4" x14ac:dyDescent="0.2">
      <c r="A1812" s="5">
        <v>1751</v>
      </c>
      <c r="B1812" s="138">
        <f>'Tax Sched 23'!E8</f>
        <v>120012</v>
      </c>
      <c r="D1812" s="2" t="str">
        <f t="shared" si="27"/>
        <v>Error?</v>
      </c>
    </row>
    <row r="1813" spans="1:4" x14ac:dyDescent="0.2">
      <c r="A1813" s="5">
        <v>1752</v>
      </c>
      <c r="B1813" s="138">
        <f>'Tax Sched 23'!E10</f>
        <v>68259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360009</v>
      </c>
      <c r="D1816" s="2" t="str">
        <f t="shared" si="27"/>
        <v>Error?</v>
      </c>
    </row>
    <row r="1817" spans="1:4" x14ac:dyDescent="0.2">
      <c r="A1817" s="5">
        <v>1756</v>
      </c>
      <c r="B1817" s="138">
        <f>'Tax Sched 23'!E12</f>
        <v>68258</v>
      </c>
      <c r="D1817" s="2" t="str">
        <f t="shared" si="27"/>
        <v>Error?</v>
      </c>
    </row>
    <row r="1818" spans="1:4" x14ac:dyDescent="0.2">
      <c r="A1818" s="5">
        <v>1757</v>
      </c>
      <c r="B1818" s="138">
        <f>'Tax Sched 23'!E14</f>
        <v>54607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5120240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3885000</v>
      </c>
      <c r="C1939" s="2" t="s">
        <v>573</v>
      </c>
      <c r="D1939" s="2" t="str">
        <f t="shared" si="29"/>
        <v>Error?</v>
      </c>
    </row>
    <row r="1940" spans="1:5" x14ac:dyDescent="0.2">
      <c r="A1940" s="5">
        <v>1879</v>
      </c>
      <c r="B1940" s="138">
        <f>'Short-Term Long-Term Debt 24'!F49</f>
        <v>2120000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54213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54213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54213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634319</v>
      </c>
      <c r="D2008" s="2" t="str">
        <f t="shared" si="30"/>
        <v>Error?</v>
      </c>
    </row>
    <row r="2009" spans="1:4" x14ac:dyDescent="0.2">
      <c r="A2009" s="5">
        <v>1948</v>
      </c>
      <c r="B2009" s="138">
        <f>'Cap Outlay Deprec 26'!C8</f>
        <v>17043669</v>
      </c>
      <c r="D2009" s="2" t="str">
        <f t="shared" si="30"/>
        <v>Error?</v>
      </c>
    </row>
    <row r="2010" spans="1:4" x14ac:dyDescent="0.2">
      <c r="A2010" s="5">
        <v>1949</v>
      </c>
      <c r="B2010" s="138">
        <f>'Cap Outlay Deprec 26'!C10</f>
        <v>1496570</v>
      </c>
      <c r="D2010" s="2" t="str">
        <f t="shared" si="30"/>
        <v>Error?</v>
      </c>
    </row>
    <row r="2011" spans="1:4" x14ac:dyDescent="0.2">
      <c r="A2011" s="5">
        <v>1950</v>
      </c>
      <c r="B2011" s="138">
        <f>'Cap Outlay Deprec 26'!C12</f>
        <v>6627585</v>
      </c>
      <c r="D2011" s="2" t="str">
        <f t="shared" si="30"/>
        <v>Error?</v>
      </c>
    </row>
    <row r="2012" spans="1:4" x14ac:dyDescent="0.2">
      <c r="A2012" s="5">
        <v>1951</v>
      </c>
      <c r="B2012" s="138">
        <f>'Cap Outlay Deprec 26'!C13</f>
        <v>1675175</v>
      </c>
      <c r="D2012" s="2" t="str">
        <f t="shared" si="30"/>
        <v>Error?</v>
      </c>
    </row>
    <row r="2013" spans="1:4" x14ac:dyDescent="0.2">
      <c r="A2013" s="5">
        <v>1952</v>
      </c>
      <c r="B2013" s="138">
        <f>'Cap Outlay Deprec 26'!C16</f>
        <v>27538067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129673</v>
      </c>
      <c r="D2015" s="2" t="str">
        <f t="shared" si="30"/>
        <v>Error?</v>
      </c>
    </row>
    <row r="2016" spans="1:4" x14ac:dyDescent="0.2">
      <c r="A2016" s="5">
        <v>1955</v>
      </c>
      <c r="B2016" s="138">
        <f>'Cap Outlay Deprec 26'!D10</f>
        <v>3898</v>
      </c>
      <c r="D2016" s="2" t="str">
        <f t="shared" si="30"/>
        <v>Error?</v>
      </c>
    </row>
    <row r="2017" spans="1:4" x14ac:dyDescent="0.2">
      <c r="A2017" s="5">
        <v>1956</v>
      </c>
      <c r="B2017" s="138">
        <f>'Cap Outlay Deprec 26'!D12</f>
        <v>107449</v>
      </c>
      <c r="D2017" s="2" t="str">
        <f t="shared" si="30"/>
        <v>Error?</v>
      </c>
    </row>
    <row r="2018" spans="1:4" x14ac:dyDescent="0.2">
      <c r="A2018" s="5">
        <v>1957</v>
      </c>
      <c r="B2018" s="138">
        <f>'Cap Outlay Deprec 26'!D13</f>
        <v>91760</v>
      </c>
      <c r="D2018" s="2" t="str">
        <f t="shared" si="30"/>
        <v>Error?</v>
      </c>
    </row>
    <row r="2019" spans="1:4" x14ac:dyDescent="0.2">
      <c r="A2019" s="5">
        <v>1958</v>
      </c>
      <c r="B2019" s="138">
        <f>'Cap Outlay Deprec 26'!D16</f>
        <v>613857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80041</v>
      </c>
      <c r="D2024" s="2" t="str">
        <f t="shared" si="30"/>
        <v>Error?</v>
      </c>
    </row>
    <row r="2025" spans="1:4" x14ac:dyDescent="0.2">
      <c r="A2025" s="5">
        <v>1964</v>
      </c>
      <c r="B2025" s="138">
        <f>'Cap Outlay Deprec 26'!E16</f>
        <v>140790</v>
      </c>
      <c r="C2025" s="2" t="s">
        <v>573</v>
      </c>
      <c r="D2025" s="2" t="str">
        <f t="shared" si="30"/>
        <v>Error?</v>
      </c>
    </row>
    <row r="2026" spans="1:4" x14ac:dyDescent="0.2">
      <c r="A2026" s="5">
        <v>1965</v>
      </c>
      <c r="B2026" s="138">
        <f>'Cap Outlay Deprec 26'!F5</f>
        <v>634319</v>
      </c>
      <c r="C2026" s="2" t="s">
        <v>573</v>
      </c>
      <c r="D2026" s="2" t="str">
        <f t="shared" si="30"/>
        <v>Error?</v>
      </c>
    </row>
    <row r="2027" spans="1:4" x14ac:dyDescent="0.2">
      <c r="A2027" s="5">
        <v>1966</v>
      </c>
      <c r="B2027" s="138">
        <f>'Cap Outlay Deprec 26'!F8</f>
        <v>17173342</v>
      </c>
      <c r="C2027" s="2" t="s">
        <v>573</v>
      </c>
      <c r="D2027" s="2" t="str">
        <f t="shared" si="30"/>
        <v>Error?</v>
      </c>
    </row>
    <row r="2028" spans="1:4" x14ac:dyDescent="0.2">
      <c r="A2028" s="5">
        <v>1967</v>
      </c>
      <c r="B2028" s="138">
        <f>'Cap Outlay Deprec 26'!F10</f>
        <v>1500468</v>
      </c>
      <c r="C2028" s="2" t="s">
        <v>573</v>
      </c>
      <c r="D2028" s="2" t="str">
        <f t="shared" si="30"/>
        <v>Error?</v>
      </c>
    </row>
    <row r="2029" spans="1:4" x14ac:dyDescent="0.2">
      <c r="A2029" s="5">
        <v>1968</v>
      </c>
      <c r="B2029" s="138">
        <f>'Cap Outlay Deprec 26'!F12</f>
        <v>6735034</v>
      </c>
      <c r="C2029" s="2" t="s">
        <v>573</v>
      </c>
      <c r="D2029" s="2" t="str">
        <f t="shared" si="30"/>
        <v>Error?</v>
      </c>
    </row>
    <row r="2030" spans="1:4" x14ac:dyDescent="0.2">
      <c r="A2030" s="5">
        <v>1969</v>
      </c>
      <c r="B2030" s="138">
        <f>'Cap Outlay Deprec 26'!F13</f>
        <v>1686894</v>
      </c>
      <c r="C2030" s="2" t="s">
        <v>573</v>
      </c>
      <c r="D2030" s="2" t="str">
        <f t="shared" si="30"/>
        <v>Error?</v>
      </c>
    </row>
    <row r="2031" spans="1:4" x14ac:dyDescent="0.2">
      <c r="A2031" s="5">
        <v>1970</v>
      </c>
      <c r="B2031" s="138">
        <f>'Cap Outlay Deprec 26'!F16</f>
        <v>28011134</v>
      </c>
      <c r="C2031" s="2" t="s">
        <v>573</v>
      </c>
      <c r="D2031" s="2" t="str">
        <f t="shared" si="30"/>
        <v>Error?</v>
      </c>
    </row>
    <row r="2032" spans="1:4" x14ac:dyDescent="0.2">
      <c r="A2032" s="10">
        <v>1971</v>
      </c>
      <c r="D2032" s="2" t="str">
        <f t="shared" si="30"/>
        <v>OK</v>
      </c>
    </row>
    <row r="2033" spans="1:4" x14ac:dyDescent="0.2">
      <c r="A2033" s="5">
        <v>1972</v>
      </c>
      <c r="B2033" s="138">
        <f>'Cap Outlay Deprec 26'!H8</f>
        <v>5690728</v>
      </c>
      <c r="D2033" s="2" t="str">
        <f t="shared" si="30"/>
        <v>Error?</v>
      </c>
    </row>
    <row r="2034" spans="1:4" x14ac:dyDescent="0.2">
      <c r="A2034" s="5">
        <v>1973</v>
      </c>
      <c r="B2034" s="138">
        <f>'Cap Outlay Deprec 26'!H10</f>
        <v>1110299</v>
      </c>
      <c r="D2034" s="2" t="str">
        <f t="shared" si="30"/>
        <v>Error?</v>
      </c>
    </row>
    <row r="2035" spans="1:4" x14ac:dyDescent="0.2">
      <c r="A2035" s="5">
        <v>1974</v>
      </c>
      <c r="B2035" s="138">
        <f>'Cap Outlay Deprec 26'!H12</f>
        <v>5778868</v>
      </c>
      <c r="D2035" s="2" t="str">
        <f t="shared" si="30"/>
        <v>Error?</v>
      </c>
    </row>
    <row r="2036" spans="1:4" x14ac:dyDescent="0.2">
      <c r="A2036" s="5">
        <v>1975</v>
      </c>
      <c r="B2036" s="138">
        <f>'Cap Outlay Deprec 26'!H13</f>
        <v>1440481</v>
      </c>
      <c r="D2036" s="2" t="str">
        <f t="shared" si="30"/>
        <v>Error?</v>
      </c>
    </row>
    <row r="2037" spans="1:4" x14ac:dyDescent="0.2">
      <c r="A2037" s="5">
        <v>1976</v>
      </c>
      <c r="B2037" s="138">
        <f>'Cap Outlay Deprec 26'!H16</f>
        <v>14020376</v>
      </c>
      <c r="C2037" s="2" t="s">
        <v>573</v>
      </c>
      <c r="D2037" s="2" t="str">
        <f t="shared" si="30"/>
        <v>Error?</v>
      </c>
    </row>
    <row r="2038" spans="1:4" x14ac:dyDescent="0.2">
      <c r="A2038" s="10">
        <v>1977</v>
      </c>
      <c r="D2038" s="2" t="str">
        <f t="shared" si="30"/>
        <v>OK</v>
      </c>
    </row>
    <row r="2039" spans="1:4" x14ac:dyDescent="0.2">
      <c r="A2039" s="5">
        <v>1978</v>
      </c>
      <c r="B2039" s="138">
        <f>'Cap Outlay Deprec 26'!I8</f>
        <v>337026</v>
      </c>
      <c r="D2039" s="2" t="str">
        <f t="shared" si="30"/>
        <v>Error?</v>
      </c>
    </row>
    <row r="2040" spans="1:4" x14ac:dyDescent="0.2">
      <c r="A2040" s="5">
        <v>1979</v>
      </c>
      <c r="B2040" s="138">
        <f>'Cap Outlay Deprec 26'!I10</f>
        <v>57555</v>
      </c>
      <c r="D2040" s="2" t="str">
        <f t="shared" si="30"/>
        <v>Error?</v>
      </c>
    </row>
    <row r="2041" spans="1:4" x14ac:dyDescent="0.2">
      <c r="A2041" s="5">
        <v>1980</v>
      </c>
      <c r="B2041" s="138">
        <f>'Cap Outlay Deprec 26'!I12</f>
        <v>163422</v>
      </c>
      <c r="D2041" s="2" t="str">
        <f t="shared" si="30"/>
        <v>Error?</v>
      </c>
    </row>
    <row r="2042" spans="1:4" x14ac:dyDescent="0.2">
      <c r="A2042" s="5">
        <v>1981</v>
      </c>
      <c r="B2042" s="138">
        <f>'Cap Outlay Deprec 26'!I13</f>
        <v>92751</v>
      </c>
      <c r="D2042" s="2" t="str">
        <f t="shared" si="30"/>
        <v>Error?</v>
      </c>
    </row>
    <row r="2043" spans="1:4" x14ac:dyDescent="0.2">
      <c r="A2043" s="5">
        <v>1982</v>
      </c>
      <c r="B2043" s="138">
        <f>'Cap Outlay Deprec 26'!I16</f>
        <v>650754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80041</v>
      </c>
      <c r="D2048" s="2" t="str">
        <f t="shared" si="31"/>
        <v>Error?</v>
      </c>
    </row>
    <row r="2049" spans="1:4" x14ac:dyDescent="0.2">
      <c r="A2049" s="5">
        <v>1988</v>
      </c>
      <c r="B2049" s="138">
        <f>'Cap Outlay Deprec 26'!J16</f>
        <v>80041</v>
      </c>
      <c r="C2049" s="2" t="s">
        <v>573</v>
      </c>
      <c r="D2049" s="2" t="str">
        <f t="shared" si="31"/>
        <v>Error?</v>
      </c>
    </row>
    <row r="2050" spans="1:4" x14ac:dyDescent="0.2">
      <c r="A2050" s="10">
        <v>1989</v>
      </c>
      <c r="D2050" s="2" t="str">
        <f t="shared" si="31"/>
        <v>OK</v>
      </c>
    </row>
    <row r="2051" spans="1:4" x14ac:dyDescent="0.2">
      <c r="A2051" s="5">
        <v>1990</v>
      </c>
      <c r="B2051" s="138">
        <f>'Cap Outlay Deprec 26'!K8</f>
        <v>6027754</v>
      </c>
      <c r="C2051" s="2" t="s">
        <v>573</v>
      </c>
      <c r="D2051" s="2" t="str">
        <f t="shared" si="31"/>
        <v>Error?</v>
      </c>
    </row>
    <row r="2052" spans="1:4" x14ac:dyDescent="0.2">
      <c r="A2052" s="5">
        <v>1991</v>
      </c>
      <c r="B2052" s="138">
        <f>'Cap Outlay Deprec 26'!K10</f>
        <v>1167854</v>
      </c>
      <c r="C2052" s="2" t="s">
        <v>573</v>
      </c>
      <c r="D2052" s="2" t="str">
        <f t="shared" si="31"/>
        <v>Error?</v>
      </c>
    </row>
    <row r="2053" spans="1:4" x14ac:dyDescent="0.2">
      <c r="A2053" s="5">
        <v>1992</v>
      </c>
      <c r="B2053" s="138">
        <f>'Cap Outlay Deprec 26'!K12</f>
        <v>5942290</v>
      </c>
      <c r="C2053" s="2" t="s">
        <v>573</v>
      </c>
      <c r="D2053" s="2" t="str">
        <f t="shared" si="31"/>
        <v>Error?</v>
      </c>
    </row>
    <row r="2054" spans="1:4" x14ac:dyDescent="0.2">
      <c r="A2054" s="5">
        <v>1993</v>
      </c>
      <c r="B2054" s="138">
        <f>'Cap Outlay Deprec 26'!K13</f>
        <v>1453191</v>
      </c>
      <c r="C2054" s="2" t="s">
        <v>573</v>
      </c>
      <c r="D2054" s="2" t="str">
        <f t="shared" si="31"/>
        <v>Error?</v>
      </c>
    </row>
    <row r="2055" spans="1:4" x14ac:dyDescent="0.2">
      <c r="A2055" s="5">
        <v>1994</v>
      </c>
      <c r="B2055" s="138">
        <f>'Cap Outlay Deprec 26'!K16</f>
        <v>14591089</v>
      </c>
      <c r="C2055" s="2" t="s">
        <v>573</v>
      </c>
      <c r="D2055" s="2" t="str">
        <f t="shared" si="31"/>
        <v>Error?</v>
      </c>
    </row>
    <row r="2056" spans="1:4" x14ac:dyDescent="0.2">
      <c r="A2056" s="5">
        <v>1995</v>
      </c>
      <c r="B2056" s="138">
        <f>'Cap Outlay Deprec 26'!L5</f>
        <v>634319</v>
      </c>
      <c r="C2056" s="2" t="s">
        <v>573</v>
      </c>
      <c r="D2056" s="2" t="str">
        <f t="shared" si="31"/>
        <v>Error?</v>
      </c>
    </row>
    <row r="2057" spans="1:4" x14ac:dyDescent="0.2">
      <c r="A2057" s="5">
        <v>1996</v>
      </c>
      <c r="B2057" s="138">
        <f>'Cap Outlay Deprec 26'!L8</f>
        <v>11145588</v>
      </c>
      <c r="C2057" s="2" t="s">
        <v>573</v>
      </c>
      <c r="D2057" s="2" t="str">
        <f t="shared" si="31"/>
        <v>Error?</v>
      </c>
    </row>
    <row r="2058" spans="1:4" x14ac:dyDescent="0.2">
      <c r="A2058" s="5">
        <v>1997</v>
      </c>
      <c r="B2058" s="138">
        <f>'Cap Outlay Deprec 26'!L10</f>
        <v>332614</v>
      </c>
      <c r="C2058" s="2" t="s">
        <v>573</v>
      </c>
      <c r="D2058" s="2" t="str">
        <f t="shared" si="31"/>
        <v>Error?</v>
      </c>
    </row>
    <row r="2059" spans="1:4" x14ac:dyDescent="0.2">
      <c r="A2059" s="5">
        <v>1998</v>
      </c>
      <c r="B2059" s="138">
        <f>'Cap Outlay Deprec 26'!L12</f>
        <v>792744</v>
      </c>
      <c r="C2059" s="2" t="s">
        <v>573</v>
      </c>
      <c r="D2059" s="2" t="str">
        <f t="shared" si="31"/>
        <v>Error?</v>
      </c>
    </row>
    <row r="2060" spans="1:4" x14ac:dyDescent="0.2">
      <c r="A2060" s="5">
        <v>1999</v>
      </c>
      <c r="B2060" s="138">
        <f>'Cap Outlay Deprec 26'!L13</f>
        <v>233703</v>
      </c>
      <c r="C2060" s="2" t="s">
        <v>573</v>
      </c>
      <c r="D2060" s="2" t="str">
        <f t="shared" si="31"/>
        <v>Error?</v>
      </c>
    </row>
    <row r="2061" spans="1:4" x14ac:dyDescent="0.2">
      <c r="A2061" s="5">
        <v>2000</v>
      </c>
      <c r="B2061" s="138">
        <f>'Cap Outlay Deprec 26'!L16</f>
        <v>13420045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58125</v>
      </c>
      <c r="C2088" s="2" t="s">
        <v>573</v>
      </c>
      <c r="D2088" s="2" t="str">
        <f t="shared" si="31"/>
        <v>Error?</v>
      </c>
    </row>
    <row r="2089" spans="1:4" x14ac:dyDescent="0.2">
      <c r="A2089" s="5">
        <v>2028</v>
      </c>
      <c r="B2089" s="138">
        <f>'Expenditures 15-22'!K92</f>
        <v>211354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64757</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63444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3456081</v>
      </c>
      <c r="C2551" s="2" t="s">
        <v>573</v>
      </c>
      <c r="D2551" s="2" t="str">
        <f t="shared" si="38"/>
        <v>Error?</v>
      </c>
    </row>
    <row r="2552" spans="1:4" x14ac:dyDescent="0.2">
      <c r="A2552" s="10">
        <v>2491</v>
      </c>
      <c r="D2552" s="2" t="str">
        <f t="shared" si="38"/>
        <v>OK</v>
      </c>
    </row>
    <row r="2553" spans="1:4" x14ac:dyDescent="0.2">
      <c r="A2553" s="5">
        <v>2492</v>
      </c>
      <c r="B2553" s="138">
        <f>'Acct Summary 7-8'!C6</f>
        <v>3356061</v>
      </c>
      <c r="C2553" s="2" t="s">
        <v>573</v>
      </c>
      <c r="D2553" s="2" t="str">
        <f t="shared" si="38"/>
        <v>Error?</v>
      </c>
    </row>
    <row r="2554" spans="1:4" x14ac:dyDescent="0.2">
      <c r="A2554" s="5">
        <v>2493</v>
      </c>
      <c r="B2554" s="138">
        <f>'Acct Summary 7-8'!C7</f>
        <v>429468</v>
      </c>
      <c r="C2554" s="2" t="s">
        <v>573</v>
      </c>
      <c r="D2554" s="2" t="str">
        <f t="shared" si="38"/>
        <v>Error?</v>
      </c>
    </row>
    <row r="2555" spans="1:4" x14ac:dyDescent="0.2">
      <c r="A2555" s="5">
        <v>2494</v>
      </c>
      <c r="B2555" s="138">
        <f>'Acct Summary 7-8'!C8</f>
        <v>7241610</v>
      </c>
      <c r="C2555" s="2" t="s">
        <v>573</v>
      </c>
      <c r="D2555" s="2" t="str">
        <f t="shared" si="38"/>
        <v>Error?</v>
      </c>
    </row>
    <row r="2556" spans="1:4" x14ac:dyDescent="0.2">
      <c r="A2556" s="5">
        <v>2495</v>
      </c>
      <c r="B2556" s="138">
        <f>'Acct Summary 7-8'!C12</f>
        <v>4735521</v>
      </c>
      <c r="C2556" s="2" t="s">
        <v>573</v>
      </c>
      <c r="D2556" s="2" t="str">
        <f t="shared" si="38"/>
        <v>Error?</v>
      </c>
    </row>
    <row r="2557" spans="1:4" x14ac:dyDescent="0.2">
      <c r="A2557" s="5">
        <v>2496</v>
      </c>
      <c r="B2557" s="138">
        <f>'Acct Summary 7-8'!C13</f>
        <v>1657187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269479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6662187</v>
      </c>
      <c r="C2561" s="2" t="s">
        <v>573</v>
      </c>
      <c r="D2561" s="2" t="str">
        <f t="shared" si="39"/>
        <v>Error?</v>
      </c>
    </row>
    <row r="2562" spans="1:4" x14ac:dyDescent="0.2">
      <c r="A2562" s="5">
        <v>2501</v>
      </c>
      <c r="B2562" s="138">
        <f>'Acct Summary 7-8'!C20</f>
        <v>579423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851450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851450</v>
      </c>
      <c r="C2568" s="2" t="s">
        <v>573</v>
      </c>
      <c r="D2568" s="2" t="str">
        <f t="shared" si="39"/>
        <v>Error?</v>
      </c>
    </row>
    <row r="2569" spans="1:4" x14ac:dyDescent="0.2">
      <c r="A2569" s="5">
        <v>2508</v>
      </c>
      <c r="B2569" s="138">
        <f>'Acct Summary 7-8'!D13</f>
        <v>854131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854131</v>
      </c>
      <c r="C2573" s="2" t="s">
        <v>573</v>
      </c>
      <c r="D2573" s="2" t="str">
        <f t="shared" si="39"/>
        <v>Error?</v>
      </c>
    </row>
    <row r="2574" spans="1:4" x14ac:dyDescent="0.2">
      <c r="A2574" s="5">
        <v>2513</v>
      </c>
      <c r="B2574" s="138">
        <f>'Acct Summary 7-8'!D20</f>
        <v>-2681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286768</v>
      </c>
      <c r="C2591" s="2" t="s">
        <v>573</v>
      </c>
      <c r="D2591" s="2" t="str">
        <f t="shared" si="39"/>
        <v>Error?</v>
      </c>
    </row>
    <row r="2592" spans="1:4" x14ac:dyDescent="0.2">
      <c r="A2592" s="10">
        <v>2531</v>
      </c>
      <c r="D2592" s="2" t="str">
        <f t="shared" si="39"/>
        <v>OK</v>
      </c>
    </row>
    <row r="2593" spans="1:4" x14ac:dyDescent="0.2">
      <c r="A2593" s="5">
        <v>2532</v>
      </c>
      <c r="B2593" s="138">
        <f>'Acct Summary 7-8'!F6</f>
        <v>248289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535057</v>
      </c>
      <c r="C2595" s="2" t="s">
        <v>573</v>
      </c>
      <c r="D2595" s="2" t="str">
        <f t="shared" si="39"/>
        <v>Error?</v>
      </c>
    </row>
    <row r="2596" spans="1:4" x14ac:dyDescent="0.2">
      <c r="A2596" s="5">
        <v>2535</v>
      </c>
      <c r="B2596" s="138">
        <f>'Acct Summary 7-8'!F13</f>
        <v>480167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480167</v>
      </c>
      <c r="C2600" s="2" t="s">
        <v>573</v>
      </c>
      <c r="D2600" s="2" t="str">
        <f t="shared" si="39"/>
        <v>Error?</v>
      </c>
    </row>
    <row r="2601" spans="1:4" x14ac:dyDescent="0.2">
      <c r="A2601" s="5">
        <v>2540</v>
      </c>
      <c r="B2601" s="138">
        <f>'Acct Summary 7-8'!F20</f>
        <v>54890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301905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301905</v>
      </c>
      <c r="C2606" s="2" t="s">
        <v>573</v>
      </c>
      <c r="D2606" s="2" t="str">
        <f t="shared" si="39"/>
        <v>Error?</v>
      </c>
    </row>
    <row r="2607" spans="1:4" x14ac:dyDescent="0.2">
      <c r="A2607" s="5">
        <v>2546</v>
      </c>
      <c r="B2607" s="138">
        <f>'Acct Summary 7-8'!G12</f>
        <v>118314</v>
      </c>
      <c r="C2607" s="2" t="s">
        <v>573</v>
      </c>
      <c r="D2607" s="2" t="str">
        <f t="shared" si="39"/>
        <v>Error?</v>
      </c>
    </row>
    <row r="2608" spans="1:4" x14ac:dyDescent="0.2">
      <c r="A2608" s="5">
        <v>2547</v>
      </c>
      <c r="B2608" s="138">
        <f>'Acct Summary 7-8'!G13</f>
        <v>158358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276672</v>
      </c>
      <c r="C2612" s="2" t="s">
        <v>573</v>
      </c>
      <c r="D2612" s="2" t="str">
        <f t="shared" si="39"/>
        <v>Error?</v>
      </c>
    </row>
    <row r="2613" spans="1:4" x14ac:dyDescent="0.2">
      <c r="A2613" s="5">
        <v>2552</v>
      </c>
      <c r="B2613" s="138">
        <f>'Acct Summary 7-8'!G20</f>
        <v>25233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405286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405286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402608</v>
      </c>
      <c r="C2634" s="2" t="s">
        <v>573</v>
      </c>
      <c r="D2634" s="2" t="str">
        <f t="shared" si="40"/>
        <v>Error?</v>
      </c>
    </row>
    <row r="2635" spans="1:4" x14ac:dyDescent="0.2">
      <c r="A2635" s="5">
        <v>2574</v>
      </c>
      <c r="B2635" s="138">
        <f>'Acct Summary 7-8'!E17</f>
        <v>402608</v>
      </c>
      <c r="C2635" s="2" t="s">
        <v>573</v>
      </c>
      <c r="D2635" s="2" t="str">
        <f t="shared" si="40"/>
        <v>Error?</v>
      </c>
    </row>
    <row r="2636" spans="1:4" x14ac:dyDescent="0.2">
      <c r="A2636" s="5">
        <v>2575</v>
      </c>
      <c r="B2636" s="138">
        <f>'Acct Summary 7-8'!E20</f>
        <v>2678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41276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41276</v>
      </c>
      <c r="C2658" s="2" t="s">
        <v>573</v>
      </c>
      <c r="D2658" s="2" t="str">
        <f t="shared" si="40"/>
        <v>Error?</v>
      </c>
    </row>
    <row r="2659" spans="1:4" x14ac:dyDescent="0.2">
      <c r="A2659" s="5">
        <v>2598</v>
      </c>
      <c r="B2659" s="138">
        <f>'Acct Summary 7-8'!H13</f>
        <v>256284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256284</v>
      </c>
      <c r="C2661" s="2" t="s">
        <v>573</v>
      </c>
      <c r="D2661" s="2" t="str">
        <f t="shared" si="40"/>
        <v>Error?</v>
      </c>
    </row>
    <row r="2662" spans="1:4" x14ac:dyDescent="0.2">
      <c r="A2662" s="5">
        <v>2601</v>
      </c>
      <c r="B2662" s="138">
        <f>'Acct Summary 7-8'!H20</f>
        <v>-215008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58125</v>
      </c>
      <c r="C2789" s="2" t="s">
        <v>573</v>
      </c>
      <c r="D2789" s="2" t="str">
        <f t="shared" si="42"/>
        <v>Error?</v>
      </c>
    </row>
    <row r="2790" spans="1:4" x14ac:dyDescent="0.2">
      <c r="A2790" s="5">
        <v>2729</v>
      </c>
      <c r="B2790" s="138">
        <f>'Expenditures 15-22'!E102</f>
        <v>58125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281077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819295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203410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61641</v>
      </c>
      <c r="D2911" s="2" t="str">
        <f t="shared" si="44"/>
        <v>Error?</v>
      </c>
    </row>
    <row r="2912" spans="1:4" x14ac:dyDescent="0.2">
      <c r="A2912" s="5">
        <v>2851</v>
      </c>
      <c r="B2912" s="138">
        <f>'Assets-Liab 5-6'!I39</f>
        <v>757654</v>
      </c>
      <c r="D2912" s="2" t="str">
        <f t="shared" si="44"/>
        <v>Error?</v>
      </c>
    </row>
    <row r="2913" spans="1:4" x14ac:dyDescent="0.2">
      <c r="A2913" s="5">
        <v>2852</v>
      </c>
      <c r="B2913" s="138">
        <f>'Assets-Liab 5-6'!I41</f>
        <v>819295</v>
      </c>
      <c r="C2913" s="2" t="s">
        <v>573</v>
      </c>
      <c r="D2913" s="2" t="str">
        <f t="shared" si="44"/>
        <v>Error?</v>
      </c>
    </row>
    <row r="2914" spans="1:4" x14ac:dyDescent="0.2">
      <c r="A2914" s="5">
        <v>2853</v>
      </c>
      <c r="B2914" s="138">
        <f>'Assets-Liab 5-6'!L33</f>
        <v>203410</v>
      </c>
      <c r="D2914" s="2" t="str">
        <f t="shared" si="44"/>
        <v>Error?</v>
      </c>
    </row>
    <row r="2915" spans="1:4" x14ac:dyDescent="0.2">
      <c r="A2915" s="10">
        <v>2854</v>
      </c>
      <c r="D2915" s="2" t="str">
        <f t="shared" si="44"/>
        <v>OK</v>
      </c>
    </row>
    <row r="2916" spans="1:4" x14ac:dyDescent="0.2">
      <c r="A2916" s="5">
        <v>2855</v>
      </c>
      <c r="B2916" s="138">
        <f>'Assets-Liab 5-6'!L34</f>
        <v>203410</v>
      </c>
      <c r="C2916" s="2" t="s">
        <v>573</v>
      </c>
      <c r="D2916" s="2" t="str">
        <f t="shared" si="44"/>
        <v>Error?</v>
      </c>
    </row>
    <row r="2917" spans="1:4" x14ac:dyDescent="0.2">
      <c r="A2917" s="5">
        <v>2856</v>
      </c>
      <c r="B2917" s="138">
        <f>'Assets-Liab 5-6'!L41</f>
        <v>203410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58125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58125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71916</v>
      </c>
      <c r="D3055" s="2" t="str">
        <f t="shared" si="46"/>
        <v>Error?</v>
      </c>
    </row>
    <row r="3056" spans="1:4" x14ac:dyDescent="0.2">
      <c r="A3056" s="5">
        <v>2995</v>
      </c>
      <c r="B3056" s="138">
        <f>'Expenditures 15-22'!D10</f>
        <v>7305</v>
      </c>
      <c r="D3056" s="2" t="str">
        <f t="shared" si="46"/>
        <v>Error?</v>
      </c>
    </row>
    <row r="3057" spans="1:4" x14ac:dyDescent="0.2">
      <c r="A3057" s="5">
        <v>2996</v>
      </c>
      <c r="B3057" s="138">
        <f>'Expenditures 15-22'!E10</f>
        <v>11998</v>
      </c>
      <c r="D3057" s="2" t="str">
        <f t="shared" si="46"/>
        <v>Error?</v>
      </c>
    </row>
    <row r="3058" spans="1:4" x14ac:dyDescent="0.2">
      <c r="A3058" s="5">
        <v>2997</v>
      </c>
      <c r="B3058" s="138">
        <f>'Expenditures 15-22'!F10</f>
        <v>158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91377</v>
      </c>
      <c r="C3062" s="2" t="s">
        <v>573</v>
      </c>
      <c r="D3062" s="2" t="str">
        <f t="shared" si="46"/>
        <v>Error?</v>
      </c>
    </row>
    <row r="3063" spans="1:4" x14ac:dyDescent="0.2">
      <c r="A3063" s="10">
        <v>3002</v>
      </c>
      <c r="D3063" s="2" t="str">
        <f t="shared" si="46"/>
        <v>OK</v>
      </c>
    </row>
    <row r="3064" spans="1:4" x14ac:dyDescent="0.2">
      <c r="A3064" s="5">
        <v>3003</v>
      </c>
      <c r="B3064" s="138">
        <f>'Expenditures 15-22'!D219</f>
        <v>1816</v>
      </c>
      <c r="D3064" s="2" t="str">
        <f t="shared" si="46"/>
        <v>Error?</v>
      </c>
    </row>
    <row r="3065" spans="1:4" x14ac:dyDescent="0.2">
      <c r="A3065" s="5">
        <v>3004</v>
      </c>
      <c r="B3065" s="138">
        <f>'Expenditures 15-22'!K219</f>
        <v>1816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80561</v>
      </c>
      <c r="C3225" s="2" t="s">
        <v>573</v>
      </c>
      <c r="D3225" s="2" t="str">
        <f t="shared" si="49"/>
        <v>Error?</v>
      </c>
    </row>
    <row r="3226" spans="1:4" x14ac:dyDescent="0.2">
      <c r="A3226" s="5">
        <v>3165</v>
      </c>
      <c r="B3226" s="138">
        <f>'Acct Summary 7-8'!I8</f>
        <v>80561</v>
      </c>
      <c r="C3226" s="2" t="s">
        <v>573</v>
      </c>
      <c r="D3226" s="2" t="str">
        <f t="shared" si="49"/>
        <v>Error?</v>
      </c>
    </row>
    <row r="3227" spans="1:4" x14ac:dyDescent="0.2">
      <c r="A3227" s="5">
        <v>3166</v>
      </c>
      <c r="B3227" s="138">
        <f>'Acct Summary 7-8'!I20</f>
        <v>80561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579423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-2681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54890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25233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2678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2468567</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2468567</v>
      </c>
      <c r="C3299" s="2" t="s">
        <v>573</v>
      </c>
      <c r="D3299" s="2" t="str">
        <f t="shared" si="50"/>
        <v>Error?</v>
      </c>
    </row>
    <row r="3300" spans="1:4" x14ac:dyDescent="0.2">
      <c r="A3300" s="5">
        <v>3239</v>
      </c>
      <c r="B3300" s="138">
        <f>'Acct Summary 7-8'!H78</f>
        <v>2253559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64757</v>
      </c>
      <c r="C3318" s="2" t="s">
        <v>573</v>
      </c>
      <c r="D3318" s="2" t="str">
        <f t="shared" si="50"/>
        <v>Error?</v>
      </c>
    </row>
    <row r="3319" spans="1:4" x14ac:dyDescent="0.2">
      <c r="A3319" s="5">
        <v>3258</v>
      </c>
      <c r="B3319" s="138">
        <f>'Acct Summary 7-8'!I77</f>
        <v>-64757</v>
      </c>
      <c r="C3319" s="2" t="s">
        <v>573</v>
      </c>
      <c r="D3319" s="2" t="str">
        <f t="shared" si="50"/>
        <v>Error?</v>
      </c>
    </row>
    <row r="3320" spans="1:4" x14ac:dyDescent="0.2">
      <c r="A3320" s="5">
        <v>3259</v>
      </c>
      <c r="B3320" s="138">
        <f>'Acct Summary 7-8'!I78</f>
        <v>15804</v>
      </c>
      <c r="C3320" s="2" t="s">
        <v>573</v>
      </c>
      <c r="D3320" s="2" t="str">
        <f t="shared" si="50"/>
        <v>Error?</v>
      </c>
    </row>
    <row r="3321" spans="1:4" x14ac:dyDescent="0.2">
      <c r="A3321" s="5">
        <v>3260</v>
      </c>
      <c r="B3321" s="138">
        <f>'Acct Summary 7-8'!I79</f>
        <v>803491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819295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527246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31767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5275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565520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88168</v>
      </c>
      <c r="D3387" s="2" t="str">
        <f t="shared" si="51"/>
        <v>Error?</v>
      </c>
    </row>
    <row r="3388" spans="1:4" x14ac:dyDescent="0.2">
      <c r="A3388" s="5">
        <v>3327</v>
      </c>
      <c r="B3388" s="138">
        <f>'Expenditures 15-22'!D217</f>
        <v>14638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88168</v>
      </c>
      <c r="C3390" s="2" t="s">
        <v>573</v>
      </c>
      <c r="D3390" s="2" t="str">
        <f t="shared" si="51"/>
        <v>Error?</v>
      </c>
    </row>
    <row r="3391" spans="1:4" x14ac:dyDescent="0.2">
      <c r="A3391" s="5">
        <v>3330</v>
      </c>
      <c r="B3391" s="138">
        <f>'Expenditures 15-22'!K217</f>
        <v>14638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2958479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1615025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82667</v>
      </c>
      <c r="D3417" s="2" t="str">
        <f t="shared" si="52"/>
        <v>Error?</v>
      </c>
    </row>
    <row r="3418" spans="1:4" x14ac:dyDescent="0.2">
      <c r="A3418" s="10">
        <v>3357</v>
      </c>
      <c r="D3418" s="2" t="str">
        <f t="shared" si="52"/>
        <v>OK</v>
      </c>
    </row>
    <row r="3419" spans="1:4" x14ac:dyDescent="0.2">
      <c r="A3419" s="5">
        <v>3358</v>
      </c>
      <c r="B3419" s="138">
        <f>'Assets-Liab 5-6'!F4</f>
        <v>852249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326179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2285275</v>
      </c>
      <c r="D3425" s="2" t="str">
        <f t="shared" si="52"/>
        <v>Error?</v>
      </c>
    </row>
    <row r="3426" spans="1:4" x14ac:dyDescent="0.2">
      <c r="A3426" s="10">
        <v>3365</v>
      </c>
      <c r="D3426" s="2" t="str">
        <f t="shared" si="52"/>
        <v>OK</v>
      </c>
    </row>
    <row r="3427" spans="1:4" x14ac:dyDescent="0.2">
      <c r="A3427" s="5">
        <v>3366</v>
      </c>
      <c r="B3427" s="138">
        <f>'Assets-Liab 5-6'!I4</f>
        <v>819295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203410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140476</v>
      </c>
      <c r="C3446" s="2" t="s">
        <v>573</v>
      </c>
      <c r="D3446" s="2" t="str">
        <f t="shared" si="52"/>
        <v>Error?</v>
      </c>
    </row>
    <row r="3447" spans="1:4" x14ac:dyDescent="0.2">
      <c r="A3447" s="5">
        <v>3386</v>
      </c>
      <c r="B3447" s="138">
        <f>'Tax Sched 23'!D16</f>
        <v>140476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120012</v>
      </c>
      <c r="C3449" s="2" t="s">
        <v>573</v>
      </c>
      <c r="D3449" s="2" t="str">
        <f t="shared" si="52"/>
        <v>Error?</v>
      </c>
    </row>
    <row r="3450" spans="1:4" x14ac:dyDescent="0.2">
      <c r="A3450" s="5">
        <v>3389</v>
      </c>
      <c r="B3450" s="138">
        <f>'Tax Sched 23'!E16</f>
        <v>120012</v>
      </c>
      <c r="D3450" s="2" t="str">
        <f t="shared" si="52"/>
        <v>Error?</v>
      </c>
    </row>
    <row r="3451" spans="1:4" x14ac:dyDescent="0.2">
      <c r="A3451" s="5">
        <v>3390</v>
      </c>
      <c r="B3451" s="138">
        <f>'Cap Outlay Deprec 26'!C15</f>
        <v>60749</v>
      </c>
      <c r="D3451" s="2" t="str">
        <f t="shared" si="52"/>
        <v>Error?</v>
      </c>
    </row>
    <row r="3452" spans="1:4" x14ac:dyDescent="0.2">
      <c r="A3452" s="5">
        <v>3391</v>
      </c>
      <c r="B3452" s="138">
        <f>'Cap Outlay Deprec 26'!D15</f>
        <v>281077</v>
      </c>
      <c r="D3452" s="2" t="str">
        <f t="shared" si="52"/>
        <v>Error?</v>
      </c>
    </row>
    <row r="3453" spans="1:4" x14ac:dyDescent="0.2">
      <c r="A3453" s="5">
        <v>3392</v>
      </c>
      <c r="B3453" s="138">
        <f>'Cap Outlay Deprec 26'!E15</f>
        <v>60749</v>
      </c>
      <c r="D3453" s="2" t="str">
        <f t="shared" si="52"/>
        <v>Error?</v>
      </c>
    </row>
    <row r="3454" spans="1:4" x14ac:dyDescent="0.2">
      <c r="A3454" s="5">
        <v>3393</v>
      </c>
      <c r="B3454" s="138">
        <f>'Cap Outlay Deprec 26'!F15</f>
        <v>281077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281077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567822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567822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567822</v>
      </c>
      <c r="D3567" s="2" t="str">
        <f t="shared" si="54"/>
        <v>Error?</v>
      </c>
    </row>
    <row r="3568" spans="1:4" x14ac:dyDescent="0.2">
      <c r="A3568" s="5">
        <v>3507</v>
      </c>
      <c r="B3568" s="138">
        <f>'Assets-Liab 5-6'!K41</f>
        <v>567822</v>
      </c>
      <c r="C3568" s="2" t="s">
        <v>573</v>
      </c>
      <c r="D3568" s="2" t="str">
        <f t="shared" si="54"/>
        <v>Error?</v>
      </c>
    </row>
    <row r="3569" spans="1:4" x14ac:dyDescent="0.2">
      <c r="A3569" s="5">
        <v>3508</v>
      </c>
      <c r="B3569" s="138">
        <f>'Acct Summary 7-8'!K4</f>
        <v>75931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75931</v>
      </c>
      <c r="C3571" s="2" t="s">
        <v>573</v>
      </c>
      <c r="D3571" s="2" t="str">
        <f t="shared" si="54"/>
        <v>Error?</v>
      </c>
    </row>
    <row r="3572" spans="1:4" x14ac:dyDescent="0.2">
      <c r="A3572" s="5">
        <v>3511</v>
      </c>
      <c r="B3572" s="138">
        <f>'Acct Summary 7-8'!K13</f>
        <v>17155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17155</v>
      </c>
      <c r="C3575" s="2" t="s">
        <v>573</v>
      </c>
      <c r="D3575" s="2" t="str">
        <f t="shared" si="54"/>
        <v>Error?</v>
      </c>
    </row>
    <row r="3576" spans="1:4" x14ac:dyDescent="0.2">
      <c r="A3576" s="5">
        <v>3515</v>
      </c>
      <c r="B3576" s="138">
        <f>'Acct Summary 7-8'!K20</f>
        <v>58776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58776</v>
      </c>
      <c r="C3588" s="2" t="s">
        <v>573</v>
      </c>
      <c r="D3588" s="2" t="str">
        <f t="shared" si="55"/>
        <v>Error?</v>
      </c>
    </row>
    <row r="3589" spans="1:4" x14ac:dyDescent="0.2">
      <c r="A3589" s="5">
        <v>3528</v>
      </c>
      <c r="B3589" s="138">
        <f>'Acct Summary 7-8'!K79</f>
        <v>509046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567822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5377</v>
      </c>
      <c r="D3632" s="2" t="str">
        <f t="shared" si="55"/>
        <v>Error?</v>
      </c>
    </row>
    <row r="3633" spans="1:4" x14ac:dyDescent="0.2">
      <c r="A3633" s="5">
        <v>3572</v>
      </c>
      <c r="B3633" s="138">
        <f>'Expenditures 15-22'!E350</f>
        <v>5377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5377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11778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11778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11778</v>
      </c>
      <c r="C3649" s="2" t="s">
        <v>573</v>
      </c>
      <c r="D3649" s="2" t="str">
        <f t="shared" si="56"/>
        <v>Error?</v>
      </c>
    </row>
    <row r="3650" spans="1:4" x14ac:dyDescent="0.2">
      <c r="A3650" s="5">
        <v>3589</v>
      </c>
      <c r="B3650" s="138">
        <f>'Expenditures 15-22'!G367</f>
        <v>11778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11778</v>
      </c>
      <c r="C3668" s="2" t="s">
        <v>573</v>
      </c>
      <c r="D3668" s="2" t="str">
        <f t="shared" si="56"/>
        <v>Error?</v>
      </c>
    </row>
    <row r="3669" spans="1:4" x14ac:dyDescent="0.2">
      <c r="A3669" s="5">
        <v>3608</v>
      </c>
      <c r="B3669" s="138">
        <f>'Expenditures 15-22'!K349</f>
        <v>5377</v>
      </c>
      <c r="C3669" s="2" t="s">
        <v>573</v>
      </c>
      <c r="D3669" s="2" t="str">
        <f t="shared" si="56"/>
        <v>Error?</v>
      </c>
    </row>
    <row r="3670" spans="1:4" x14ac:dyDescent="0.2">
      <c r="A3670" s="5">
        <v>3609</v>
      </c>
      <c r="B3670" s="138">
        <f>'Expenditures 15-22'!K350</f>
        <v>17155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17155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17155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58776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67765</v>
      </c>
      <c r="C3725" s="2" t="s">
        <v>573</v>
      </c>
      <c r="D3725" s="2" t="str">
        <f t="shared" si="57"/>
        <v>Error?</v>
      </c>
    </row>
    <row r="3726" spans="1:4" x14ac:dyDescent="0.2">
      <c r="A3726" s="5">
        <v>3665</v>
      </c>
      <c r="B3726" s="138">
        <f>'Tax Sched 23'!D13</f>
        <v>67765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68258</v>
      </c>
      <c r="C3728" s="2" t="s">
        <v>573</v>
      </c>
      <c r="D3728" s="2" t="str">
        <f t="shared" si="57"/>
        <v>Error?</v>
      </c>
    </row>
    <row r="3729" spans="1:4" x14ac:dyDescent="0.2">
      <c r="A3729" s="5">
        <v>3668</v>
      </c>
      <c r="B3729" s="138">
        <f>'Tax Sched 23'!E13</f>
        <v>68258</v>
      </c>
      <c r="D3729" s="2" t="str">
        <f t="shared" si="57"/>
        <v>Error?</v>
      </c>
    </row>
    <row r="3730" spans="1:4" x14ac:dyDescent="0.2">
      <c r="A3730" s="5">
        <v>3669</v>
      </c>
      <c r="B3730" s="138">
        <f>'ICR Computation 30'!E10</f>
        <v>194939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1742512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8984122</v>
      </c>
      <c r="C4122" s="2" t="s">
        <v>573</v>
      </c>
      <c r="D4122" s="2" t="str">
        <f t="shared" si="63"/>
        <v>Error?</v>
      </c>
    </row>
    <row r="4123" spans="1:4" x14ac:dyDescent="0.2">
      <c r="A4123" s="5">
        <v>4062</v>
      </c>
      <c r="B4123" s="138">
        <f>'Acct Summary 7-8'!D10</f>
        <v>851450</v>
      </c>
      <c r="C4123" s="2" t="s">
        <v>573</v>
      </c>
      <c r="D4123" s="2" t="str">
        <f t="shared" si="63"/>
        <v>Error?</v>
      </c>
    </row>
    <row r="4124" spans="1:4" x14ac:dyDescent="0.2">
      <c r="A4124" s="5">
        <v>4063</v>
      </c>
      <c r="B4124" s="138">
        <f>'Acct Summary 7-8'!E10</f>
        <v>405286</v>
      </c>
      <c r="C4124" s="2" t="s">
        <v>573</v>
      </c>
      <c r="D4124" s="2" t="str">
        <f t="shared" si="63"/>
        <v>Error?</v>
      </c>
    </row>
    <row r="4125" spans="1:4" x14ac:dyDescent="0.2">
      <c r="A4125" s="5">
        <v>4064</v>
      </c>
      <c r="B4125" s="138">
        <f>'Acct Summary 7-8'!F10</f>
        <v>535057</v>
      </c>
      <c r="C4125" s="2" t="s">
        <v>573</v>
      </c>
      <c r="D4125" s="2" t="str">
        <f t="shared" si="63"/>
        <v>Error?</v>
      </c>
    </row>
    <row r="4126" spans="1:4" x14ac:dyDescent="0.2">
      <c r="A4126" s="5">
        <v>4065</v>
      </c>
      <c r="B4126" s="138">
        <f>'Acct Summary 7-8'!G10</f>
        <v>301905</v>
      </c>
      <c r="C4126" s="2" t="s">
        <v>573</v>
      </c>
      <c r="D4126" s="2" t="str">
        <f t="shared" si="63"/>
        <v>Error?</v>
      </c>
    </row>
    <row r="4127" spans="1:4" x14ac:dyDescent="0.2">
      <c r="A4127" s="5">
        <v>4066</v>
      </c>
      <c r="B4127" s="138">
        <f>'Acct Summary 7-8'!H10</f>
        <v>41276</v>
      </c>
      <c r="C4127" s="2" t="s">
        <v>573</v>
      </c>
      <c r="D4127" s="2" t="str">
        <f t="shared" si="63"/>
        <v>Error?</v>
      </c>
    </row>
    <row r="4128" spans="1:4" x14ac:dyDescent="0.2">
      <c r="A4128" s="5">
        <v>4067</v>
      </c>
      <c r="B4128" s="138">
        <f>'Acct Summary 7-8'!I10</f>
        <v>80561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75931</v>
      </c>
      <c r="C4130" s="2" t="s">
        <v>573</v>
      </c>
      <c r="D4130" s="2" t="str">
        <f t="shared" si="63"/>
        <v>Error?</v>
      </c>
    </row>
    <row r="4131" spans="1:4" x14ac:dyDescent="0.2">
      <c r="A4131" s="5">
        <v>4070</v>
      </c>
      <c r="B4131" s="138">
        <f>'Acct Summary 7-8'!C18</f>
        <v>1742512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8404699</v>
      </c>
      <c r="C4136" s="2" t="s">
        <v>573</v>
      </c>
      <c r="D4136" s="2" t="str">
        <f t="shared" si="63"/>
        <v>Error?</v>
      </c>
    </row>
    <row r="4137" spans="1:4" x14ac:dyDescent="0.2">
      <c r="A4137" s="5">
        <v>4076</v>
      </c>
      <c r="B4137" s="138">
        <f>'Acct Summary 7-8'!D19</f>
        <v>854131</v>
      </c>
      <c r="C4137" s="2" t="s">
        <v>573</v>
      </c>
      <c r="D4137" s="2" t="str">
        <f t="shared" si="63"/>
        <v>Error?</v>
      </c>
    </row>
    <row r="4138" spans="1:4" x14ac:dyDescent="0.2">
      <c r="A4138" s="5">
        <v>4077</v>
      </c>
      <c r="B4138" s="138">
        <f>'Acct Summary 7-8'!E19</f>
        <v>402608</v>
      </c>
      <c r="C4138" s="2" t="s">
        <v>573</v>
      </c>
      <c r="D4138" s="2" t="str">
        <f t="shared" si="63"/>
        <v>Error?</v>
      </c>
    </row>
    <row r="4139" spans="1:4" x14ac:dyDescent="0.2">
      <c r="A4139" s="5">
        <v>4078</v>
      </c>
      <c r="B4139" s="138">
        <f>'Acct Summary 7-8'!F19</f>
        <v>480167</v>
      </c>
      <c r="C4139" s="2" t="s">
        <v>573</v>
      </c>
      <c r="D4139" s="2" t="str">
        <f t="shared" si="63"/>
        <v>Error?</v>
      </c>
    </row>
    <row r="4140" spans="1:4" x14ac:dyDescent="0.2">
      <c r="A4140" s="5">
        <v>4079</v>
      </c>
      <c r="B4140" s="138">
        <f>'Acct Summary 7-8'!G19</f>
        <v>276672</v>
      </c>
      <c r="C4140" s="2" t="s">
        <v>573</v>
      </c>
      <c r="D4140" s="2" t="str">
        <f t="shared" si="63"/>
        <v>Error?</v>
      </c>
    </row>
    <row r="4141" spans="1:4" x14ac:dyDescent="0.2">
      <c r="A4141" s="5">
        <v>4080</v>
      </c>
      <c r="B4141" s="138">
        <f>'Acct Summary 7-8'!H19</f>
        <v>256284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17155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5755000</v>
      </c>
      <c r="C4171" s="2" t="s">
        <v>573</v>
      </c>
      <c r="D4171" s="2" t="str">
        <f t="shared" si="64"/>
        <v>Error?</v>
      </c>
    </row>
    <row r="4172" spans="1:4" x14ac:dyDescent="0.2">
      <c r="A4172" s="5">
        <v>4111</v>
      </c>
      <c r="B4172" s="138">
        <f>'Short-Term Long-Term Debt 24'!J49</f>
        <v>5672333</v>
      </c>
      <c r="C4172" s="2" t="s">
        <v>573</v>
      </c>
      <c r="D4172" s="2" t="str">
        <f t="shared" si="64"/>
        <v>Error?</v>
      </c>
    </row>
    <row r="4173" spans="1:4" x14ac:dyDescent="0.2">
      <c r="A4173" s="5">
        <v>4112</v>
      </c>
      <c r="B4173" s="138">
        <f>'Short-Term Long-Term Debt 24'!H49</f>
        <v>250000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573</v>
      </c>
      <c r="D4265" s="2" t="str">
        <f t="shared" si="65"/>
        <v>Error?</v>
      </c>
      <c r="E4265" s="128"/>
    </row>
    <row r="4266" spans="1:5" x14ac:dyDescent="0.2">
      <c r="A4266" s="12">
        <v>4205</v>
      </c>
      <c r="B4266" s="138">
        <f>('FP Info 3'!F10)*100000</f>
        <v>575</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2615</v>
      </c>
      <c r="C4268" s="2" t="s">
        <v>573</v>
      </c>
      <c r="D4268" s="2" t="str">
        <f t="shared" si="65"/>
        <v>Error?</v>
      </c>
    </row>
    <row r="4269" spans="1:5" x14ac:dyDescent="0.2">
      <c r="A4269" s="12">
        <v>4208</v>
      </c>
      <c r="B4269" s="138">
        <f>'FP Info 3'!J16</f>
        <v>6245048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1863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7698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19892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43456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136516994</v>
      </c>
      <c r="D4995" s="2" t="str">
        <f t="shared" si="77"/>
        <v>Error?</v>
      </c>
    </row>
    <row r="4996" spans="1:4" x14ac:dyDescent="0.2">
      <c r="A4996" s="12">
        <v>4935</v>
      </c>
      <c r="B4996" s="138">
        <f>'FP Info 3'!H31</f>
        <v>18839345.172000002</v>
      </c>
      <c r="D4996" s="2" t="str">
        <f t="shared" si="77"/>
        <v>Error?</v>
      </c>
    </row>
    <row r="4997" spans="1:4" x14ac:dyDescent="0.2">
      <c r="A4997" s="12">
        <v>4936</v>
      </c>
      <c r="B4997" s="138">
        <f>'FP Info 3'!H37</f>
        <v>5755000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27765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2491058</v>
      </c>
      <c r="D5061" s="2" t="str">
        <f t="shared" si="78"/>
        <v>Error?</v>
      </c>
    </row>
    <row r="5062" spans="1:4" x14ac:dyDescent="0.2">
      <c r="A5062" s="10">
        <v>5001</v>
      </c>
      <c r="D5062" s="2" t="str">
        <f t="shared" si="78"/>
        <v>OK</v>
      </c>
    </row>
    <row r="5063" spans="1:4" x14ac:dyDescent="0.2">
      <c r="A5063" s="5">
        <v>5002</v>
      </c>
      <c r="B5063" s="138">
        <f>'Revenues 9-14'!C7</f>
        <v>54213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2573036</v>
      </c>
      <c r="C5066" s="2" t="s">
        <v>573</v>
      </c>
      <c r="D5066" s="2" t="str">
        <f t="shared" si="78"/>
        <v>Error?</v>
      </c>
    </row>
    <row r="5067" spans="1:4" x14ac:dyDescent="0.2">
      <c r="A5067" s="5">
        <v>5006</v>
      </c>
      <c r="B5067" s="138">
        <f>'Revenues 9-14'!C14</f>
        <v>1013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143650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144663</v>
      </c>
      <c r="C5071" s="2" t="s">
        <v>573</v>
      </c>
      <c r="D5071" s="2" t="str">
        <f t="shared" si="78"/>
        <v>Error?</v>
      </c>
    </row>
    <row r="5072" spans="1:4" x14ac:dyDescent="0.2">
      <c r="A5072" s="5">
        <v>5011</v>
      </c>
      <c r="B5072" s="138">
        <f>'Revenues 9-14'!C20</f>
        <v>41825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41825</v>
      </c>
      <c r="C5087" s="2" t="s">
        <v>573</v>
      </c>
      <c r="D5087" s="2" t="str">
        <f t="shared" si="78"/>
        <v>Error?</v>
      </c>
    </row>
    <row r="5088" spans="1:4" x14ac:dyDescent="0.2">
      <c r="A5088" s="5">
        <v>5027</v>
      </c>
      <c r="B5088" s="138">
        <f>'Revenues 9-14'!C65</f>
        <v>50475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50475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360376</v>
      </c>
      <c r="C5096" s="2" t="s">
        <v>573</v>
      </c>
      <c r="D5096" s="2" t="str">
        <f t="shared" si="78"/>
        <v>Error?</v>
      </c>
    </row>
    <row r="5097" spans="1:4" x14ac:dyDescent="0.2">
      <c r="A5097" s="5">
        <v>5036</v>
      </c>
      <c r="B5097" s="138">
        <f>'Revenues 9-14'!C77</f>
        <v>50837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161744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4122</v>
      </c>
      <c r="D5101" s="2" t="str">
        <f t="shared" si="78"/>
        <v>Error?</v>
      </c>
    </row>
    <row r="5102" spans="1:4" x14ac:dyDescent="0.2">
      <c r="A5102" s="5">
        <v>5041</v>
      </c>
      <c r="B5102" s="138">
        <f>'Revenues 9-14'!C82</f>
        <v>216703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1270</v>
      </c>
      <c r="D5118" s="2" t="str">
        <f t="shared" si="78"/>
        <v>Error?</v>
      </c>
    </row>
    <row r="5119" spans="1:4" x14ac:dyDescent="0.2">
      <c r="A5119" s="5">
        <v>5058</v>
      </c>
      <c r="B5119" s="138">
        <f>'Revenues 9-14'!C107</f>
        <v>43733</v>
      </c>
      <c r="D5119" s="2" t="str">
        <f t="shared" ref="D5119:D5182" si="79">IF(ISBLANK(B5119),"OK",IF(A5119-B5119=0,"OK","Error?"))</f>
        <v>Error?</v>
      </c>
    </row>
    <row r="5120" spans="1:4" x14ac:dyDescent="0.2">
      <c r="A5120" s="5">
        <v>5059</v>
      </c>
      <c r="B5120" s="138">
        <f>'Revenues 9-14'!C108</f>
        <v>69003</v>
      </c>
      <c r="C5120" s="2" t="s">
        <v>573</v>
      </c>
      <c r="D5120" s="2" t="str">
        <f t="shared" si="79"/>
        <v>Error?</v>
      </c>
    </row>
    <row r="5121" spans="1:4" x14ac:dyDescent="0.2">
      <c r="A5121" s="5">
        <v>5060</v>
      </c>
      <c r="B5121" s="138">
        <f>'Revenues 9-14'!C109</f>
        <v>3456081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3201799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3201799</v>
      </c>
      <c r="C5132" s="2" t="s">
        <v>573</v>
      </c>
      <c r="D5132" s="2" t="str">
        <f t="shared" si="79"/>
        <v>Error?</v>
      </c>
    </row>
    <row r="5133" spans="1:4" x14ac:dyDescent="0.2">
      <c r="A5133" s="5">
        <v>5072</v>
      </c>
      <c r="B5133" s="138">
        <f>'Revenues 9-14'!C125</f>
        <v>31146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32436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63582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24697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30624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733</v>
      </c>
      <c r="D5167" s="2" t="str">
        <f t="shared" si="79"/>
        <v>Error?</v>
      </c>
    </row>
    <row r="5168" spans="1:4" x14ac:dyDescent="0.2">
      <c r="A5168" s="5">
        <v>5107</v>
      </c>
      <c r="B5168" s="138">
        <f>'Revenues 9-14'!C148</f>
        <v>15867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154262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3356061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92179</v>
      </c>
      <c r="D5239" s="2" t="str">
        <f t="shared" si="80"/>
        <v>Error?</v>
      </c>
    </row>
    <row r="5240" spans="1:4" x14ac:dyDescent="0.2">
      <c r="A5240" s="5">
        <v>5179</v>
      </c>
      <c r="B5240" s="138">
        <f>'Revenues 9-14'!C192</f>
        <v>170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92349</v>
      </c>
      <c r="C5246" s="2" t="s">
        <v>573</v>
      </c>
      <c r="D5246" s="2" t="str">
        <f t="shared" si="80"/>
        <v>Error?</v>
      </c>
    </row>
    <row r="5247" spans="1:4" x14ac:dyDescent="0.2">
      <c r="A5247" s="5">
        <v>5186</v>
      </c>
      <c r="B5247" s="138">
        <f>'Revenues 9-14'!C200</f>
        <v>109256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109256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75331</v>
      </c>
      <c r="D5278" s="2" t="str">
        <f t="shared" si="81"/>
        <v>Error?</v>
      </c>
    </row>
    <row r="5279" spans="1:4" x14ac:dyDescent="0.2">
      <c r="A5279" s="5">
        <v>5218</v>
      </c>
      <c r="B5279" s="138">
        <f>'Revenues 9-14'!C214</f>
        <v>123079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198410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429468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429468</v>
      </c>
      <c r="C5326" s="2" t="s">
        <v>573</v>
      </c>
      <c r="D5326" s="2" t="str">
        <f t="shared" si="82"/>
        <v>Error?</v>
      </c>
    </row>
    <row r="5327" spans="1:5" x14ac:dyDescent="0.2">
      <c r="A5327" s="5">
        <v>5266</v>
      </c>
      <c r="B5327" s="138">
        <f>'Revenues 9-14'!C268</f>
        <v>7241610</v>
      </c>
      <c r="C5327" s="2" t="s">
        <v>573</v>
      </c>
      <c r="D5327" s="2" t="str">
        <f t="shared" si="82"/>
        <v>Error?</v>
      </c>
    </row>
    <row r="5328" spans="1:5" x14ac:dyDescent="0.2">
      <c r="A5328" s="5">
        <v>5267</v>
      </c>
      <c r="B5328" s="138">
        <f>'Revenues 9-14'!D5</f>
        <v>779293</v>
      </c>
      <c r="D5328" s="2" t="str">
        <f t="shared" si="82"/>
        <v>Error?</v>
      </c>
    </row>
    <row r="5329" spans="1:4" x14ac:dyDescent="0.2">
      <c r="A5329" s="10">
        <v>5268</v>
      </c>
      <c r="D5329" s="2" t="str">
        <f t="shared" si="82"/>
        <v>OK</v>
      </c>
    </row>
    <row r="5330" spans="1:4" x14ac:dyDescent="0.2">
      <c r="A5330" s="5">
        <v>5269</v>
      </c>
      <c r="B5330" s="138">
        <f>'Revenues 9-14'!D6</f>
        <v>40000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819293</v>
      </c>
      <c r="C5334" s="2" t="s">
        <v>573</v>
      </c>
      <c r="D5334" s="2" t="str">
        <f t="shared" si="82"/>
        <v>Error?</v>
      </c>
    </row>
    <row r="5335" spans="1:4" x14ac:dyDescent="0.2">
      <c r="A5335" s="5">
        <v>5274</v>
      </c>
      <c r="B5335" s="138">
        <f>'Revenues 9-14'!D14</f>
        <v>335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335</v>
      </c>
      <c r="C5339" s="2" t="s">
        <v>573</v>
      </c>
      <c r="D5339" s="2" t="str">
        <f t="shared" si="82"/>
        <v>Error?</v>
      </c>
    </row>
    <row r="5340" spans="1:4" x14ac:dyDescent="0.2">
      <c r="A5340" s="5">
        <v>5279</v>
      </c>
      <c r="B5340" s="138">
        <f>'Revenues 9-14'!D65</f>
        <v>23959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23959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7863</v>
      </c>
      <c r="D5354" s="2" t="str">
        <f t="shared" si="82"/>
        <v>Error?</v>
      </c>
    </row>
    <row r="5355" spans="1:4" x14ac:dyDescent="0.2">
      <c r="A5355" s="5">
        <v>5294</v>
      </c>
      <c r="B5355" s="138">
        <f>'Revenues 9-14'!D108</f>
        <v>7863</v>
      </c>
      <c r="C5355" s="2" t="s">
        <v>573</v>
      </c>
      <c r="D5355" s="2" t="str">
        <f t="shared" si="82"/>
        <v>Error?</v>
      </c>
    </row>
    <row r="5356" spans="1:4" x14ac:dyDescent="0.2">
      <c r="A5356" s="5">
        <v>5295</v>
      </c>
      <c r="B5356" s="138">
        <f>'Revenues 9-14'!D109</f>
        <v>851450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851450</v>
      </c>
      <c r="C5508" s="2" t="s">
        <v>573</v>
      </c>
      <c r="D5508" s="2" t="str">
        <f t="shared" si="85"/>
        <v>Error?</v>
      </c>
    </row>
    <row r="5509" spans="1:4" x14ac:dyDescent="0.2">
      <c r="A5509" s="5">
        <v>5448</v>
      </c>
      <c r="B5509" s="138">
        <f>'Revenues 9-14'!E5</f>
        <v>403472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403472</v>
      </c>
      <c r="C5513" s="2" t="s">
        <v>573</v>
      </c>
      <c r="D5513" s="2" t="str">
        <f t="shared" si="85"/>
        <v>Error?</v>
      </c>
    </row>
    <row r="5514" spans="1:4" x14ac:dyDescent="0.2">
      <c r="A5514" s="5">
        <v>5453</v>
      </c>
      <c r="B5514" s="138">
        <f>'Revenues 9-14'!E14</f>
        <v>160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160</v>
      </c>
      <c r="C5518" s="2" t="s">
        <v>573</v>
      </c>
      <c r="D5518" s="2" t="str">
        <f t="shared" si="85"/>
        <v>Error?</v>
      </c>
    </row>
    <row r="5519" spans="1:4" x14ac:dyDescent="0.2">
      <c r="A5519" s="5">
        <v>5458</v>
      </c>
      <c r="B5519" s="138">
        <f>'Revenues 9-14'!E65</f>
        <v>1654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1654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405286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405286</v>
      </c>
      <c r="C5552" s="2" t="s">
        <v>573</v>
      </c>
      <c r="D5552" s="2" t="str">
        <f t="shared" si="85"/>
        <v>Error?</v>
      </c>
    </row>
    <row r="5553" spans="1:4" x14ac:dyDescent="0.2">
      <c r="A5553" s="5">
        <v>5492</v>
      </c>
      <c r="B5553" s="138">
        <f>'Revenues 9-14'!F5</f>
        <v>271060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271060</v>
      </c>
      <c r="C5557" s="2" t="s">
        <v>573</v>
      </c>
      <c r="D5557" s="2" t="str">
        <f t="shared" si="85"/>
        <v>Error?</v>
      </c>
    </row>
    <row r="5558" spans="1:4" x14ac:dyDescent="0.2">
      <c r="A5558" s="5">
        <v>5497</v>
      </c>
      <c r="B5558" s="138">
        <f>'Revenues 9-14'!F14</f>
        <v>108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10101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10101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5499</v>
      </c>
      <c r="D5586" s="2" t="str">
        <f t="shared" si="86"/>
        <v>Error?</v>
      </c>
    </row>
    <row r="5587" spans="1:4" x14ac:dyDescent="0.2">
      <c r="A5587" s="5">
        <v>5526</v>
      </c>
      <c r="B5587" s="138">
        <f>'Revenues 9-14'!F108</f>
        <v>5499</v>
      </c>
      <c r="C5587" s="2" t="s">
        <v>573</v>
      </c>
      <c r="D5587" s="2" t="str">
        <f t="shared" si="86"/>
        <v>Error?</v>
      </c>
    </row>
    <row r="5588" spans="1:4" x14ac:dyDescent="0.2">
      <c r="A5588" s="5">
        <v>5527</v>
      </c>
      <c r="B5588" s="138">
        <f>'Revenues 9-14'!F109</f>
        <v>286768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199179</v>
      </c>
      <c r="D5615" s="2" t="str">
        <f t="shared" si="86"/>
        <v>Error?</v>
      </c>
    </row>
    <row r="5616" spans="1:4" x14ac:dyDescent="0.2">
      <c r="A5616" s="10">
        <v>5555</v>
      </c>
      <c r="D5616" s="2" t="str">
        <f t="shared" si="86"/>
        <v>OK</v>
      </c>
    </row>
    <row r="5617" spans="1:5" x14ac:dyDescent="0.2">
      <c r="A5617" s="5">
        <v>5556</v>
      </c>
      <c r="B5617" s="138">
        <f>'Revenues 9-14'!F153</f>
        <v>49110</v>
      </c>
      <c r="D5617" s="2" t="str">
        <f t="shared" si="86"/>
        <v>Error?</v>
      </c>
    </row>
    <row r="5618" spans="1:5" x14ac:dyDescent="0.2">
      <c r="A5618" s="5">
        <v>5557</v>
      </c>
      <c r="B5618" s="138">
        <f>'Revenues 9-14'!F155</f>
        <v>248289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248289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248289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535057</v>
      </c>
      <c r="C5720" s="2" t="s">
        <v>573</v>
      </c>
      <c r="D5720" s="2" t="str">
        <f t="shared" si="88"/>
        <v>Error?</v>
      </c>
    </row>
    <row r="5721" spans="1:4" x14ac:dyDescent="0.2">
      <c r="A5721" s="5">
        <v>5660</v>
      </c>
      <c r="B5721" s="138">
        <f>'Revenues 9-14'!G5</f>
        <v>140476</v>
      </c>
      <c r="D5721" s="2" t="str">
        <f t="shared" si="88"/>
        <v>Error?</v>
      </c>
    </row>
    <row r="5722" spans="1:4" x14ac:dyDescent="0.2">
      <c r="A5722" s="5">
        <v>5661</v>
      </c>
      <c r="B5722" s="138">
        <f>'Revenues 9-14'!G7</f>
        <v>0</v>
      </c>
      <c r="D5722" s="2" t="str">
        <f t="shared" si="88"/>
        <v>Error?</v>
      </c>
    </row>
    <row r="5723" spans="1:4" x14ac:dyDescent="0.2">
      <c r="A5723" s="5">
        <v>5662</v>
      </c>
      <c r="B5723" s="138">
        <f>'Revenues 9-14'!G8</f>
        <v>140476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280952</v>
      </c>
      <c r="C5725" s="2" t="s">
        <v>573</v>
      </c>
      <c r="D5725" s="2" t="str">
        <f t="shared" si="88"/>
        <v>Error?</v>
      </c>
    </row>
    <row r="5726" spans="1:4" x14ac:dyDescent="0.2">
      <c r="A5726" s="5">
        <v>5665</v>
      </c>
      <c r="B5726" s="138">
        <f>'Revenues 9-14'!G14</f>
        <v>111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15961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16072</v>
      </c>
      <c r="C5730" s="2" t="s">
        <v>573</v>
      </c>
      <c r="D5730" s="2" t="str">
        <f t="shared" si="88"/>
        <v>Error?</v>
      </c>
    </row>
    <row r="5731" spans="1:4" x14ac:dyDescent="0.2">
      <c r="A5731" s="5">
        <v>5670</v>
      </c>
      <c r="B5731" s="138">
        <f>'Revenues 9-14'!G65</f>
        <v>4881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4881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301905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11731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11731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29545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41276</v>
      </c>
      <c r="C5915" s="2" t="s">
        <v>573</v>
      </c>
      <c r="D5915" s="2" t="str">
        <f t="shared" si="91"/>
        <v>Error?</v>
      </c>
    </row>
    <row r="5916" spans="1:4" x14ac:dyDescent="0.2">
      <c r="A5916" s="5">
        <v>5855</v>
      </c>
      <c r="B5916" s="138">
        <f>'Revenues 9-14'!I5</f>
        <v>67765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67765</v>
      </c>
      <c r="C5918" s="2" t="s">
        <v>573</v>
      </c>
      <c r="D5918" s="2" t="str">
        <f t="shared" si="91"/>
        <v>Error?</v>
      </c>
    </row>
    <row r="5919" spans="1:4" x14ac:dyDescent="0.2">
      <c r="A5919" s="5">
        <v>5858</v>
      </c>
      <c r="B5919" s="138">
        <f>'Revenues 9-14'!I14</f>
        <v>27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27</v>
      </c>
      <c r="C5923" s="2" t="s">
        <v>573</v>
      </c>
      <c r="D5923" s="2" t="str">
        <f t="shared" si="91"/>
        <v>Error?</v>
      </c>
    </row>
    <row r="5924" spans="1:4" x14ac:dyDescent="0.2">
      <c r="A5924" s="5">
        <v>5863</v>
      </c>
      <c r="B5924" s="138">
        <f>'Revenues 9-14'!I65</f>
        <v>12769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12769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80561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67765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67765</v>
      </c>
      <c r="C5987" s="2" t="s">
        <v>573</v>
      </c>
      <c r="D5987" s="2" t="str">
        <f t="shared" si="92"/>
        <v>Error?</v>
      </c>
    </row>
    <row r="5988" spans="1:4" x14ac:dyDescent="0.2">
      <c r="A5988" s="5">
        <v>5927</v>
      </c>
      <c r="B5988" s="138">
        <f>'Revenues 9-14'!K14</f>
        <v>27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27</v>
      </c>
      <c r="C5992" s="2" t="s">
        <v>573</v>
      </c>
      <c r="D5992" s="2" t="str">
        <f t="shared" si="92"/>
        <v>Error?</v>
      </c>
    </row>
    <row r="5993" spans="1:4" x14ac:dyDescent="0.2">
      <c r="A5993" s="5">
        <v>5932</v>
      </c>
      <c r="B5993" s="138">
        <f>'Revenues 9-14'!K65</f>
        <v>8139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8139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75931</v>
      </c>
      <c r="C6023" s="2" t="s">
        <v>573</v>
      </c>
      <c r="D6023" s="2" t="str">
        <f t="shared" si="93"/>
        <v>Error?</v>
      </c>
    </row>
    <row r="6024" spans="1:5" x14ac:dyDescent="0.2">
      <c r="A6024" s="5">
        <v>5963</v>
      </c>
      <c r="B6024" s="138">
        <f>'Revenues 9-14'!G109</f>
        <v>301905</v>
      </c>
      <c r="C6024" s="2" t="s">
        <v>573</v>
      </c>
      <c r="D6024" s="2" t="str">
        <f t="shared" si="93"/>
        <v>Error?</v>
      </c>
    </row>
    <row r="6025" spans="1:5" x14ac:dyDescent="0.2">
      <c r="A6025" s="5">
        <v>5964</v>
      </c>
      <c r="B6025" s="138">
        <f>'Revenues 9-14'!H109</f>
        <v>41276</v>
      </c>
      <c r="C6025" s="2" t="s">
        <v>573</v>
      </c>
      <c r="D6025" s="2" t="str">
        <f t="shared" si="93"/>
        <v>Error?</v>
      </c>
    </row>
    <row r="6026" spans="1:5" x14ac:dyDescent="0.2">
      <c r="A6026" s="5">
        <v>5965</v>
      </c>
      <c r="B6026" s="138">
        <f>'Revenues 9-14'!I109</f>
        <v>80561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75931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360376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55514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1005.437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262982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262982</v>
      </c>
      <c r="D6215" s="2" t="str">
        <f t="shared" si="96"/>
        <v>Error?</v>
      </c>
      <c r="E6215" s="2" t="s">
        <v>190</v>
      </c>
    </row>
    <row r="6216" spans="1:5" x14ac:dyDescent="0.2">
      <c r="A6216">
        <v>6155</v>
      </c>
      <c r="B6216" s="138">
        <f>'Assets-Liab 5-6'!J41</f>
        <v>262982</v>
      </c>
      <c r="D6216" s="2" t="str">
        <f t="shared" si="96"/>
        <v>Error?</v>
      </c>
      <c r="E6216" s="2" t="s">
        <v>190</v>
      </c>
    </row>
    <row r="6217" spans="1:5" x14ac:dyDescent="0.2">
      <c r="A6217">
        <v>6156</v>
      </c>
      <c r="B6217" s="138">
        <f>'Assets-Liab 5-6'!J4</f>
        <v>262982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365766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365766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365766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354904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354904</v>
      </c>
      <c r="D6229" s="2" t="str">
        <f t="shared" si="96"/>
        <v>Error?</v>
      </c>
      <c r="E6229" s="2" t="s">
        <v>190</v>
      </c>
    </row>
    <row r="6230" spans="1:5" x14ac:dyDescent="0.2">
      <c r="A6230">
        <v>6169</v>
      </c>
      <c r="B6230" s="138">
        <f>'Acct Summary 7-8'!J20</f>
        <v>10862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10862</v>
      </c>
      <c r="D6263" s="2" t="str">
        <f t="shared" si="96"/>
        <v>Error?</v>
      </c>
      <c r="E6263" s="2" t="s">
        <v>190</v>
      </c>
    </row>
    <row r="6264" spans="1:5" x14ac:dyDescent="0.2">
      <c r="A6264">
        <v>6203</v>
      </c>
      <c r="B6264" s="138">
        <f>'Acct Summary 7-8'!J79</f>
        <v>252120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262982</v>
      </c>
      <c r="D6266" s="2" t="str">
        <f t="shared" si="96"/>
        <v>Error?</v>
      </c>
      <c r="E6266" s="2" t="s">
        <v>190</v>
      </c>
    </row>
    <row r="6267" spans="1:5" x14ac:dyDescent="0.2">
      <c r="A6267">
        <v>6206</v>
      </c>
      <c r="B6267" s="138">
        <f>'Acct Summary 7-8'!C82</f>
        <v>579423</v>
      </c>
      <c r="D6267" s="2" t="str">
        <f t="shared" si="96"/>
        <v>Error?</v>
      </c>
      <c r="E6267" s="2" t="s">
        <v>190</v>
      </c>
    </row>
    <row r="6268" spans="1:5" x14ac:dyDescent="0.2">
      <c r="A6268">
        <v>6207</v>
      </c>
      <c r="B6268" s="138">
        <f>'Acct Summary 7-8'!D82</f>
        <v>-2681</v>
      </c>
      <c r="D6268" s="2" t="str">
        <f t="shared" si="96"/>
        <v>Error?</v>
      </c>
      <c r="E6268" s="2" t="s">
        <v>190</v>
      </c>
    </row>
    <row r="6269" spans="1:5" x14ac:dyDescent="0.2">
      <c r="A6269">
        <v>6208</v>
      </c>
      <c r="B6269" s="138">
        <f>'Acct Summary 7-8'!E82</f>
        <v>2678</v>
      </c>
      <c r="D6269" s="2" t="str">
        <f t="shared" si="96"/>
        <v>Error?</v>
      </c>
      <c r="E6269" s="2" t="s">
        <v>190</v>
      </c>
    </row>
    <row r="6270" spans="1:5" x14ac:dyDescent="0.2">
      <c r="A6270">
        <v>6209</v>
      </c>
      <c r="B6270" s="138">
        <f>'Acct Summary 7-8'!F82</f>
        <v>54890</v>
      </c>
      <c r="D6270" s="2" t="str">
        <f t="shared" si="96"/>
        <v>Error?</v>
      </c>
      <c r="E6270" s="2" t="s">
        <v>190</v>
      </c>
    </row>
    <row r="6271" spans="1:5" x14ac:dyDescent="0.2">
      <c r="A6271">
        <v>6210</v>
      </c>
      <c r="B6271" s="138">
        <f>'Acct Summary 7-8'!G82</f>
        <v>25233</v>
      </c>
      <c r="D6271" s="2" t="str">
        <f t="shared" ref="D6271:D6334" si="97">IF(ISBLANK(B6271),"OK",IF(A6271-B6271=0,"OK","Error?"))</f>
        <v>Error?</v>
      </c>
      <c r="E6271" s="2" t="s">
        <v>190</v>
      </c>
    </row>
    <row r="6272" spans="1:5" x14ac:dyDescent="0.2">
      <c r="A6272">
        <v>6211</v>
      </c>
      <c r="B6272" s="138">
        <f>'Acct Summary 7-8'!H82</f>
        <v>2253559</v>
      </c>
      <c r="D6272" s="2" t="str">
        <f t="shared" si="97"/>
        <v>Error?</v>
      </c>
      <c r="E6272" s="2" t="s">
        <v>190</v>
      </c>
    </row>
    <row r="6273" spans="1:5" x14ac:dyDescent="0.2">
      <c r="A6273">
        <v>6212</v>
      </c>
      <c r="B6273" s="138">
        <f>'Acct Summary 7-8'!I82</f>
        <v>15804</v>
      </c>
      <c r="D6273" s="2" t="str">
        <f t="shared" si="97"/>
        <v>Error?</v>
      </c>
      <c r="E6273" s="2" t="s">
        <v>190</v>
      </c>
    </row>
    <row r="6274" spans="1:5" x14ac:dyDescent="0.2">
      <c r="A6274">
        <v>6213</v>
      </c>
      <c r="B6274" s="138">
        <f>'Acct Summary 7-8'!J82</f>
        <v>10862</v>
      </c>
      <c r="D6274" s="2" t="str">
        <f t="shared" si="97"/>
        <v>Error?</v>
      </c>
      <c r="E6274" s="2" t="s">
        <v>190</v>
      </c>
    </row>
    <row r="6275" spans="1:5" x14ac:dyDescent="0.2">
      <c r="A6275">
        <v>6214</v>
      </c>
      <c r="B6275" s="138">
        <f>'Acct Summary 7-8'!K82</f>
        <v>58776</v>
      </c>
      <c r="D6275" s="2" t="str">
        <f t="shared" si="97"/>
        <v>Error?</v>
      </c>
      <c r="E6275" s="2" t="s">
        <v>190</v>
      </c>
    </row>
    <row r="6276" spans="1:5" x14ac:dyDescent="0.2">
      <c r="A6276">
        <v>6215</v>
      </c>
      <c r="B6276" s="138">
        <f>'Acct Summary 7-8'!C83</f>
        <v>0.19585165214963499</v>
      </c>
      <c r="D6276" s="2" t="str">
        <f t="shared" si="97"/>
        <v>Error?</v>
      </c>
      <c r="E6276" s="2" t="s">
        <v>190</v>
      </c>
    </row>
    <row r="6277" spans="1:5" x14ac:dyDescent="0.2">
      <c r="A6277">
        <v>6216</v>
      </c>
      <c r="B6277" s="138">
        <f>'Acct Summary 7-8'!D83</f>
        <v>-1.6600362223494992E-3</v>
      </c>
      <c r="D6277" s="2" t="str">
        <f t="shared" si="97"/>
        <v>Error?</v>
      </c>
      <c r="E6277" s="2" t="s">
        <v>190</v>
      </c>
    </row>
    <row r="6278" spans="1:5" x14ac:dyDescent="0.2">
      <c r="A6278">
        <v>6217</v>
      </c>
      <c r="B6278" s="138">
        <f>'Acct Summary 7-8'!E83</f>
        <v>3.2395030665198929E-2</v>
      </c>
      <c r="D6278" s="2" t="str">
        <f t="shared" si="97"/>
        <v>Error?</v>
      </c>
      <c r="E6278" s="2" t="s">
        <v>190</v>
      </c>
    </row>
    <row r="6279" spans="1:5" x14ac:dyDescent="0.2">
      <c r="A6279">
        <v>6218</v>
      </c>
      <c r="B6279" s="138">
        <f>'Acct Summary 7-8'!F83</f>
        <v>6.4406059731369592E-2</v>
      </c>
      <c r="D6279" s="2" t="str">
        <f t="shared" si="97"/>
        <v>Error?</v>
      </c>
      <c r="E6279" s="2" t="s">
        <v>190</v>
      </c>
    </row>
    <row r="6280" spans="1:5" x14ac:dyDescent="0.2">
      <c r="A6280">
        <v>6219</v>
      </c>
      <c r="B6280" s="138">
        <f>'Acct Summary 7-8'!G83</f>
        <v>7.7359364030179747E-2</v>
      </c>
      <c r="D6280" s="2" t="str">
        <f t="shared" si="97"/>
        <v>Error?</v>
      </c>
      <c r="E6280" s="2" t="s">
        <v>190</v>
      </c>
    </row>
    <row r="6281" spans="1:5" x14ac:dyDescent="0.2">
      <c r="A6281">
        <v>6220</v>
      </c>
      <c r="B6281" s="138">
        <f>'Acct Summary 7-8'!H83</f>
        <v>0.98612158274168316</v>
      </c>
      <c r="D6281" s="2" t="str">
        <f t="shared" si="97"/>
        <v>Error?</v>
      </c>
      <c r="E6281" s="2" t="s">
        <v>190</v>
      </c>
    </row>
    <row r="6282" spans="1:5" x14ac:dyDescent="0.2">
      <c r="A6282">
        <v>6221</v>
      </c>
      <c r="B6282" s="138">
        <f>'Acct Summary 7-8'!I83</f>
        <v>1.9289755216375055E-2</v>
      </c>
      <c r="D6282" s="2" t="str">
        <f t="shared" si="97"/>
        <v>Error?</v>
      </c>
      <c r="E6282" s="2" t="s">
        <v>190</v>
      </c>
    </row>
    <row r="6283" spans="1:5" x14ac:dyDescent="0.2">
      <c r="A6283">
        <v>6222</v>
      </c>
      <c r="B6283" s="138">
        <f>'Acct Summary 7-8'!J83</f>
        <v>4.1303207063601313E-2</v>
      </c>
      <c r="D6283" s="2" t="str">
        <f t="shared" si="97"/>
        <v>Error?</v>
      </c>
      <c r="E6283" s="2" t="s">
        <v>190</v>
      </c>
    </row>
    <row r="6284" spans="1:5" x14ac:dyDescent="0.2">
      <c r="A6284">
        <v>6223</v>
      </c>
      <c r="B6284" s="138">
        <f>'Acct Summary 7-8'!K83</f>
        <v>0.10351131164343756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361219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361219</v>
      </c>
      <c r="D6301" s="2" t="str">
        <f t="shared" si="97"/>
        <v>Error?</v>
      </c>
      <c r="E6301" s="2" t="s">
        <v>190</v>
      </c>
    </row>
    <row r="6302" spans="1:5" x14ac:dyDescent="0.2">
      <c r="A6302">
        <v>6241</v>
      </c>
      <c r="B6302" s="138">
        <f>'Revenues 9-14'!J14</f>
        <v>143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143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3969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3969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24000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435</v>
      </c>
      <c r="D6350" s="2" t="str">
        <f t="shared" si="98"/>
        <v>Error?</v>
      </c>
      <c r="E6350" s="2" t="s">
        <v>190</v>
      </c>
    </row>
    <row r="6351" spans="1:5" x14ac:dyDescent="0.2">
      <c r="A6351">
        <v>6290</v>
      </c>
      <c r="B6351" s="138">
        <f>'Revenues 9-14'!J108</f>
        <v>435</v>
      </c>
      <c r="D6351" s="2" t="str">
        <f t="shared" si="98"/>
        <v>Error?</v>
      </c>
      <c r="E6351" s="2" t="s">
        <v>190</v>
      </c>
    </row>
    <row r="6352" spans="1:5" x14ac:dyDescent="0.2">
      <c r="A6352">
        <v>6291</v>
      </c>
      <c r="B6352" s="138">
        <f>'Revenues 9-14'!J109</f>
        <v>365766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5927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39788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42838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31182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163454</v>
      </c>
      <c r="D6983" s="2" t="str">
        <f t="shared" si="108"/>
        <v>Error?</v>
      </c>
    </row>
    <row r="6984" spans="1:4" x14ac:dyDescent="0.2">
      <c r="A6984">
        <v>6923</v>
      </c>
      <c r="B6984" s="138">
        <f>'Expenditures 15-22'!K86</f>
        <v>163454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40225</v>
      </c>
      <c r="D6987" s="2" t="str">
        <f t="shared" si="108"/>
        <v>Error?</v>
      </c>
    </row>
    <row r="6988" spans="1:4" x14ac:dyDescent="0.2">
      <c r="A6988">
        <v>6927</v>
      </c>
      <c r="B6988" s="138">
        <f>'Expenditures 15-22'!K88</f>
        <v>40225</v>
      </c>
      <c r="D6988" s="2" t="str">
        <f t="shared" si="108"/>
        <v>Error?</v>
      </c>
    </row>
    <row r="6989" spans="1:4" x14ac:dyDescent="0.2">
      <c r="A6989">
        <v>6928</v>
      </c>
      <c r="B6989" s="138">
        <f>'Expenditures 15-22'!H89</f>
        <v>7675</v>
      </c>
      <c r="D6989" s="2" t="str">
        <f t="shared" si="108"/>
        <v>Error?</v>
      </c>
    </row>
    <row r="6990" spans="1:4" x14ac:dyDescent="0.2">
      <c r="A6990">
        <v>6929</v>
      </c>
      <c r="B6990" s="138">
        <f>'Expenditures 15-22'!K89</f>
        <v>7675</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211354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354904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365766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2648</v>
      </c>
      <c r="D7073" s="2" t="str">
        <f t="shared" si="109"/>
        <v>Error?</v>
      </c>
    </row>
    <row r="7074" spans="1:4" x14ac:dyDescent="0.2">
      <c r="A7074">
        <v>7013</v>
      </c>
      <c r="B7074" s="138">
        <f>'Expenditures 15-22'!K216</f>
        <v>2648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387</v>
      </c>
      <c r="D7079" s="2" t="str">
        <f t="shared" si="109"/>
        <v>Error?</v>
      </c>
    </row>
    <row r="7080" spans="1:4" x14ac:dyDescent="0.2">
      <c r="A7080">
        <v>7019</v>
      </c>
      <c r="B7080" s="138">
        <f>'Expenditures 15-22'!K226</f>
        <v>387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36371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36371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62693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62693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158000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78497</v>
      </c>
      <c r="D7174" s="2" t="str">
        <f t="shared" si="111"/>
        <v>Error?</v>
      </c>
    </row>
    <row r="7175" spans="1:4" x14ac:dyDescent="0.2">
      <c r="A7175">
        <v>7114</v>
      </c>
      <c r="B7175" s="138">
        <f>'Expenditures 15-22'!F325</f>
        <v>3601</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240098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15742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15742</v>
      </c>
      <c r="D7198" s="2" t="str">
        <f t="shared" si="111"/>
        <v>Error?</v>
      </c>
    </row>
    <row r="7199" spans="1:4" x14ac:dyDescent="0.2">
      <c r="A7199">
        <v>7138</v>
      </c>
      <c r="B7199" s="138">
        <f>'Expenditures 15-22'!C330</f>
        <v>158000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193303</v>
      </c>
      <c r="D7201" s="2" t="str">
        <f t="shared" si="111"/>
        <v>Error?</v>
      </c>
    </row>
    <row r="7202" spans="1:4" x14ac:dyDescent="0.2">
      <c r="A7202">
        <v>7141</v>
      </c>
      <c r="B7202" s="138">
        <f>'Expenditures 15-22'!F330</f>
        <v>3601</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354904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158000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193303</v>
      </c>
      <c r="D7218" s="2" t="str">
        <f t="shared" si="111"/>
        <v>Error?</v>
      </c>
    </row>
    <row r="7219" spans="1:4" x14ac:dyDescent="0.2">
      <c r="A7219">
        <v>7158</v>
      </c>
      <c r="B7219" s="138">
        <f>'Expenditures 15-22'!F342</f>
        <v>3601</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354904</v>
      </c>
      <c r="D7224" s="2" t="str">
        <f t="shared" si="111"/>
        <v>Error?</v>
      </c>
    </row>
    <row r="7225" spans="1:4" x14ac:dyDescent="0.2">
      <c r="A7225">
        <v>7164</v>
      </c>
      <c r="B7225" s="138">
        <f>'Expenditures 15-22'!K343</f>
        <v>10862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406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2644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28197</v>
      </c>
      <c r="D7263" s="2" t="str">
        <f t="shared" si="112"/>
        <v>Error?</v>
      </c>
    </row>
    <row r="7264" spans="1:4" x14ac:dyDescent="0.2">
      <c r="A7264">
        <f t="shared" si="113"/>
        <v>7203</v>
      </c>
      <c r="B7264" s="138">
        <f>'Expenditures 15-22'!D17</f>
        <v>2985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650754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31716</v>
      </c>
      <c r="D7708" s="2" t="str">
        <f t="shared" si="126"/>
        <v>Error?</v>
      </c>
      <c r="E7708" s="2" t="s">
        <v>827</v>
      </c>
    </row>
    <row r="7709" spans="1:5" x14ac:dyDescent="0.2">
      <c r="A7709">
        <v>7648</v>
      </c>
      <c r="B7709" s="138">
        <f>'Rest Tax Levies-Tort Im 25'!K3</f>
        <v>-200597</v>
      </c>
      <c r="D7709" s="2" t="str">
        <f t="shared" si="126"/>
        <v>Error?</v>
      </c>
      <c r="E7709" s="2" t="s">
        <v>827</v>
      </c>
    </row>
    <row r="7710" spans="1:5" x14ac:dyDescent="0.2">
      <c r="A7710">
        <v>7649</v>
      </c>
      <c r="B7710" s="138">
        <f>'Rest Tax Levies-Tort Im 25'!J6</f>
        <v>380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29545</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29925</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54213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29545</v>
      </c>
      <c r="D7731" s="2" t="str">
        <f t="shared" si="126"/>
        <v>Error?</v>
      </c>
      <c r="E7731" s="2" t="s">
        <v>827</v>
      </c>
    </row>
    <row r="7732" spans="1:6" x14ac:dyDescent="0.2">
      <c r="A7732">
        <v>7671</v>
      </c>
      <c r="B7732" s="138">
        <f>'Rest Tax Levies-Tort Im 25'!J24</f>
        <v>61641</v>
      </c>
      <c r="D7732" s="2" t="str">
        <f t="shared" si="126"/>
        <v>Error?</v>
      </c>
      <c r="E7732" s="2" t="s">
        <v>827</v>
      </c>
    </row>
    <row r="7733" spans="1:6" x14ac:dyDescent="0.2">
      <c r="A7733">
        <v>7672</v>
      </c>
      <c r="B7733" s="138">
        <f>'Rest Tax Levies-Tort Im 25'!K24</f>
        <v>-200597</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61641</v>
      </c>
      <c r="D7742" s="2" t="str">
        <f t="shared" si="126"/>
        <v>Error?</v>
      </c>
      <c r="E7742" s="2" t="s">
        <v>827</v>
      </c>
    </row>
    <row r="7743" spans="1:6" x14ac:dyDescent="0.2">
      <c r="A7743">
        <v>7682</v>
      </c>
      <c r="B7743" s="138">
        <f>'Rest Tax Levies-Tort Im 25'!K26</f>
        <v>-200597</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64757</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113118</v>
      </c>
      <c r="D7797" s="2" t="str">
        <f t="shared" si="127"/>
        <v>Error?</v>
      </c>
      <c r="E7797" s="4" t="s">
        <v>1904</v>
      </c>
    </row>
    <row r="7798" spans="1:5" x14ac:dyDescent="0.2">
      <c r="A7798">
        <v>7737</v>
      </c>
      <c r="B7798" s="138">
        <f>'Contracts Paid in CY 29'!F141</f>
        <v>98118</v>
      </c>
      <c r="D7798" s="2" t="str">
        <f t="shared" si="127"/>
        <v>Error?</v>
      </c>
      <c r="E7798" s="4" t="s">
        <v>1904</v>
      </c>
    </row>
    <row r="7799" spans="1:5" x14ac:dyDescent="0.2">
      <c r="A7799">
        <v>7738</v>
      </c>
      <c r="B7799" s="138">
        <f>'Contracts Paid in CY 29'!G141</f>
        <v>15000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t="str">
        <f>'Revenues 9-14'!H120</f>
        <v xml:space="preserve">to </v>
      </c>
      <c r="D7806" s="2" t="e">
        <f t="shared" si="127"/>
        <v>#VALUE!</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1989</v>
      </c>
      <c r="B4" s="2425"/>
      <c r="C4" s="2425"/>
      <c r="D4" s="2425"/>
      <c r="E4" s="2425"/>
      <c r="F4" s="2425"/>
      <c r="G4" s="2425"/>
      <c r="H4" s="2425"/>
      <c r="I4" s="2425"/>
      <c r="J4" s="2425"/>
      <c r="K4" s="2425"/>
      <c r="L4" s="2425"/>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88" t="str">
        <f>COVER!A17</f>
        <v>Teutopolis CUSD 50</v>
      </c>
      <c r="B7" s="2389"/>
      <c r="C7" s="2389"/>
      <c r="D7" s="2426"/>
      <c r="E7" s="2427">
        <f>COVER!A13</f>
        <v>3025050026</v>
      </c>
      <c r="F7" s="2428"/>
      <c r="G7" s="2395" t="str">
        <f>COVER!T23</f>
        <v>066-004976</v>
      </c>
      <c r="H7" s="2396"/>
      <c r="I7" s="2396"/>
      <c r="J7" s="2396"/>
      <c r="K7" s="2396"/>
      <c r="L7" s="2397"/>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398"/>
      <c r="B9" s="2399"/>
      <c r="C9" s="2399"/>
      <c r="D9" s="2399"/>
      <c r="E9" s="2399"/>
      <c r="F9" s="2400"/>
      <c r="G9" s="2401" t="str">
        <f>COVER!T13</f>
        <v>Glass &amp; Shuffett, Ltd.</v>
      </c>
      <c r="H9" s="2402"/>
      <c r="I9" s="2402"/>
      <c r="J9" s="2402"/>
      <c r="K9" s="2402"/>
      <c r="L9" s="2403"/>
    </row>
    <row r="10" spans="1:29" ht="13.5" customHeight="1" x14ac:dyDescent="0.2">
      <c r="A10" s="2385" t="str">
        <f>COVER!A38</f>
        <v>Deborah Philpot</v>
      </c>
      <c r="B10" s="2386"/>
      <c r="C10" s="2386"/>
      <c r="D10" s="2386"/>
      <c r="E10" s="2386"/>
      <c r="F10" s="2387"/>
      <c r="G10" s="2401" t="str">
        <f>COVER!T17</f>
        <v>1819 W McCord, PO Box 489</v>
      </c>
      <c r="H10" s="2414"/>
      <c r="I10" s="2414"/>
      <c r="J10" s="2414"/>
      <c r="K10" s="2414"/>
      <c r="L10" s="2415"/>
    </row>
    <row r="11" spans="1:29" ht="13.5" customHeight="1" x14ac:dyDescent="0.2">
      <c r="A11" s="1182" t="s">
        <v>1519</v>
      </c>
      <c r="B11" s="1183"/>
      <c r="C11" s="1184"/>
      <c r="D11" s="1189"/>
      <c r="E11" s="1184"/>
      <c r="F11" s="1188"/>
      <c r="G11" s="2401" t="str">
        <f>COVER!T19</f>
        <v>Centralia</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gandscpa@sbcglobal.net</v>
      </c>
      <c r="J13" s="2423"/>
      <c r="K13" s="2423"/>
      <c r="L13" s="2424"/>
    </row>
    <row r="14" spans="1:29" ht="13.5" customHeight="1" x14ac:dyDescent="0.2">
      <c r="A14" s="2401" t="str">
        <f>COVER!A19</f>
        <v>801 West Main</v>
      </c>
      <c r="B14" s="2414"/>
      <c r="C14" s="2414"/>
      <c r="D14" s="2414"/>
      <c r="E14" s="2414"/>
      <c r="F14" s="2415"/>
      <c r="G14" s="1193" t="s">
        <v>1185</v>
      </c>
      <c r="H14" s="1191"/>
      <c r="I14" s="1191"/>
      <c r="J14" s="1191"/>
      <c r="K14" s="1191"/>
      <c r="L14" s="1192"/>
    </row>
    <row r="15" spans="1:29" ht="13.5" customHeight="1" x14ac:dyDescent="0.2">
      <c r="A15" s="2401" t="str">
        <f>COVER!A21</f>
        <v>Teutopolis</v>
      </c>
      <c r="B15" s="2414"/>
      <c r="C15" s="2414"/>
      <c r="D15" s="2414"/>
      <c r="E15" s="2414"/>
      <c r="F15" s="2415"/>
      <c r="G15" s="2411" t="str">
        <f>COVER!T15</f>
        <v>Bo V. Thomas, CPA</v>
      </c>
      <c r="H15" s="2412"/>
      <c r="I15" s="2412"/>
      <c r="J15" s="2412"/>
      <c r="K15" s="2412"/>
      <c r="L15" s="2413"/>
    </row>
    <row r="16" spans="1:29" ht="12.2" customHeight="1" x14ac:dyDescent="0.2">
      <c r="A16" s="2391">
        <f>COVER!A25</f>
        <v>62476</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3" t="s">
        <v>1184</v>
      </c>
      <c r="H17" s="1191"/>
      <c r="I17" s="1191"/>
      <c r="J17" s="1191"/>
      <c r="K17" s="1195" t="s">
        <v>1183</v>
      </c>
      <c r="L17" s="1188"/>
      <c r="M17" s="1181"/>
    </row>
    <row r="18" spans="1:13" ht="12.2" customHeight="1" x14ac:dyDescent="0.2">
      <c r="A18" s="2385"/>
      <c r="B18" s="2386"/>
      <c r="C18" s="2386"/>
      <c r="D18" s="2386"/>
      <c r="E18" s="2386"/>
      <c r="F18" s="2387"/>
      <c r="G18" s="2388" t="str">
        <f>COVER!T21</f>
        <v>618-532-5683</v>
      </c>
      <c r="H18" s="2389"/>
      <c r="I18" s="2389"/>
      <c r="J18" s="2389"/>
      <c r="K18" s="2388" t="str">
        <f>COVER!X21</f>
        <v>618-532-5684</v>
      </c>
      <c r="L18" s="239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34"/>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9" t="str">
        <f>'Single Audit Cover'!A7</f>
        <v>Teutopolis CUSD 50</v>
      </c>
      <c r="B1" s="2425"/>
      <c r="C1" s="2425"/>
      <c r="D1" s="2425"/>
    </row>
    <row r="2" spans="1:11" s="1210" customFormat="1" ht="12.75" x14ac:dyDescent="0.2">
      <c r="A2" s="2430">
        <f>'Single Audit Cover'!E7</f>
        <v>3025050026</v>
      </c>
      <c r="B2" s="2431"/>
      <c r="C2" s="2431"/>
      <c r="D2" s="2431"/>
    </row>
    <row r="3" spans="1:11" s="1210" customFormat="1" ht="12.75" x14ac:dyDescent="0.2">
      <c r="A3" s="2429" t="s">
        <v>1513</v>
      </c>
      <c r="B3" s="2425"/>
      <c r="C3" s="2425"/>
      <c r="D3" s="2425"/>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3" t="str">
        <f>'Single Audit Cover'!A7</f>
        <v>Teutopolis CUSD 50</v>
      </c>
      <c r="B1" s="2433"/>
      <c r="C1" s="2433"/>
      <c r="D1" s="2433"/>
      <c r="E1" s="2433"/>
    </row>
    <row r="2" spans="1:5" x14ac:dyDescent="0.2">
      <c r="A2" s="2434">
        <f>'Single Audit Cover'!E7</f>
        <v>3025050026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5" t="s">
        <v>1243</v>
      </c>
    </row>
    <row r="10" spans="1:5" x14ac:dyDescent="0.2">
      <c r="A10" s="1256" t="s">
        <v>1242</v>
      </c>
      <c r="B10" s="1257" t="s">
        <v>1241</v>
      </c>
      <c r="C10" s="1257"/>
      <c r="D10" s="1258">
        <f>SUM('Acct Summary 7-8'!C7:K7)</f>
        <v>429468</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55514</v>
      </c>
    </row>
    <row r="15" spans="1:5" x14ac:dyDescent="0.2">
      <c r="A15" s="1256"/>
      <c r="B15" s="1257"/>
      <c r="C15" s="1257"/>
    </row>
    <row r="16" spans="1:5" x14ac:dyDescent="0.2">
      <c r="A16" s="1256" t="s">
        <v>1844</v>
      </c>
      <c r="B16" s="1257"/>
      <c r="C16" s="1257"/>
    </row>
    <row r="17" spans="1:4" x14ac:dyDescent="0.2">
      <c r="A17" s="1256" t="s">
        <v>2061</v>
      </c>
      <c r="B17" s="1257" t="s">
        <v>1236</v>
      </c>
      <c r="C17" s="1257"/>
      <c r="D17" s="1259">
        <f>-SUM('Revenues 9-14'!C264:D264,'Revenues 9-14'!F264:G264)</f>
        <v>-7698</v>
      </c>
    </row>
    <row r="19" spans="1:4" ht="13.5" thickBot="1" x14ac:dyDescent="0.25">
      <c r="A19" s="1260" t="s">
        <v>1235</v>
      </c>
      <c r="D19" s="1261">
        <f>SUM(D10:D17)</f>
        <v>477284</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5"/>
      <c r="B24" s="2435"/>
      <c r="D24" s="1263"/>
    </row>
    <row r="25" spans="1:4" x14ac:dyDescent="0.2">
      <c r="A25" s="2432"/>
      <c r="B25" s="2432"/>
      <c r="D25" s="1263"/>
    </row>
    <row r="26" spans="1:4" x14ac:dyDescent="0.2">
      <c r="A26" s="2432"/>
      <c r="B26" s="2432"/>
      <c r="D26" s="1263"/>
    </row>
    <row r="27" spans="1:4" x14ac:dyDescent="0.2">
      <c r="A27" s="2432"/>
      <c r="B27" s="2432"/>
      <c r="D27" s="1263"/>
    </row>
    <row r="28" spans="1:4" x14ac:dyDescent="0.2">
      <c r="A28" s="2432"/>
      <c r="B28" s="2432"/>
      <c r="D28" s="1263"/>
    </row>
    <row r="29" spans="1:4" x14ac:dyDescent="0.2">
      <c r="A29" s="2432"/>
      <c r="B29" s="2432"/>
      <c r="D29" s="1263"/>
    </row>
    <row r="30" spans="1:4" x14ac:dyDescent="0.2">
      <c r="A30" s="2432"/>
      <c r="B30" s="2432"/>
      <c r="D30" s="1263"/>
    </row>
    <row r="32" spans="1:4" x14ac:dyDescent="0.2">
      <c r="A32" s="1255" t="s">
        <v>1233</v>
      </c>
      <c r="D32" s="1258">
        <f>SUM(D19:D30)</f>
        <v>477284</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2"/>
      <c r="B40" s="2432"/>
      <c r="D40" s="1263"/>
    </row>
    <row r="41" spans="1:4" x14ac:dyDescent="0.2">
      <c r="A41" s="2432"/>
      <c r="B41" s="2432"/>
      <c r="D41" s="1266"/>
    </row>
    <row r="42" spans="1:4" x14ac:dyDescent="0.2">
      <c r="A42" s="2432"/>
      <c r="B42" s="2432"/>
      <c r="D42" s="1266"/>
    </row>
    <row r="43" spans="1:4" x14ac:dyDescent="0.2">
      <c r="A43" s="2432"/>
      <c r="B43" s="2432"/>
      <c r="D43" s="1266"/>
    </row>
    <row r="44" spans="1:4" x14ac:dyDescent="0.2">
      <c r="A44" s="2432"/>
      <c r="B44" s="2432"/>
      <c r="D44" s="1266"/>
    </row>
    <row r="45" spans="1:4" x14ac:dyDescent="0.2">
      <c r="A45" s="2432"/>
      <c r="B45" s="2432"/>
      <c r="D45" s="1266"/>
    </row>
    <row r="47" spans="1:4" x14ac:dyDescent="0.2">
      <c r="B47" s="1267" t="s">
        <v>1227</v>
      </c>
      <c r="C47" s="1267"/>
      <c r="D47" s="1268">
        <f>SUM(D35:D45)</f>
        <v>0</v>
      </c>
    </row>
    <row r="49" spans="2:4" x14ac:dyDescent="0.2">
      <c r="B49" s="1267" t="s">
        <v>1226</v>
      </c>
      <c r="C49" s="1267"/>
      <c r="D49" s="1268">
        <f>D32-D47</f>
        <v>477284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4" t="str">
        <f>'Single Audit Cover'!A7</f>
        <v>Teutopolis CUSD 50</v>
      </c>
      <c r="C1" s="2437"/>
      <c r="D1" s="2437"/>
      <c r="E1" s="2437"/>
      <c r="F1" s="2437"/>
      <c r="G1" s="2437"/>
      <c r="H1" s="2437"/>
      <c r="I1" s="2437"/>
      <c r="J1" s="2437"/>
      <c r="K1" s="2437"/>
      <c r="L1" s="2437"/>
      <c r="M1" s="2437"/>
    </row>
    <row r="2" spans="2:14" ht="15" x14ac:dyDescent="0.2">
      <c r="B2" s="2438">
        <f>'Single Audit Cover'!E7</f>
        <v>3025050026</v>
      </c>
      <c r="C2" s="2438"/>
      <c r="D2" s="2438"/>
      <c r="E2" s="2438"/>
      <c r="F2" s="2438"/>
      <c r="G2" s="2438"/>
      <c r="H2" s="2438"/>
      <c r="I2" s="2438"/>
      <c r="J2" s="2438"/>
      <c r="K2" s="2438"/>
      <c r="L2" s="2438"/>
      <c r="M2" s="2438"/>
      <c r="N2" s="1297"/>
    </row>
    <row r="3" spans="2:14" ht="15" x14ac:dyDescent="0.2">
      <c r="B3" s="2439" t="s">
        <v>1219</v>
      </c>
      <c r="C3" s="2439"/>
      <c r="D3" s="2439"/>
      <c r="E3" s="2439"/>
      <c r="F3" s="2439"/>
      <c r="G3" s="2439"/>
      <c r="H3" s="2439"/>
      <c r="I3" s="2439"/>
      <c r="J3" s="2439"/>
      <c r="K3" s="2439"/>
      <c r="L3" s="2439"/>
      <c r="M3" s="2439"/>
      <c r="N3" s="1297"/>
    </row>
    <row r="4" spans="2:14" ht="15" x14ac:dyDescent="0.2">
      <c r="B4" s="2440" t="str">
        <f>'Single Audit Cover'!A4</f>
        <v>Year Ending June 30, 2019</v>
      </c>
      <c r="C4" s="2440"/>
      <c r="D4" s="2440"/>
      <c r="E4" s="2440"/>
      <c r="F4" s="2440"/>
      <c r="G4" s="2440"/>
      <c r="H4" s="2440"/>
      <c r="I4" s="2440"/>
      <c r="J4" s="2440"/>
      <c r="K4" s="2440"/>
      <c r="L4" s="2440"/>
      <c r="M4" s="2440"/>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1839</v>
      </c>
      <c r="I8" s="1314" t="s">
        <v>1262</v>
      </c>
      <c r="J8" s="1313" t="s">
        <v>1990</v>
      </c>
      <c r="K8" s="1314" t="s">
        <v>1261</v>
      </c>
      <c r="L8" s="1315" t="s">
        <v>1257</v>
      </c>
      <c r="M8" s="1316" t="s">
        <v>30</v>
      </c>
    </row>
    <row r="9" spans="2:14" ht="14.25" x14ac:dyDescent="0.2">
      <c r="B9" s="1320" t="s">
        <v>1259</v>
      </c>
      <c r="C9" s="1308" t="s">
        <v>1735</v>
      </c>
      <c r="D9" s="1309" t="s">
        <v>1736</v>
      </c>
      <c r="E9" s="1317" t="s">
        <v>1839</v>
      </c>
      <c r="F9" s="1318" t="s">
        <v>1990</v>
      </c>
      <c r="G9" s="1319" t="s">
        <v>1839</v>
      </c>
      <c r="H9" s="1312" t="s">
        <v>1582</v>
      </c>
      <c r="I9" s="1314" t="s">
        <v>1990</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Teutopolis CUSD 50</v>
      </c>
      <c r="B1" s="2442"/>
      <c r="C1" s="2442"/>
      <c r="D1" s="2442"/>
      <c r="E1" s="2442"/>
      <c r="F1" s="2442"/>
    </row>
    <row r="2" spans="1:7" ht="13.5" customHeight="1" x14ac:dyDescent="0.2">
      <c r="A2" s="2438">
        <f>'Single Audit Cover'!E7</f>
        <v>3025050026</v>
      </c>
      <c r="B2" s="2438"/>
      <c r="C2" s="2438"/>
      <c r="D2" s="2438"/>
      <c r="E2" s="2438"/>
      <c r="F2" s="2438"/>
      <c r="G2" s="1270"/>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1" t="s">
        <v>1728</v>
      </c>
      <c r="C6" s="317"/>
      <c r="D6" s="317"/>
    </row>
    <row r="7" spans="1:7" ht="60.95" customHeight="1" x14ac:dyDescent="0.2">
      <c r="A7" s="2441" t="s">
        <v>1729</v>
      </c>
      <c r="B7" s="2441"/>
      <c r="C7" s="2441"/>
      <c r="D7" s="2441"/>
      <c r="E7" s="2441"/>
      <c r="F7" s="2441"/>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900"/>
      <c r="D11" s="1275"/>
      <c r="E11" s="1900"/>
      <c r="F11" s="1275"/>
      <c r="G11" s="1273"/>
    </row>
    <row r="12" spans="1:7" x14ac:dyDescent="0.2">
      <c r="A12" s="1271" t="s">
        <v>1587</v>
      </c>
      <c r="C12" s="1255"/>
      <c r="D12" s="1255"/>
    </row>
    <row r="13" spans="1:7" ht="15" customHeight="1" x14ac:dyDescent="0.2">
      <c r="A13" s="2441" t="s">
        <v>1731</v>
      </c>
      <c r="B13" s="2441"/>
      <c r="C13" s="2441"/>
      <c r="D13" s="2441"/>
      <c r="E13" s="2441"/>
      <c r="F13" s="2441"/>
    </row>
    <row r="14" spans="1:7" ht="9.75" customHeight="1" x14ac:dyDescent="0.2">
      <c r="C14" s="1255"/>
      <c r="D14" s="1255"/>
    </row>
    <row r="15" spans="1:7" ht="13.5" customHeight="1" x14ac:dyDescent="0.2">
      <c r="C15" s="1844" t="s">
        <v>1270</v>
      </c>
      <c r="D15" s="2446" t="s">
        <v>1269</v>
      </c>
      <c r="E15" s="2446"/>
      <c r="F15" s="2446"/>
    </row>
    <row r="16" spans="1:7" ht="13.5" customHeight="1" x14ac:dyDescent="0.2">
      <c r="A16" s="1277"/>
      <c r="B16" s="1271" t="s">
        <v>1268</v>
      </c>
      <c r="C16" s="1844" t="s">
        <v>1267</v>
      </c>
      <c r="D16" s="2447" t="s">
        <v>1588</v>
      </c>
      <c r="E16" s="2447"/>
      <c r="F16" s="2447"/>
    </row>
    <row r="17" spans="1:6" ht="20.45" customHeight="1" x14ac:dyDescent="0.2">
      <c r="A17" s="1278"/>
      <c r="B17" s="1279"/>
      <c r="C17" s="1280"/>
      <c r="D17" s="2445"/>
      <c r="E17" s="2445"/>
      <c r="F17" s="2445"/>
    </row>
    <row r="18" spans="1:6" ht="20.65" customHeight="1" x14ac:dyDescent="0.2">
      <c r="A18" s="1278"/>
      <c r="B18" s="1279"/>
      <c r="C18" s="1280"/>
      <c r="D18" s="2445"/>
      <c r="E18" s="2445"/>
      <c r="F18" s="2445"/>
    </row>
    <row r="19" spans="1:6" ht="20.65" customHeight="1" x14ac:dyDescent="0.2">
      <c r="A19" s="1278"/>
      <c r="B19" s="1279"/>
      <c r="C19" s="1280"/>
      <c r="D19" s="2445"/>
      <c r="E19" s="2445"/>
      <c r="F19" s="2445"/>
    </row>
    <row r="20" spans="1:6" ht="20.65" customHeight="1" x14ac:dyDescent="0.2">
      <c r="A20" s="1278"/>
      <c r="B20" s="1279"/>
      <c r="C20" s="1280"/>
      <c r="D20" s="2445"/>
      <c r="E20" s="2445"/>
      <c r="F20" s="2445"/>
    </row>
    <row r="21" spans="1:6" ht="20.65" customHeight="1" x14ac:dyDescent="0.2">
      <c r="A21" s="1278"/>
      <c r="B21" s="1279"/>
      <c r="C21" s="1280"/>
      <c r="D21" s="2445"/>
      <c r="E21" s="2445"/>
      <c r="F21" s="2445"/>
    </row>
    <row r="22" spans="1:6" ht="20.65" customHeight="1" x14ac:dyDescent="0.2">
      <c r="A22" s="1278"/>
      <c r="B22" s="1279"/>
      <c r="C22" s="1280"/>
      <c r="D22" s="2445"/>
      <c r="E22" s="2445"/>
      <c r="F22" s="2445"/>
    </row>
    <row r="23" spans="1:6" ht="20.65" customHeight="1" x14ac:dyDescent="0.2">
      <c r="A23" s="1278"/>
      <c r="B23" s="1279"/>
      <c r="C23" s="1280"/>
      <c r="D23" s="2445"/>
      <c r="E23" s="2445"/>
      <c r="F23" s="2445"/>
    </row>
    <row r="24" spans="1:6" ht="20.65" customHeight="1" x14ac:dyDescent="0.2">
      <c r="A24" s="1278"/>
      <c r="B24" s="1279"/>
      <c r="C24" s="1280"/>
      <c r="D24" s="2445"/>
      <c r="E24" s="2445"/>
      <c r="F24" s="2445"/>
    </row>
    <row r="25" spans="1:6" ht="20.65" customHeight="1" x14ac:dyDescent="0.2">
      <c r="A25" s="1278"/>
      <c r="B25" s="1279"/>
      <c r="C25" s="1280"/>
      <c r="D25" s="2445"/>
      <c r="E25" s="2445"/>
      <c r="F25" s="2445"/>
    </row>
    <row r="26" spans="1:6" ht="20.65" customHeight="1" x14ac:dyDescent="0.2">
      <c r="A26" s="1278"/>
      <c r="B26" s="1279"/>
      <c r="C26" s="1280"/>
      <c r="D26" s="2445"/>
      <c r="E26" s="2445"/>
      <c r="F26" s="2445"/>
    </row>
    <row r="27" spans="1:6" ht="20.65" customHeight="1" x14ac:dyDescent="0.2">
      <c r="A27" s="1278"/>
      <c r="B27" s="1279"/>
      <c r="C27" s="1280"/>
      <c r="D27" s="2445"/>
      <c r="E27" s="2445"/>
      <c r="F27" s="2445"/>
    </row>
    <row r="28" spans="1:6" ht="20.65" customHeight="1" x14ac:dyDescent="0.2">
      <c r="A28" s="1278"/>
      <c r="B28" s="1279"/>
      <c r="C28" s="1280"/>
      <c r="D28" s="2445"/>
      <c r="E28" s="2445"/>
      <c r="F28" s="2445"/>
    </row>
    <row r="29" spans="1:6" ht="20.65" customHeight="1" x14ac:dyDescent="0.2">
      <c r="A29" s="1278"/>
      <c r="B29" s="1279"/>
      <c r="C29" s="1280"/>
      <c r="D29" s="2445"/>
      <c r="E29" s="2445"/>
      <c r="F29" s="2445"/>
    </row>
    <row r="30" spans="1:6" ht="12" customHeight="1" x14ac:dyDescent="0.2">
      <c r="A30" s="328"/>
      <c r="B30" s="328"/>
      <c r="C30" s="1460"/>
      <c r="D30" s="1901"/>
      <c r="E30" s="1281"/>
    </row>
    <row r="31" spans="1:6" ht="12" customHeight="1" x14ac:dyDescent="0.2">
      <c r="A31" s="1282" t="s">
        <v>1549</v>
      </c>
      <c r="B31" s="328"/>
      <c r="C31" s="1460"/>
      <c r="D31" s="1901"/>
      <c r="E31" s="1281"/>
    </row>
    <row r="32" spans="1:6" ht="30" customHeight="1" x14ac:dyDescent="0.2">
      <c r="A32" s="2449" t="s">
        <v>1732</v>
      </c>
      <c r="B32" s="2449"/>
      <c r="C32" s="2449"/>
      <c r="D32" s="2449"/>
      <c r="E32" s="2449"/>
      <c r="F32" s="2449"/>
    </row>
    <row r="33" spans="1:6" ht="13.5" customHeight="1" x14ac:dyDescent="0.2">
      <c r="A33" s="328" t="s">
        <v>1434</v>
      </c>
      <c r="B33" s="328"/>
      <c r="C33" s="1283">
        <v>0</v>
      </c>
      <c r="D33" s="1901"/>
      <c r="E33" s="1281"/>
    </row>
    <row r="34" spans="1:6" ht="13.5" customHeight="1" x14ac:dyDescent="0.2">
      <c r="A34" s="328" t="s">
        <v>1838</v>
      </c>
      <c r="B34" s="328"/>
      <c r="C34" s="1284">
        <v>0</v>
      </c>
      <c r="D34" s="1901" t="s">
        <v>1589</v>
      </c>
      <c r="E34" s="2450">
        <f>+C33+C34</f>
        <v>0</v>
      </c>
      <c r="F34" s="2451"/>
    </row>
    <row r="35" spans="1:6" ht="12" customHeight="1" x14ac:dyDescent="0.2">
      <c r="A35" s="328"/>
      <c r="B35" s="328"/>
      <c r="C35" s="1902"/>
      <c r="D35" s="1901"/>
      <c r="E35" s="1285"/>
      <c r="F35" s="1286"/>
    </row>
    <row r="36" spans="1:6" ht="13.5" customHeight="1" x14ac:dyDescent="0.2">
      <c r="A36" s="1282" t="s">
        <v>1550</v>
      </c>
      <c r="B36" s="328"/>
      <c r="C36" s="1460"/>
      <c r="D36" s="1901"/>
      <c r="E36" s="1281"/>
    </row>
    <row r="37" spans="1:6" ht="14.25" customHeight="1" x14ac:dyDescent="0.2">
      <c r="A37" s="328" t="s">
        <v>1484</v>
      </c>
      <c r="B37" s="328"/>
      <c r="C37" s="1903"/>
      <c r="D37" s="1901"/>
      <c r="E37" s="1281"/>
    </row>
    <row r="38" spans="1:6" ht="14.25" customHeight="1" x14ac:dyDescent="0.2">
      <c r="A38" s="328"/>
      <c r="B38" s="328" t="s">
        <v>1435</v>
      </c>
      <c r="C38" s="1287"/>
      <c r="D38" s="1901"/>
      <c r="E38" s="1281"/>
    </row>
    <row r="39" spans="1:6" ht="14.25" customHeight="1" x14ac:dyDescent="0.2">
      <c r="A39" s="328"/>
      <c r="B39" s="328" t="s">
        <v>1436</v>
      </c>
      <c r="C39" s="1287"/>
      <c r="D39" s="1901"/>
      <c r="E39" s="1281"/>
    </row>
    <row r="40" spans="1:6" ht="14.25" customHeight="1" x14ac:dyDescent="0.2">
      <c r="A40" s="328"/>
      <c r="B40" s="328" t="s">
        <v>1437</v>
      </c>
      <c r="C40" s="1287"/>
      <c r="D40" s="1901"/>
      <c r="E40" s="1281"/>
    </row>
    <row r="41" spans="1:6" ht="14.25" customHeight="1" x14ac:dyDescent="0.2">
      <c r="A41" s="328"/>
      <c r="B41" s="328" t="s">
        <v>1438</v>
      </c>
      <c r="C41" s="1287"/>
      <c r="D41" s="1901"/>
      <c r="E41" s="1281"/>
    </row>
    <row r="42" spans="1:6" ht="14.25" customHeight="1" x14ac:dyDescent="0.2">
      <c r="A42" s="328" t="s">
        <v>1439</v>
      </c>
      <c r="B42" s="328"/>
      <c r="C42" s="1899"/>
      <c r="D42" s="1901"/>
      <c r="E42" s="1281"/>
    </row>
    <row r="43" spans="1:6" ht="14.25" customHeight="1" x14ac:dyDescent="0.2">
      <c r="A43" s="328" t="s">
        <v>1440</v>
      </c>
      <c r="B43" s="328"/>
      <c r="C43" s="1288"/>
      <c r="D43" s="1901"/>
      <c r="E43" s="1281"/>
    </row>
    <row r="44" spans="1:6" ht="14.25" customHeight="1" x14ac:dyDescent="0.2">
      <c r="A44" s="328"/>
      <c r="B44" s="328"/>
      <c r="C44" s="1903" t="s">
        <v>1441</v>
      </c>
      <c r="D44" s="1901"/>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2" t="s">
        <v>1590</v>
      </c>
      <c r="C49" s="2452"/>
      <c r="D49" s="2452"/>
      <c r="E49" s="1394"/>
    </row>
    <row r="50" spans="1:5" s="1295" customFormat="1" ht="3.75" customHeight="1" x14ac:dyDescent="0.2">
      <c r="A50" s="1294"/>
      <c r="B50" s="1843"/>
      <c r="C50" s="1843"/>
      <c r="D50" s="1843"/>
      <c r="E50" s="1394"/>
    </row>
    <row r="51" spans="1:5" s="1295" customFormat="1" ht="20.25" customHeight="1" x14ac:dyDescent="0.2">
      <c r="A51" s="1296">
        <v>6</v>
      </c>
      <c r="B51" s="2448" t="s">
        <v>1551</v>
      </c>
      <c r="C51" s="2448"/>
      <c r="D51" s="2448"/>
    </row>
    <row r="52" spans="1:5" ht="14.25" customHeight="1" x14ac:dyDescent="0.2">
      <c r="A52" s="1296"/>
      <c r="B52" s="2448"/>
      <c r="C52" s="2448"/>
      <c r="D52" s="244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3"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2064</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1906</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Teutopolis CUSD 50</v>
      </c>
      <c r="C1" s="2458"/>
      <c r="D1" s="2458"/>
      <c r="E1" s="2458"/>
      <c r="F1" s="2458"/>
      <c r="G1" s="2458"/>
      <c r="H1" s="2458"/>
      <c r="I1" s="2458"/>
      <c r="J1" s="1404"/>
    </row>
    <row r="2" spans="2:10" s="317" customFormat="1" ht="12.75" customHeight="1" x14ac:dyDescent="0.2">
      <c r="B2" s="2459">
        <f>'Single Audit Cover'!E7</f>
        <v>3025050026</v>
      </c>
      <c r="C2" s="2460"/>
      <c r="D2" s="2460"/>
      <c r="E2" s="2460"/>
      <c r="F2" s="2460"/>
      <c r="G2" s="2460"/>
      <c r="H2" s="2460"/>
      <c r="I2" s="2460"/>
      <c r="J2" s="1404"/>
    </row>
    <row r="3" spans="2:10" s="317" customFormat="1" ht="12.75" customHeight="1" x14ac:dyDescent="0.2">
      <c r="B3" s="2461" t="s">
        <v>1285</v>
      </c>
      <c r="C3" s="2462"/>
      <c r="D3" s="2462"/>
      <c r="E3" s="2462"/>
      <c r="F3" s="2462"/>
      <c r="G3" s="2462"/>
      <c r="H3" s="2462"/>
      <c r="I3" s="2462"/>
      <c r="J3" s="1405"/>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1" t="s">
        <v>1284</v>
      </c>
      <c r="C7" s="2462"/>
      <c r="D7" s="2462"/>
      <c r="E7" s="2462"/>
      <c r="F7" s="2462"/>
      <c r="G7" s="2462"/>
      <c r="H7" s="2462"/>
      <c r="I7" s="2462"/>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63"/>
      <c r="D11" s="2463"/>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64"/>
      <c r="E29" s="2464"/>
      <c r="F29" s="2464"/>
      <c r="G29" s="2464"/>
      <c r="H29" s="2464"/>
      <c r="I29" s="2464"/>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65" t="s">
        <v>1751</v>
      </c>
      <c r="D37" s="2466"/>
      <c r="E37" s="2466"/>
      <c r="F37" s="2467"/>
      <c r="G37" s="2465" t="s">
        <v>1592</v>
      </c>
      <c r="H37" s="2466"/>
      <c r="I37" s="2467"/>
    </row>
    <row r="38" spans="2:9" ht="16.5" customHeight="1" x14ac:dyDescent="0.2">
      <c r="B38" s="1426"/>
      <c r="C38" s="2453"/>
      <c r="D38" s="2454"/>
      <c r="E38" s="2454"/>
      <c r="F38" s="2455"/>
      <c r="G38" s="2468"/>
      <c r="H38" s="2469"/>
      <c r="I38" s="2470"/>
    </row>
    <row r="39" spans="2:9" ht="16.5" customHeight="1" x14ac:dyDescent="0.2">
      <c r="B39" s="1426"/>
      <c r="C39" s="2453"/>
      <c r="D39" s="2454"/>
      <c r="E39" s="2454"/>
      <c r="F39" s="2455"/>
      <c r="G39" s="2456"/>
      <c r="H39" s="2456"/>
      <c r="I39" s="2456"/>
    </row>
    <row r="40" spans="2:9" ht="16.5" customHeight="1" x14ac:dyDescent="0.2">
      <c r="B40" s="1426"/>
      <c r="C40" s="2453"/>
      <c r="D40" s="2454"/>
      <c r="E40" s="2454"/>
      <c r="F40" s="2455"/>
      <c r="G40" s="2456"/>
      <c r="H40" s="2456"/>
      <c r="I40" s="2456"/>
    </row>
    <row r="41" spans="2:9" ht="16.5" customHeight="1" x14ac:dyDescent="0.2">
      <c r="B41" s="1426"/>
      <c r="C41" s="2453"/>
      <c r="D41" s="2454"/>
      <c r="E41" s="2454"/>
      <c r="F41" s="2455"/>
      <c r="G41" s="2456"/>
      <c r="H41" s="2456"/>
      <c r="I41" s="2456"/>
    </row>
    <row r="42" spans="2:9" ht="16.5" customHeight="1" x14ac:dyDescent="0.2">
      <c r="B42" s="1426"/>
      <c r="C42" s="2453"/>
      <c r="D42" s="2454"/>
      <c r="E42" s="2454"/>
      <c r="F42" s="2455"/>
      <c r="G42" s="2456"/>
      <c r="H42" s="2456"/>
      <c r="I42" s="2456"/>
    </row>
    <row r="43" spans="2:9" ht="16.5" customHeight="1" x14ac:dyDescent="0.2">
      <c r="B43" s="1426"/>
      <c r="C43" s="2471" t="s">
        <v>1593</v>
      </c>
      <c r="D43" s="2472"/>
      <c r="E43" s="2472"/>
      <c r="F43" s="2473"/>
      <c r="G43" s="2474">
        <f>SUM(G38:I42)</f>
        <v>0</v>
      </c>
      <c r="H43" s="2474"/>
      <c r="I43" s="2474"/>
    </row>
    <row r="44" spans="2:9" ht="12.75" customHeight="1" x14ac:dyDescent="0.2"/>
    <row r="45" spans="2:9" ht="12.75" customHeight="1" x14ac:dyDescent="0.2">
      <c r="B45" s="1417" t="s">
        <v>1841</v>
      </c>
      <c r="D45" s="2475">
        <v>0</v>
      </c>
      <c r="E45" s="2476"/>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77"/>
      <c r="F49" s="2477"/>
      <c r="G49" s="2477"/>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Teutopolis CUSD 50</v>
      </c>
      <c r="C1" s="2457"/>
      <c r="D1" s="2457"/>
      <c r="E1" s="2457"/>
      <c r="F1" s="2457"/>
      <c r="G1" s="2457"/>
      <c r="H1" s="2457"/>
      <c r="I1" s="2457"/>
      <c r="J1" s="2457"/>
      <c r="K1" s="2457"/>
      <c r="L1" s="1369"/>
      <c r="M1" s="1369"/>
    </row>
    <row r="2" spans="1:13" ht="12" customHeight="1" x14ac:dyDescent="0.2">
      <c r="B2" s="2459">
        <f>'Single Audit Cover'!E7</f>
        <v>3025050026</v>
      </c>
      <c r="C2" s="2459"/>
      <c r="D2" s="2459"/>
      <c r="E2" s="2459"/>
      <c r="F2" s="2459"/>
      <c r="G2" s="2459"/>
      <c r="H2" s="2459"/>
      <c r="I2" s="2459"/>
      <c r="J2" s="2459"/>
      <c r="K2" s="2459"/>
      <c r="L2" s="1370"/>
      <c r="M2" s="1371"/>
    </row>
    <row r="3" spans="1:13" ht="10.35" customHeight="1" x14ac:dyDescent="0.2">
      <c r="B3" s="2480" t="s">
        <v>1285</v>
      </c>
      <c r="C3" s="2480"/>
      <c r="D3" s="2480"/>
      <c r="E3" s="2480"/>
      <c r="F3" s="2480"/>
      <c r="G3" s="2480"/>
      <c r="H3" s="2480"/>
      <c r="I3" s="2480"/>
      <c r="J3" s="2480"/>
      <c r="K3" s="2480"/>
      <c r="L3" s="1372"/>
      <c r="M3" s="1372"/>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1" t="s">
        <v>1296</v>
      </c>
      <c r="C7" s="2481"/>
      <c r="D7" s="2482"/>
      <c r="E7" s="2482"/>
      <c r="F7" s="2482"/>
      <c r="G7" s="2482"/>
      <c r="H7" s="2482"/>
      <c r="I7" s="2482"/>
      <c r="J7" s="2482"/>
      <c r="K7" s="2482"/>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1991</v>
      </c>
      <c r="D10" s="1381"/>
      <c r="E10" s="322"/>
      <c r="F10" s="1382" t="s">
        <v>1295</v>
      </c>
      <c r="G10" s="1383"/>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9"/>
      <c r="C14" s="2479"/>
      <c r="D14" s="2479"/>
      <c r="E14" s="2479"/>
      <c r="F14" s="2479"/>
      <c r="G14" s="2479"/>
      <c r="H14" s="2479"/>
      <c r="I14" s="2479"/>
      <c r="J14" s="2479"/>
      <c r="K14" s="2479"/>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9"/>
      <c r="C17" s="2479"/>
      <c r="D17" s="2479"/>
      <c r="E17" s="2479"/>
      <c r="F17" s="2479"/>
      <c r="G17" s="2479"/>
      <c r="H17" s="2479"/>
      <c r="I17" s="2479"/>
      <c r="J17" s="2479"/>
      <c r="K17" s="2479"/>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3"/>
      <c r="C20" s="2483"/>
      <c r="D20" s="2479"/>
      <c r="E20" s="2479"/>
      <c r="F20" s="2479"/>
      <c r="G20" s="2479"/>
      <c r="H20" s="2479"/>
      <c r="I20" s="2479"/>
      <c r="J20" s="2479"/>
      <c r="K20" s="2479"/>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9"/>
      <c r="C23" s="2479"/>
      <c r="D23" s="2479"/>
      <c r="E23" s="2479"/>
      <c r="F23" s="2479"/>
      <c r="G23" s="2479"/>
      <c r="H23" s="2479"/>
      <c r="I23" s="2479"/>
      <c r="J23" s="2479"/>
      <c r="K23" s="2479"/>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9"/>
      <c r="C26" s="2479"/>
      <c r="D26" s="2479"/>
      <c r="E26" s="2479"/>
      <c r="F26" s="2479"/>
      <c r="G26" s="2479"/>
      <c r="H26" s="2479"/>
      <c r="I26" s="2479"/>
      <c r="J26" s="2479"/>
      <c r="K26" s="2479"/>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8"/>
      <c r="C29" s="2478"/>
      <c r="D29" s="2479"/>
      <c r="E29" s="2479"/>
      <c r="F29" s="2479"/>
      <c r="G29" s="2479"/>
      <c r="H29" s="2479"/>
      <c r="I29" s="2479"/>
      <c r="J29" s="2479"/>
      <c r="K29" s="247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8"/>
      <c r="C32" s="2478"/>
      <c r="D32" s="2479"/>
      <c r="E32" s="2479"/>
      <c r="F32" s="2479"/>
      <c r="G32" s="2479"/>
      <c r="H32" s="2479"/>
      <c r="I32" s="2479"/>
      <c r="J32" s="2479"/>
      <c r="K32" s="2479"/>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1842</v>
      </c>
      <c r="C36" s="1295"/>
      <c r="L36" s="1376"/>
    </row>
    <row r="37" spans="1:13" ht="9.6" customHeight="1" x14ac:dyDescent="0.2">
      <c r="B37" s="1295" t="s">
        <v>1843</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Teutopolis CUSD 50</v>
      </c>
      <c r="C1" s="2484"/>
      <c r="D1" s="2484"/>
      <c r="E1" s="2484"/>
      <c r="F1" s="2484"/>
      <c r="G1" s="2484"/>
      <c r="H1" s="2484"/>
      <c r="I1" s="2484"/>
      <c r="J1" s="2484"/>
      <c r="K1" s="2484"/>
      <c r="L1" s="1447"/>
    </row>
    <row r="2" spans="1:12" ht="12.75" customHeight="1" x14ac:dyDescent="0.2">
      <c r="B2" s="2485">
        <f>'Single Audit Cover'!E7</f>
        <v>3025050026</v>
      </c>
      <c r="C2" s="2485"/>
      <c r="D2" s="2485"/>
      <c r="E2" s="2485"/>
      <c r="F2" s="2485"/>
      <c r="G2" s="2485"/>
      <c r="H2" s="2485"/>
      <c r="I2" s="2485"/>
      <c r="J2" s="2485"/>
      <c r="K2" s="2485"/>
      <c r="L2" s="1448"/>
    </row>
    <row r="3" spans="1:12" ht="12.75" customHeight="1" x14ac:dyDescent="0.2">
      <c r="B3" s="2480" t="s">
        <v>1285</v>
      </c>
      <c r="C3" s="2480"/>
      <c r="D3" s="2480"/>
      <c r="E3" s="2480"/>
      <c r="F3" s="2480"/>
      <c r="G3" s="2480"/>
      <c r="H3" s="2480"/>
      <c r="I3" s="2480"/>
      <c r="J3" s="2480"/>
      <c r="K3" s="2480"/>
      <c r="L3" s="1372"/>
    </row>
    <row r="4" spans="1:12" ht="12.75" customHeight="1" x14ac:dyDescent="0.2">
      <c r="B4" s="2480" t="str">
        <f>'Single Audit Cover'!A4</f>
        <v>Year Ending June 30, 2019</v>
      </c>
      <c r="C4" s="2480"/>
      <c r="D4" s="2480"/>
      <c r="E4" s="2480"/>
      <c r="F4" s="2480"/>
      <c r="G4" s="2480"/>
      <c r="H4" s="2480"/>
      <c r="I4" s="2480"/>
      <c r="J4" s="2480"/>
      <c r="K4" s="2480"/>
      <c r="L4" s="1372"/>
    </row>
    <row r="5" spans="1:12" ht="5.25" customHeight="1" x14ac:dyDescent="0.2">
      <c r="B5" s="1255" t="s">
        <v>1169</v>
      </c>
      <c r="C5" s="1255"/>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1991</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4"/>
      <c r="G12" s="2464"/>
      <c r="H12" s="2464"/>
      <c r="I12" s="2464"/>
      <c r="J12" s="2464"/>
      <c r="K12" s="2464"/>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87"/>
      <c r="E14" s="2487"/>
      <c r="F14" s="2487"/>
      <c r="H14" s="1457" t="s">
        <v>1303</v>
      </c>
      <c r="I14" s="2488"/>
      <c r="J14" s="2488"/>
      <c r="K14" s="2488"/>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88"/>
      <c r="E16" s="2488"/>
      <c r="F16" s="2488"/>
      <c r="G16" s="2488"/>
      <c r="H16" s="2488"/>
      <c r="I16" s="2488"/>
      <c r="J16" s="2488"/>
      <c r="K16" s="2488"/>
      <c r="L16" s="322"/>
    </row>
    <row r="17" spans="2:12" ht="13.5" customHeight="1" x14ac:dyDescent="0.2">
      <c r="B17" s="1382" t="s">
        <v>1301</v>
      </c>
      <c r="C17" s="1382"/>
      <c r="D17" s="2489"/>
      <c r="E17" s="2489"/>
      <c r="F17" s="2489"/>
      <c r="G17" s="2489"/>
      <c r="H17" s="2489"/>
      <c r="I17" s="2489"/>
      <c r="J17" s="2489"/>
      <c r="K17" s="2489"/>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79"/>
      <c r="C20" s="2479"/>
      <c r="D20" s="2479"/>
      <c r="E20" s="2479"/>
      <c r="F20" s="2479"/>
      <c r="G20" s="2479"/>
      <c r="H20" s="2479"/>
      <c r="I20" s="2479"/>
      <c r="J20" s="2479"/>
      <c r="K20" s="2479"/>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57" t="str">
        <f>'Single Audit Cover'!A7</f>
        <v>Teutopolis CUSD 50</v>
      </c>
      <c r="C1" s="2457"/>
      <c r="D1" s="2457"/>
      <c r="E1" s="1467"/>
    </row>
    <row r="2" spans="2:5" s="1277" customFormat="1" ht="12.75" customHeight="1" x14ac:dyDescent="0.2">
      <c r="B2" s="2459">
        <f>'Single Audit Cover'!E7</f>
        <v>3025050026</v>
      </c>
      <c r="C2" s="2459"/>
      <c r="D2" s="2459"/>
      <c r="E2" s="1468"/>
    </row>
    <row r="3" spans="2:5" ht="12.75" customHeight="1" x14ac:dyDescent="0.2">
      <c r="B3" s="2480" t="s">
        <v>1766</v>
      </c>
      <c r="C3" s="2480"/>
      <c r="D3" s="2480"/>
      <c r="E3" s="1269"/>
    </row>
    <row r="4" spans="2:5" s="1277" customFormat="1" ht="12.75" customHeight="1" x14ac:dyDescent="0.2">
      <c r="B4" s="2490" t="str">
        <f>'Single Audit Cover'!A4</f>
        <v>Year Ending June 30, 2019</v>
      </c>
      <c r="C4" s="2490"/>
      <c r="D4" s="2490"/>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B51" sqref="B5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136516994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1.84E-2</v>
      </c>
      <c r="E10" s="356" t="s">
        <v>1005</v>
      </c>
      <c r="F10" s="355">
        <v>5.7499999999999999E-3</v>
      </c>
      <c r="G10" s="356" t="s">
        <v>1005</v>
      </c>
      <c r="H10" s="355">
        <v>2E-3</v>
      </c>
      <c r="I10" s="356" t="s">
        <v>1006</v>
      </c>
      <c r="J10" s="1730">
        <f>ROUND(D10+F10+H10,5)</f>
        <v>2.615E-2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8708678</v>
      </c>
      <c r="E16" s="356"/>
      <c r="F16" s="1731">
        <f>SUM('Acct Summary 7-8'!C17,'Acct Summary 7-8'!D17,'Acct Summary 7-8'!F17)</f>
        <v>7996485</v>
      </c>
      <c r="G16" s="356"/>
      <c r="H16" s="1731">
        <f>SUM(D16-F16)</f>
        <v>712193</v>
      </c>
      <c r="I16" s="222"/>
      <c r="J16" s="1731">
        <f>SUM('Acct Summary 7-8'!C81,'Acct Summary 7-8'!D81,'Acct Summary 7-8'!F81,'Acct Summary 7-8'!I81)</f>
        <v>6245048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18839345.172000002</v>
      </c>
      <c r="I31" s="368"/>
      <c r="J31" s="222"/>
      <c r="K31" s="222"/>
      <c r="L31" s="222"/>
      <c r="M31" s="222"/>
    </row>
    <row r="32" spans="1:13" ht="13.35" customHeight="1" x14ac:dyDescent="0.2">
      <c r="B32" s="369" t="s">
        <v>2095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5755000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Teutopolis CUSD 50</v>
      </c>
      <c r="E7" s="391"/>
      <c r="G7" s="252"/>
      <c r="H7" s="387"/>
      <c r="I7" s="387"/>
      <c r="J7" s="387"/>
      <c r="K7" s="387"/>
      <c r="L7" s="329"/>
      <c r="M7" s="329"/>
      <c r="N7" s="329"/>
      <c r="O7" s="329"/>
      <c r="P7" s="329"/>
    </row>
    <row r="8" spans="1:18" ht="12.75" x14ac:dyDescent="0.2">
      <c r="A8" s="329"/>
      <c r="B8" s="329"/>
      <c r="C8" s="389" t="s">
        <v>1125</v>
      </c>
      <c r="D8" s="392">
        <f>COVER!A13</f>
        <v>3025050026</v>
      </c>
      <c r="E8" s="393"/>
      <c r="G8" s="329"/>
      <c r="H8" s="329"/>
      <c r="I8" s="329"/>
      <c r="J8" s="329"/>
      <c r="K8" s="329"/>
      <c r="L8" s="329"/>
      <c r="M8" s="329"/>
      <c r="N8" s="329"/>
      <c r="O8" s="329"/>
      <c r="P8" s="329"/>
    </row>
    <row r="9" spans="1:18" ht="12.75" x14ac:dyDescent="0.2">
      <c r="A9" s="329"/>
      <c r="B9" s="329"/>
      <c r="C9" s="389" t="s">
        <v>713</v>
      </c>
      <c r="D9" s="394" t="str">
        <f>COVER!A15</f>
        <v>Effingham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6245048</v>
      </c>
      <c r="I12" s="404"/>
      <c r="J12" s="404"/>
      <c r="K12" s="405">
        <f>TRUNC((H12/H13*100000),5)/100000</f>
        <v>0.71710631619999998</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8708678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7996485</v>
      </c>
      <c r="I17" s="404"/>
      <c r="J17" s="416"/>
      <c r="K17" s="405">
        <f>TRUNC((H17/H18*100000),5)/100000</f>
        <v>0.91822030849999992</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8708678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6245048</v>
      </c>
      <c r="I24" s="422"/>
      <c r="J24" s="422"/>
      <c r="K24" s="423">
        <f>TRUNC(((H24/H25*100000)/100000),2)</f>
        <v>281.14999999999998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22212.458330000001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3034431.4841399998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5755000</v>
      </c>
      <c r="I32" s="420"/>
      <c r="J32" s="420"/>
      <c r="K32" s="423">
        <f>TRUNC(100-((((H32/H33*100))*100)/100),2)</f>
        <v>69.45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18839345.172000002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A13" colorId="8" zoomScaleNormal="110" workbookViewId="0">
      <selection activeCell="B11" sqref="B1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7"/>
      <c r="D3" s="1558"/>
      <c r="E3" s="1558"/>
      <c r="F3" s="1558"/>
      <c r="G3" s="1558"/>
      <c r="H3" s="1558"/>
      <c r="I3" s="1558"/>
      <c r="J3" s="1558"/>
      <c r="K3" s="1558"/>
      <c r="L3" s="1558"/>
      <c r="M3" s="1559"/>
      <c r="N3" s="1560"/>
    </row>
    <row r="4" spans="1:14" ht="13.5" customHeight="1" x14ac:dyDescent="0.2">
      <c r="A4" s="463" t="s">
        <v>1651</v>
      </c>
      <c r="B4" s="464"/>
      <c r="C4" s="465">
        <v>2958479</v>
      </c>
      <c r="D4" s="466">
        <v>1615025</v>
      </c>
      <c r="E4" s="466">
        <v>82667</v>
      </c>
      <c r="F4" s="466">
        <v>852249</v>
      </c>
      <c r="G4" s="466">
        <v>326179</v>
      </c>
      <c r="H4" s="466">
        <v>2285275</v>
      </c>
      <c r="I4" s="466">
        <v>819295</v>
      </c>
      <c r="J4" s="467">
        <v>262982</v>
      </c>
      <c r="K4" s="466">
        <v>567822</v>
      </c>
      <c r="L4" s="466">
        <v>203410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2958479</v>
      </c>
      <c r="D13" s="1735">
        <f t="shared" ref="D13:L13" si="0">SUM(D4:D12)</f>
        <v>1615025</v>
      </c>
      <c r="E13" s="1735">
        <f t="shared" si="0"/>
        <v>82667</v>
      </c>
      <c r="F13" s="1735">
        <f t="shared" si="0"/>
        <v>852249</v>
      </c>
      <c r="G13" s="1735">
        <f t="shared" si="0"/>
        <v>326179</v>
      </c>
      <c r="H13" s="1735">
        <f t="shared" si="0"/>
        <v>2285275</v>
      </c>
      <c r="I13" s="1735">
        <f t="shared" si="0"/>
        <v>819295</v>
      </c>
      <c r="J13" s="1735">
        <f t="shared" si="0"/>
        <v>262982</v>
      </c>
      <c r="K13" s="1735">
        <f t="shared" si="0"/>
        <v>567822</v>
      </c>
      <c r="L13" s="1735">
        <f t="shared" si="0"/>
        <v>203410</v>
      </c>
      <c r="M13" s="468"/>
      <c r="N13" s="469"/>
    </row>
    <row r="14" spans="1:14" ht="18" customHeight="1" thickTop="1" x14ac:dyDescent="0.2">
      <c r="A14" s="2114" t="s">
        <v>147</v>
      </c>
      <c r="B14" s="2115"/>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634319</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17173342</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1500468</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26'!F12+'Cap Outlay Deprec 26'!F13</f>
        <v>8421928</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281077</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E4</f>
        <v>82667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5672333</v>
      </c>
    </row>
    <row r="23" spans="1:14" ht="13.5" customHeight="1" thickBot="1" x14ac:dyDescent="0.25">
      <c r="A23" s="1734" t="s">
        <v>643</v>
      </c>
      <c r="B23" s="1739"/>
      <c r="C23" s="468"/>
      <c r="D23" s="468"/>
      <c r="E23" s="468"/>
      <c r="F23" s="468"/>
      <c r="G23" s="468"/>
      <c r="H23" s="468"/>
      <c r="I23" s="468"/>
      <c r="J23" s="468"/>
      <c r="K23" s="468"/>
      <c r="L23" s="468"/>
      <c r="M23" s="1686">
        <f>SUM(M15:M22)</f>
        <v>28011134</v>
      </c>
      <c r="N23" s="1686">
        <f>SUM(N21:N22)</f>
        <v>5755000</v>
      </c>
    </row>
    <row r="24" spans="1:14" ht="18" customHeight="1" thickTop="1" x14ac:dyDescent="0.2">
      <c r="A24" s="2116" t="s">
        <v>598</v>
      </c>
      <c r="B24" s="2117"/>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203410</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203410</v>
      </c>
      <c r="M34" s="468"/>
      <c r="N34" s="480"/>
    </row>
    <row r="35" spans="1:14" ht="18" customHeight="1" thickTop="1" x14ac:dyDescent="0.2">
      <c r="A35" s="2118" t="s">
        <v>529</v>
      </c>
      <c r="B35" s="2119"/>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5755000</v>
      </c>
    </row>
    <row r="37" spans="1:14" ht="13.5" thickBot="1" x14ac:dyDescent="0.25">
      <c r="A37" s="1734" t="s">
        <v>653</v>
      </c>
      <c r="B37" s="1739"/>
      <c r="C37" s="477"/>
      <c r="D37" s="477"/>
      <c r="E37" s="477"/>
      <c r="F37" s="477"/>
      <c r="G37" s="477"/>
      <c r="H37" s="477"/>
      <c r="I37" s="477"/>
      <c r="J37" s="477"/>
      <c r="K37" s="477"/>
      <c r="L37" s="480"/>
      <c r="M37" s="468"/>
      <c r="N37" s="1686">
        <f>SUM(N36:N36)</f>
        <v>5755000</v>
      </c>
    </row>
    <row r="38" spans="1:14" s="329" customFormat="1" ht="13.5" customHeight="1" thickTop="1" x14ac:dyDescent="0.2">
      <c r="A38" s="496" t="s">
        <v>420</v>
      </c>
      <c r="B38" s="483">
        <v>714</v>
      </c>
      <c r="C38" s="466">
        <v>63444</v>
      </c>
      <c r="D38" s="466"/>
      <c r="E38" s="466"/>
      <c r="F38" s="466"/>
      <c r="G38" s="466"/>
      <c r="H38" s="466"/>
      <c r="I38" s="466">
        <v>61641</v>
      </c>
      <c r="J38" s="467"/>
      <c r="K38" s="466"/>
      <c r="L38" s="481"/>
      <c r="M38" s="497"/>
      <c r="N38" s="497"/>
    </row>
    <row r="39" spans="1:14" s="329" customFormat="1" ht="13.5" customHeight="1" x14ac:dyDescent="0.2">
      <c r="A39" s="496" t="s">
        <v>342</v>
      </c>
      <c r="B39" s="483">
        <v>730</v>
      </c>
      <c r="C39" s="466">
        <f>-C38+'Acct Summary 7-8'!C81</f>
        <v>2895035</v>
      </c>
      <c r="D39" s="466">
        <f>-D38+'Acct Summary 7-8'!D81</f>
        <v>1615025</v>
      </c>
      <c r="E39" s="466">
        <f>-E38+'Acct Summary 7-8'!E81</f>
        <v>82667</v>
      </c>
      <c r="F39" s="466">
        <f>-F38+'Acct Summary 7-8'!F81</f>
        <v>852249</v>
      </c>
      <c r="G39" s="466">
        <f>-G38+'Acct Summary 7-8'!G81</f>
        <v>326179</v>
      </c>
      <c r="H39" s="466">
        <f>-H38+'Acct Summary 7-8'!H81</f>
        <v>2285275</v>
      </c>
      <c r="I39" s="466">
        <f>-I38+'Acct Summary 7-8'!I81</f>
        <v>757654</v>
      </c>
      <c r="J39" s="466">
        <f>-J38+'Acct Summary 7-8'!J81</f>
        <v>262982</v>
      </c>
      <c r="K39" s="466">
        <f>-K38+'Acct Summary 7-8'!K81</f>
        <v>567822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28011134</v>
      </c>
      <c r="N40" s="497"/>
    </row>
    <row r="41" spans="1:14" ht="13.5" customHeight="1" thickBot="1" x14ac:dyDescent="0.25">
      <c r="A41" s="1734" t="s">
        <v>655</v>
      </c>
      <c r="B41" s="1704"/>
      <c r="C41" s="1686">
        <f>(SUM(C34,C37,C38,C39))</f>
        <v>2958479</v>
      </c>
      <c r="D41" s="1686">
        <f t="shared" ref="D41:L41" si="2">SUM(D34,D37,D38:D39)</f>
        <v>1615025</v>
      </c>
      <c r="E41" s="1686">
        <f t="shared" si="2"/>
        <v>82667</v>
      </c>
      <c r="F41" s="1686">
        <f t="shared" si="2"/>
        <v>852249</v>
      </c>
      <c r="G41" s="1686">
        <f t="shared" si="2"/>
        <v>326179</v>
      </c>
      <c r="H41" s="1686">
        <f t="shared" si="2"/>
        <v>2285275</v>
      </c>
      <c r="I41" s="1686">
        <f t="shared" si="2"/>
        <v>819295</v>
      </c>
      <c r="J41" s="1686">
        <f t="shared" si="2"/>
        <v>262982</v>
      </c>
      <c r="K41" s="1686">
        <f t="shared" si="2"/>
        <v>567822</v>
      </c>
      <c r="L41" s="1686">
        <f t="shared" si="2"/>
        <v>203410</v>
      </c>
      <c r="M41" s="1686">
        <f>SUM(M40)</f>
        <v>28011134</v>
      </c>
      <c r="N41" s="1686">
        <f>SUM(N37)</f>
        <v>5755000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2019
&amp;R&amp;8Page &amp;P</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xSplit="2" ySplit="2" topLeftCell="C65" activePane="bottomRight" state="frozen"/>
      <selection pane="topRight" activeCell="C1" sqref="C1"/>
      <selection pane="bottomLeft" activeCell="A3" sqref="A3"/>
      <selection pane="bottomRight" activeCell="D79" sqref="D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1"/>
      <c r="D3" s="1572"/>
      <c r="E3" s="1572"/>
      <c r="F3" s="1572"/>
      <c r="G3" s="1572"/>
      <c r="H3" s="1572"/>
      <c r="I3" s="1572"/>
      <c r="J3" s="1572"/>
      <c r="K3" s="1573"/>
      <c r="L3" s="506"/>
    </row>
    <row r="4" spans="1:13" ht="15.75" customHeight="1" x14ac:dyDescent="0.2">
      <c r="A4" s="1926" t="s">
        <v>1499</v>
      </c>
      <c r="B4" s="1927">
        <v>1000</v>
      </c>
      <c r="C4" s="1740">
        <f>'Revenues 9-14'!C109</f>
        <v>3456081</v>
      </c>
      <c r="D4" s="1740">
        <f>'Revenues 9-14'!D109</f>
        <v>851450</v>
      </c>
      <c r="E4" s="1740">
        <f>'Revenues 9-14'!E109</f>
        <v>405286</v>
      </c>
      <c r="F4" s="1740">
        <f>'Revenues 9-14'!F109</f>
        <v>286768</v>
      </c>
      <c r="G4" s="1740">
        <f>'Revenues 9-14'!G109</f>
        <v>301905</v>
      </c>
      <c r="H4" s="1740">
        <f>'Revenues 9-14'!H109</f>
        <v>41276</v>
      </c>
      <c r="I4" s="1740">
        <f>'Revenues 9-14'!I109</f>
        <v>80561</v>
      </c>
      <c r="J4" s="1740">
        <f>'Revenues 9-14'!J109</f>
        <v>365766</v>
      </c>
      <c r="K4" s="1740">
        <f>'Revenues 9-14'!K109</f>
        <v>75931</v>
      </c>
      <c r="L4" s="347"/>
    </row>
    <row r="5" spans="1:13" ht="15.75" customHeight="1" x14ac:dyDescent="0.2">
      <c r="A5" s="1574" t="s">
        <v>1500</v>
      </c>
      <c r="B5" s="1575">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3356061</v>
      </c>
      <c r="D6" s="1741">
        <f>'Revenues 9-14'!D170</f>
        <v>0</v>
      </c>
      <c r="E6" s="1741">
        <f>'Revenues 9-14'!E170</f>
        <v>0</v>
      </c>
      <c r="F6" s="1741">
        <f>'Revenues 9-14'!F170</f>
        <v>248289</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429468</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7241610</v>
      </c>
      <c r="D8" s="1686">
        <f t="shared" ref="D8:K8" si="0">SUM(D4:D7)</f>
        <v>851450</v>
      </c>
      <c r="E8" s="1686">
        <f t="shared" si="0"/>
        <v>405286</v>
      </c>
      <c r="F8" s="1686">
        <f t="shared" si="0"/>
        <v>535057</v>
      </c>
      <c r="G8" s="1686">
        <f t="shared" si="0"/>
        <v>301905</v>
      </c>
      <c r="H8" s="1686">
        <f t="shared" si="0"/>
        <v>41276</v>
      </c>
      <c r="I8" s="1686">
        <f t="shared" si="0"/>
        <v>80561</v>
      </c>
      <c r="J8" s="1686">
        <f t="shared" si="0"/>
        <v>365766</v>
      </c>
      <c r="K8" s="1686">
        <f t="shared" si="0"/>
        <v>75931</v>
      </c>
      <c r="L8" s="347"/>
    </row>
    <row r="9" spans="1:13" ht="15.75" thickTop="1" x14ac:dyDescent="0.2">
      <c r="A9" s="514" t="s">
        <v>1653</v>
      </c>
      <c r="B9" s="515">
        <v>3998</v>
      </c>
      <c r="C9" s="481">
        <v>1742512</v>
      </c>
      <c r="D9" s="516"/>
      <c r="E9" s="481"/>
      <c r="F9" s="481"/>
      <c r="G9" s="517"/>
      <c r="H9" s="481"/>
      <c r="I9" s="509" t="s">
        <v>1169</v>
      </c>
      <c r="J9" s="478"/>
      <c r="K9" s="481"/>
      <c r="L9" s="347"/>
    </row>
    <row r="10" spans="1:13" s="519" customFormat="1" ht="13.5" thickBot="1" x14ac:dyDescent="0.25">
      <c r="A10" s="1734" t="s">
        <v>1173</v>
      </c>
      <c r="B10" s="1707"/>
      <c r="C10" s="1686">
        <f>SUM(C8:C9)</f>
        <v>8984122</v>
      </c>
      <c r="D10" s="1686">
        <f t="shared" ref="D10:K10" si="1">SUM(D8:D9)</f>
        <v>851450</v>
      </c>
      <c r="E10" s="1686">
        <f t="shared" si="1"/>
        <v>405286</v>
      </c>
      <c r="F10" s="1686">
        <f t="shared" si="1"/>
        <v>535057</v>
      </c>
      <c r="G10" s="1686">
        <f t="shared" si="1"/>
        <v>301905</v>
      </c>
      <c r="H10" s="1686">
        <f t="shared" si="1"/>
        <v>41276</v>
      </c>
      <c r="I10" s="1686">
        <f t="shared" si="1"/>
        <v>80561</v>
      </c>
      <c r="J10" s="1686">
        <f t="shared" si="1"/>
        <v>365766</v>
      </c>
      <c r="K10" s="1686">
        <f t="shared" si="1"/>
        <v>75931</v>
      </c>
      <c r="L10" s="518"/>
    </row>
    <row r="11" spans="1:13" s="519" customFormat="1" ht="16.7" customHeight="1" thickTop="1" x14ac:dyDescent="0.2">
      <c r="A11" s="2114" t="s">
        <v>1176</v>
      </c>
      <c r="B11" s="2115"/>
      <c r="C11" s="1568"/>
      <c r="D11" s="1569"/>
      <c r="E11" s="1569"/>
      <c r="F11" s="1569"/>
      <c r="G11" s="1569"/>
      <c r="H11" s="1569"/>
      <c r="I11" s="1569"/>
      <c r="J11" s="1569"/>
      <c r="K11" s="1570"/>
      <c r="L11" s="518"/>
    </row>
    <row r="12" spans="1:13" ht="15.75" customHeight="1" x14ac:dyDescent="0.2">
      <c r="A12" s="1574" t="s">
        <v>456</v>
      </c>
      <c r="B12" s="1576">
        <v>1000</v>
      </c>
      <c r="C12" s="1740">
        <f>'Expenditures 15-22'!K33</f>
        <v>4735521</v>
      </c>
      <c r="D12" s="520" t="s">
        <v>1169</v>
      </c>
      <c r="E12" s="468" t="s">
        <v>1169</v>
      </c>
      <c r="F12" s="468" t="s">
        <v>1169</v>
      </c>
      <c r="G12" s="1740">
        <f>'Expenditures 15-22'!K229</f>
        <v>118314</v>
      </c>
      <c r="H12" s="521"/>
      <c r="I12" s="468" t="s">
        <v>1169</v>
      </c>
      <c r="J12" s="468" t="s">
        <v>1169</v>
      </c>
      <c r="K12" s="521" t="s">
        <v>1169</v>
      </c>
      <c r="L12" s="347"/>
    </row>
    <row r="13" spans="1:13" ht="15.75" customHeight="1" x14ac:dyDescent="0.2">
      <c r="A13" s="1574" t="s">
        <v>457</v>
      </c>
      <c r="B13" s="1576">
        <v>2000</v>
      </c>
      <c r="C13" s="1741">
        <f>'Expenditures 15-22'!K74</f>
        <v>1657187</v>
      </c>
      <c r="D13" s="1741">
        <f>'Expenditures 15-22'!K129</f>
        <v>854131</v>
      </c>
      <c r="E13" s="469" t="s">
        <v>1169</v>
      </c>
      <c r="F13" s="1741">
        <f>'Expenditures 15-22'!K184</f>
        <v>480167</v>
      </c>
      <c r="G13" s="1741">
        <f>'Expenditures 15-22'!K279</f>
        <v>158358</v>
      </c>
      <c r="H13" s="1741">
        <f>'Expenditures 15-22'!K303</f>
        <v>256284</v>
      </c>
      <c r="I13" s="468" t="s">
        <v>1169</v>
      </c>
      <c r="J13" s="1741">
        <f>'Expenditures 15-22'!K330</f>
        <v>354904</v>
      </c>
      <c r="K13" s="1745">
        <f>'Expenditures 15-22'!K352</f>
        <v>17155</v>
      </c>
      <c r="L13" s="347"/>
    </row>
    <row r="14" spans="1:13" ht="15.75" customHeight="1" x14ac:dyDescent="0.2">
      <c r="A14" s="1574" t="s">
        <v>449</v>
      </c>
      <c r="B14" s="1576">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4" t="s">
        <v>107</v>
      </c>
      <c r="B15" s="1576">
        <v>4000</v>
      </c>
      <c r="C15" s="1741">
        <f>'Expenditures 15-22'!K102</f>
        <v>269479</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402608</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6662187</v>
      </c>
      <c r="D17" s="1686">
        <f t="shared" si="2"/>
        <v>854131</v>
      </c>
      <c r="E17" s="1686">
        <f t="shared" si="2"/>
        <v>402608</v>
      </c>
      <c r="F17" s="1686">
        <f t="shared" si="2"/>
        <v>480167</v>
      </c>
      <c r="G17" s="1686">
        <f t="shared" si="2"/>
        <v>276672</v>
      </c>
      <c r="H17" s="1686">
        <f t="shared" si="2"/>
        <v>256284</v>
      </c>
      <c r="I17" s="468"/>
      <c r="J17" s="1686">
        <f>SUM(J12:J16)</f>
        <v>354904</v>
      </c>
      <c r="K17" s="1686">
        <f>SUM(K12:K16)</f>
        <v>17155</v>
      </c>
      <c r="L17" s="347"/>
    </row>
    <row r="18" spans="1:12" ht="15" customHeight="1" thickTop="1" x14ac:dyDescent="0.2">
      <c r="A18" s="1742" t="s">
        <v>1654</v>
      </c>
      <c r="B18" s="1743">
        <v>4180</v>
      </c>
      <c r="C18" s="1740">
        <f t="shared" ref="C18:H18" si="3">C9</f>
        <v>1742512</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8404699</v>
      </c>
      <c r="D19" s="1686">
        <f t="shared" si="4"/>
        <v>854131</v>
      </c>
      <c r="E19" s="1686">
        <f t="shared" si="4"/>
        <v>402608</v>
      </c>
      <c r="F19" s="1686">
        <f t="shared" si="4"/>
        <v>480167</v>
      </c>
      <c r="G19" s="1686">
        <f t="shared" si="4"/>
        <v>276672</v>
      </c>
      <c r="H19" s="1686">
        <f t="shared" si="4"/>
        <v>256284</v>
      </c>
      <c r="I19" s="468"/>
      <c r="J19" s="1686">
        <f>SUM(J17:J18)</f>
        <v>354904</v>
      </c>
      <c r="K19" s="1686">
        <f>SUM(K17:K18)</f>
        <v>17155</v>
      </c>
      <c r="L19" s="347"/>
    </row>
    <row r="20" spans="1:12" ht="16.5" thickTop="1" thickBot="1" x14ac:dyDescent="0.25">
      <c r="A20" s="2130" t="s">
        <v>1655</v>
      </c>
      <c r="B20" s="2131"/>
      <c r="C20" s="1744">
        <f>C8-C17</f>
        <v>579423</v>
      </c>
      <c r="D20" s="1744">
        <f t="shared" ref="D20:K20" si="5">D8-D17</f>
        <v>-2681</v>
      </c>
      <c r="E20" s="1744">
        <f t="shared" si="5"/>
        <v>2678</v>
      </c>
      <c r="F20" s="1744">
        <f t="shared" si="5"/>
        <v>54890</v>
      </c>
      <c r="G20" s="1744">
        <f t="shared" si="5"/>
        <v>25233</v>
      </c>
      <c r="H20" s="1744">
        <f t="shared" si="5"/>
        <v>-215008</v>
      </c>
      <c r="I20" s="1744">
        <f t="shared" si="5"/>
        <v>80561</v>
      </c>
      <c r="J20" s="1744">
        <f t="shared" si="5"/>
        <v>10862</v>
      </c>
      <c r="K20" s="1744">
        <f t="shared" si="5"/>
        <v>58776</v>
      </c>
      <c r="L20" s="347"/>
    </row>
    <row r="21" spans="1:12" ht="16.7" customHeight="1" thickTop="1" x14ac:dyDescent="0.2">
      <c r="A21" s="2142" t="s">
        <v>595</v>
      </c>
      <c r="B21" s="2143"/>
      <c r="C21" s="1568"/>
      <c r="D21" s="1569"/>
      <c r="E21" s="1569"/>
      <c r="F21" s="1569"/>
      <c r="G21" s="1569"/>
      <c r="H21" s="1569"/>
      <c r="I21" s="1569"/>
      <c r="J21" s="1569"/>
      <c r="K21" s="1570"/>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v>64757</v>
      </c>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1794</v>
      </c>
      <c r="B30" s="527">
        <v>7160</v>
      </c>
      <c r="C30" s="477"/>
      <c r="D30" s="467"/>
      <c r="E30" s="477"/>
      <c r="F30" s="477"/>
      <c r="G30" s="477"/>
      <c r="H30" s="477"/>
      <c r="I30" s="477"/>
      <c r="J30" s="477"/>
      <c r="K30" s="477"/>
      <c r="L30" s="524"/>
    </row>
    <row r="31" spans="1:12" s="485" customFormat="1" ht="26.25" x14ac:dyDescent="0.2">
      <c r="A31" s="1487"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v>2120000</v>
      </c>
      <c r="I33" s="467"/>
      <c r="J33" s="467"/>
      <c r="K33" s="467"/>
      <c r="L33" s="524"/>
    </row>
    <row r="34" spans="1:12" s="485" customFormat="1" x14ac:dyDescent="0.2">
      <c r="A34" s="1487" t="s">
        <v>1001</v>
      </c>
      <c r="B34" s="525">
        <v>7220</v>
      </c>
      <c r="C34" s="467"/>
      <c r="D34" s="467"/>
      <c r="E34" s="467"/>
      <c r="F34" s="467"/>
      <c r="G34" s="477"/>
      <c r="H34" s="478">
        <v>283810</v>
      </c>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0</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1">
        <f>SUM(C24:C43)</f>
        <v>0</v>
      </c>
      <c r="D44" s="1701">
        <f t="shared" ref="D44:K44" si="6">SUM(D24:D43)</f>
        <v>0</v>
      </c>
      <c r="E44" s="1701">
        <f t="shared" si="6"/>
        <v>0</v>
      </c>
      <c r="F44" s="1701">
        <f t="shared" si="6"/>
        <v>0</v>
      </c>
      <c r="G44" s="1701">
        <f t="shared" si="6"/>
        <v>0</v>
      </c>
      <c r="H44" s="1701">
        <f t="shared" si="6"/>
        <v>2468567</v>
      </c>
      <c r="I44" s="1701">
        <f t="shared" si="6"/>
        <v>0</v>
      </c>
      <c r="J44" s="1701">
        <f t="shared" si="6"/>
        <v>0</v>
      </c>
      <c r="K44" s="1701">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64757</v>
      </c>
      <c r="J47" s="477"/>
      <c r="K47" s="477"/>
      <c r="L47" s="529"/>
    </row>
    <row r="48" spans="1:12" s="485" customFormat="1" ht="15" x14ac:dyDescent="0.2">
      <c r="A48" s="1488" t="s">
        <v>1660</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41">
        <f>D30</f>
        <v>0</v>
      </c>
      <c r="L52" s="524"/>
    </row>
    <row r="53" spans="1:12" s="485" customFormat="1" ht="26.25" x14ac:dyDescent="0.2">
      <c r="A53" s="1488" t="s">
        <v>1796</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1">
        <f t="shared" ref="C76:K76" si="7">SUM(C47:C75)</f>
        <v>0</v>
      </c>
      <c r="D76" s="1701">
        <f t="shared" si="7"/>
        <v>0</v>
      </c>
      <c r="E76" s="1701">
        <f t="shared" si="7"/>
        <v>0</v>
      </c>
      <c r="F76" s="1701">
        <f t="shared" si="7"/>
        <v>0</v>
      </c>
      <c r="G76" s="1701">
        <f t="shared" si="7"/>
        <v>0</v>
      </c>
      <c r="H76" s="1701">
        <f t="shared" si="7"/>
        <v>0</v>
      </c>
      <c r="I76" s="1701">
        <f t="shared" si="7"/>
        <v>64757</v>
      </c>
      <c r="J76" s="1701">
        <f t="shared" si="7"/>
        <v>0</v>
      </c>
      <c r="K76" s="1701">
        <f t="shared" si="7"/>
        <v>0</v>
      </c>
      <c r="L76" s="524"/>
    </row>
    <row r="77" spans="1:12" ht="14.25" thickTop="1" thickBot="1" x14ac:dyDescent="0.25">
      <c r="A77" s="2122" t="s">
        <v>1177</v>
      </c>
      <c r="B77" s="2123"/>
      <c r="C77" s="1701">
        <f t="shared" ref="C77:K77" si="8">C44-C76</f>
        <v>0</v>
      </c>
      <c r="D77" s="1701">
        <f t="shared" si="8"/>
        <v>0</v>
      </c>
      <c r="E77" s="1701">
        <f t="shared" si="8"/>
        <v>0</v>
      </c>
      <c r="F77" s="1701">
        <f t="shared" si="8"/>
        <v>0</v>
      </c>
      <c r="G77" s="1701">
        <f t="shared" si="8"/>
        <v>0</v>
      </c>
      <c r="H77" s="1701">
        <f t="shared" si="8"/>
        <v>2468567</v>
      </c>
      <c r="I77" s="1701">
        <f t="shared" si="8"/>
        <v>-64757</v>
      </c>
      <c r="J77" s="1701">
        <f t="shared" si="8"/>
        <v>0</v>
      </c>
      <c r="K77" s="1701">
        <f t="shared" si="8"/>
        <v>0</v>
      </c>
      <c r="L77" s="347"/>
    </row>
    <row r="78" spans="1:12" ht="21.75" customHeight="1" thickTop="1" thickBot="1" x14ac:dyDescent="0.25">
      <c r="A78" s="2126" t="s">
        <v>597</v>
      </c>
      <c r="B78" s="2127"/>
      <c r="C78" s="1700">
        <f t="shared" ref="C78:K78" si="9">C20+C77</f>
        <v>579423</v>
      </c>
      <c r="D78" s="1700">
        <f t="shared" si="9"/>
        <v>-2681</v>
      </c>
      <c r="E78" s="1700">
        <f t="shared" si="9"/>
        <v>2678</v>
      </c>
      <c r="F78" s="1700">
        <f t="shared" si="9"/>
        <v>54890</v>
      </c>
      <c r="G78" s="1700">
        <f t="shared" si="9"/>
        <v>25233</v>
      </c>
      <c r="H78" s="1700">
        <f t="shared" si="9"/>
        <v>2253559</v>
      </c>
      <c r="I78" s="1700">
        <f t="shared" si="9"/>
        <v>15804</v>
      </c>
      <c r="J78" s="1700">
        <f t="shared" si="9"/>
        <v>10862</v>
      </c>
      <c r="K78" s="1700">
        <f t="shared" si="9"/>
        <v>58776</v>
      </c>
      <c r="L78" s="533"/>
    </row>
    <row r="79" spans="1:12" ht="13.5" thickTop="1" x14ac:dyDescent="0.2">
      <c r="A79" s="1492" t="s">
        <v>1949</v>
      </c>
      <c r="B79" s="534"/>
      <c r="C79" s="478">
        <v>2379056</v>
      </c>
      <c r="D79" s="535">
        <v>1617706</v>
      </c>
      <c r="E79" s="535">
        <v>79989</v>
      </c>
      <c r="F79" s="535">
        <v>797359</v>
      </c>
      <c r="G79" s="535">
        <v>300946</v>
      </c>
      <c r="H79" s="535">
        <v>31716</v>
      </c>
      <c r="I79" s="535">
        <v>803491</v>
      </c>
      <c r="J79" s="535">
        <v>252120</v>
      </c>
      <c r="K79" s="535">
        <v>509046</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1950</v>
      </c>
      <c r="B81" s="2125"/>
      <c r="C81" s="1686">
        <f>(SUM(C78:C80))</f>
        <v>2958479</v>
      </c>
      <c r="D81" s="1686">
        <f>SUM(D78:D80)</f>
        <v>1615025</v>
      </c>
      <c r="E81" s="1686">
        <f t="shared" ref="E81:K81" si="10">SUM(E78:E80)</f>
        <v>82667</v>
      </c>
      <c r="F81" s="1686">
        <f t="shared" si="10"/>
        <v>852249</v>
      </c>
      <c r="G81" s="1686">
        <f t="shared" si="10"/>
        <v>326179</v>
      </c>
      <c r="H81" s="1686">
        <f t="shared" si="10"/>
        <v>2285275</v>
      </c>
      <c r="I81" s="1686">
        <f t="shared" si="10"/>
        <v>819295</v>
      </c>
      <c r="J81" s="1686">
        <f t="shared" si="10"/>
        <v>262982</v>
      </c>
      <c r="K81" s="1686">
        <f t="shared" si="10"/>
        <v>567822</v>
      </c>
      <c r="L81" s="347"/>
    </row>
    <row r="82" spans="1:12" ht="0.75" customHeight="1" thickTop="1" thickBot="1" x14ac:dyDescent="0.25">
      <c r="A82" s="536" t="s">
        <v>343</v>
      </c>
      <c r="B82" s="537"/>
      <c r="C82" s="538">
        <f>(C81-C79)</f>
        <v>579423</v>
      </c>
      <c r="D82" s="538">
        <f t="shared" ref="D82:K82" si="11">(D81-D79)</f>
        <v>-2681</v>
      </c>
      <c r="E82" s="538">
        <f t="shared" si="11"/>
        <v>2678</v>
      </c>
      <c r="F82" s="538">
        <f t="shared" si="11"/>
        <v>54890</v>
      </c>
      <c r="G82" s="538">
        <f t="shared" si="11"/>
        <v>25233</v>
      </c>
      <c r="H82" s="538">
        <f t="shared" si="11"/>
        <v>2253559</v>
      </c>
      <c r="I82" s="538">
        <f t="shared" si="11"/>
        <v>15804</v>
      </c>
      <c r="J82" s="538">
        <f t="shared" si="11"/>
        <v>10862</v>
      </c>
      <c r="K82" s="538">
        <f t="shared" si="11"/>
        <v>58776</v>
      </c>
    </row>
    <row r="83" spans="1:12" ht="14.25" hidden="1" thickTop="1" thickBot="1" x14ac:dyDescent="0.25">
      <c r="A83" s="539" t="s">
        <v>344</v>
      </c>
      <c r="B83" s="464"/>
      <c r="C83" s="540">
        <f>C82/C81</f>
        <v>0.19585165214963499</v>
      </c>
      <c r="D83" s="540">
        <f t="shared" ref="D83:K83" si="12">D82/D81</f>
        <v>-1.6600362223494992E-3</v>
      </c>
      <c r="E83" s="540">
        <f t="shared" si="12"/>
        <v>3.2395030665198929E-2</v>
      </c>
      <c r="F83" s="540">
        <f t="shared" si="12"/>
        <v>6.4406059731369592E-2</v>
      </c>
      <c r="G83" s="540">
        <f t="shared" si="12"/>
        <v>7.7359364030179747E-2</v>
      </c>
      <c r="H83" s="540">
        <f t="shared" si="12"/>
        <v>0.98612158274168316</v>
      </c>
      <c r="I83" s="540">
        <f t="shared" si="12"/>
        <v>1.9289755216375055E-2</v>
      </c>
      <c r="J83" s="540">
        <f t="shared" si="12"/>
        <v>4.1303207063601313E-2</v>
      </c>
      <c r="K83" s="540">
        <f t="shared" si="12"/>
        <v>0.10351131164343756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FINANCING 
SOURCES (USES) AND CHANGES IN FUND BALANCE - ALL FUNDS
FOR THE YEAR ENDING JUNE 30, 2019 &amp;R&amp;8Page &amp;P</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124" colorId="8" zoomScaleNormal="100" zoomScaleSheetLayoutView="75" workbookViewId="0">
      <selection activeCell="C135" sqref="C13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v>2491058</v>
      </c>
      <c r="D5" s="481">
        <v>779293</v>
      </c>
      <c r="E5" s="466">
        <v>403472</v>
      </c>
      <c r="F5" s="548">
        <v>271060</v>
      </c>
      <c r="G5" s="466">
        <v>140476</v>
      </c>
      <c r="H5" s="466">
        <v>0</v>
      </c>
      <c r="I5" s="466">
        <v>67765</v>
      </c>
      <c r="J5" s="466">
        <v>361219</v>
      </c>
      <c r="K5" s="466">
        <v>67765</v>
      </c>
    </row>
    <row r="6" spans="1:12" ht="15" x14ac:dyDescent="0.2">
      <c r="A6" s="463" t="s">
        <v>1662</v>
      </c>
      <c r="B6" s="470">
        <v>1130</v>
      </c>
      <c r="C6" s="466">
        <v>27765</v>
      </c>
      <c r="D6" s="466">
        <v>40000</v>
      </c>
      <c r="E6" s="475"/>
      <c r="F6" s="475"/>
      <c r="G6" s="468"/>
      <c r="H6" s="468"/>
      <c r="I6" s="468"/>
      <c r="J6" s="468"/>
      <c r="K6" s="468"/>
    </row>
    <row r="7" spans="1:12" x14ac:dyDescent="0.2">
      <c r="A7" s="463" t="s">
        <v>110</v>
      </c>
      <c r="B7" s="549">
        <v>1140</v>
      </c>
      <c r="C7" s="466">
        <v>54213</v>
      </c>
      <c r="D7" s="466">
        <v>0</v>
      </c>
      <c r="E7" s="468"/>
      <c r="F7" s="467">
        <v>0</v>
      </c>
      <c r="G7" s="467">
        <v>0</v>
      </c>
      <c r="H7" s="467">
        <v>0</v>
      </c>
      <c r="I7" s="468"/>
      <c r="J7" s="468"/>
      <c r="K7" s="468"/>
    </row>
    <row r="8" spans="1:12" x14ac:dyDescent="0.2">
      <c r="A8" s="463" t="s">
        <v>413</v>
      </c>
      <c r="B8" s="470">
        <v>1150</v>
      </c>
      <c r="C8" s="475"/>
      <c r="D8" s="475"/>
      <c r="E8" s="477"/>
      <c r="F8" s="477"/>
      <c r="G8" s="481">
        <v>140476</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6">
        <v>0</v>
      </c>
      <c r="K11" s="466">
        <v>0</v>
      </c>
      <c r="L11" s="552"/>
    </row>
    <row r="12" spans="1:12" ht="12.75" customHeight="1" thickBot="1" x14ac:dyDescent="0.25">
      <c r="A12" s="1703" t="s">
        <v>29</v>
      </c>
      <c r="B12" s="1704"/>
      <c r="C12" s="1705">
        <f t="shared" ref="C12:K12" si="0">SUM(C5:C11)</f>
        <v>2573036</v>
      </c>
      <c r="D12" s="1705">
        <f t="shared" si="0"/>
        <v>819293</v>
      </c>
      <c r="E12" s="1705">
        <f t="shared" si="0"/>
        <v>403472</v>
      </c>
      <c r="F12" s="1705">
        <f t="shared" si="0"/>
        <v>271060</v>
      </c>
      <c r="G12" s="1705">
        <f t="shared" si="0"/>
        <v>280952</v>
      </c>
      <c r="H12" s="1705">
        <f t="shared" si="0"/>
        <v>0</v>
      </c>
      <c r="I12" s="1705">
        <f t="shared" si="0"/>
        <v>67765</v>
      </c>
      <c r="J12" s="1705">
        <f t="shared" si="0"/>
        <v>361219</v>
      </c>
      <c r="K12" s="1686">
        <f t="shared" si="0"/>
        <v>67765</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1013</v>
      </c>
      <c r="D14" s="466">
        <v>335</v>
      </c>
      <c r="E14" s="466">
        <v>160</v>
      </c>
      <c r="F14" s="466">
        <v>108</v>
      </c>
      <c r="G14" s="466">
        <v>111</v>
      </c>
      <c r="H14" s="466">
        <v>0</v>
      </c>
      <c r="I14" s="466">
        <v>27</v>
      </c>
      <c r="J14" s="466">
        <v>143</v>
      </c>
      <c r="K14" s="466">
        <v>27</v>
      </c>
    </row>
    <row r="15" spans="1:12" ht="12.75" customHeight="1" x14ac:dyDescent="0.2">
      <c r="A15" s="463" t="s">
        <v>95</v>
      </c>
      <c r="B15" s="470">
        <v>1220</v>
      </c>
      <c r="C15" s="551">
        <v>0</v>
      </c>
      <c r="D15" s="466">
        <v>0</v>
      </c>
      <c r="E15" s="466">
        <v>0</v>
      </c>
      <c r="F15" s="466">
        <v>0</v>
      </c>
      <c r="G15" s="466">
        <v>0</v>
      </c>
      <c r="H15" s="466">
        <v>0</v>
      </c>
      <c r="I15" s="466">
        <v>0</v>
      </c>
      <c r="J15" s="466">
        <v>0</v>
      </c>
      <c r="K15" s="466">
        <v>0</v>
      </c>
    </row>
    <row r="16" spans="1:12" ht="15" customHeight="1" x14ac:dyDescent="0.2">
      <c r="A16" s="463" t="s">
        <v>1663</v>
      </c>
      <c r="B16" s="549">
        <v>1230</v>
      </c>
      <c r="C16" s="551">
        <v>143650</v>
      </c>
      <c r="D16" s="466">
        <v>0</v>
      </c>
      <c r="E16" s="466">
        <v>0</v>
      </c>
      <c r="F16" s="466">
        <v>0</v>
      </c>
      <c r="G16" s="466">
        <v>15961</v>
      </c>
      <c r="H16" s="466">
        <v>0</v>
      </c>
      <c r="I16" s="466">
        <v>0</v>
      </c>
      <c r="J16" s="466">
        <v>0</v>
      </c>
      <c r="K16" s="466">
        <v>0</v>
      </c>
    </row>
    <row r="17" spans="1:11" ht="12.75" customHeight="1" x14ac:dyDescent="0.2">
      <c r="A17" s="463" t="s">
        <v>807</v>
      </c>
      <c r="B17" s="470">
        <v>1290</v>
      </c>
      <c r="C17" s="551">
        <v>0</v>
      </c>
      <c r="D17" s="466">
        <v>0</v>
      </c>
      <c r="E17" s="466">
        <v>0</v>
      </c>
      <c r="F17" s="466">
        <v>0</v>
      </c>
      <c r="G17" s="466">
        <v>0</v>
      </c>
      <c r="H17" s="466">
        <v>0</v>
      </c>
      <c r="I17" s="466">
        <v>0</v>
      </c>
      <c r="J17" s="466">
        <v>0</v>
      </c>
      <c r="K17" s="466">
        <v>0</v>
      </c>
    </row>
    <row r="18" spans="1:11" ht="12.75" customHeight="1" thickBot="1" x14ac:dyDescent="0.25">
      <c r="A18" s="1706" t="s">
        <v>537</v>
      </c>
      <c r="B18" s="1707"/>
      <c r="C18" s="1708">
        <f>SUM(C14:C17)</f>
        <v>144663</v>
      </c>
      <c r="D18" s="1708">
        <f t="shared" ref="D18:K18" si="1">SUM(D14:D17)</f>
        <v>335</v>
      </c>
      <c r="E18" s="1708">
        <f t="shared" si="1"/>
        <v>160</v>
      </c>
      <c r="F18" s="1708">
        <f t="shared" si="1"/>
        <v>108</v>
      </c>
      <c r="G18" s="1708">
        <f t="shared" si="1"/>
        <v>16072</v>
      </c>
      <c r="H18" s="1708">
        <f t="shared" si="1"/>
        <v>0</v>
      </c>
      <c r="I18" s="1708">
        <f t="shared" si="1"/>
        <v>27</v>
      </c>
      <c r="J18" s="1708">
        <f t="shared" si="1"/>
        <v>143</v>
      </c>
      <c r="K18" s="1709">
        <f t="shared" si="1"/>
        <v>27</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41825</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6" t="s">
        <v>538</v>
      </c>
      <c r="B40" s="1707"/>
      <c r="C40" s="1686">
        <f>SUM(C20:C39)</f>
        <v>41825</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50475</v>
      </c>
      <c r="D65" s="466">
        <v>23959</v>
      </c>
      <c r="E65" s="466">
        <v>1654</v>
      </c>
      <c r="F65" s="467">
        <v>10101</v>
      </c>
      <c r="G65" s="466">
        <v>4881</v>
      </c>
      <c r="H65" s="466">
        <v>11731</v>
      </c>
      <c r="I65" s="466">
        <v>12769</v>
      </c>
      <c r="J65" s="466">
        <v>3969</v>
      </c>
      <c r="K65" s="466">
        <v>8139</v>
      </c>
    </row>
    <row r="66" spans="1:11" ht="12.75" customHeight="1" x14ac:dyDescent="0.2">
      <c r="A66" s="463" t="s">
        <v>679</v>
      </c>
      <c r="B66" s="470">
        <v>1520</v>
      </c>
      <c r="C66" s="466">
        <v>0</v>
      </c>
      <c r="D66" s="466">
        <v>0</v>
      </c>
      <c r="E66" s="466">
        <v>0</v>
      </c>
      <c r="F66" s="466">
        <v>0</v>
      </c>
      <c r="G66" s="466">
        <v>0</v>
      </c>
      <c r="H66" s="466">
        <v>0</v>
      </c>
      <c r="I66" s="466">
        <v>0</v>
      </c>
      <c r="J66" s="466">
        <v>0</v>
      </c>
      <c r="K66" s="466">
        <v>0</v>
      </c>
    </row>
    <row r="67" spans="1:11" ht="12.75" customHeight="1" thickBot="1" x14ac:dyDescent="0.25">
      <c r="A67" s="1706" t="s">
        <v>486</v>
      </c>
      <c r="B67" s="1707"/>
      <c r="C67" s="1686">
        <f>SUM(C65:C66)</f>
        <v>50475</v>
      </c>
      <c r="D67" s="1686">
        <f t="shared" ref="D67:K67" si="2">SUM(D65:D66)</f>
        <v>23959</v>
      </c>
      <c r="E67" s="1686">
        <f t="shared" si="2"/>
        <v>1654</v>
      </c>
      <c r="F67" s="1686">
        <f t="shared" si="2"/>
        <v>10101</v>
      </c>
      <c r="G67" s="1686">
        <f t="shared" si="2"/>
        <v>4881</v>
      </c>
      <c r="H67" s="1686">
        <f t="shared" si="2"/>
        <v>11731</v>
      </c>
      <c r="I67" s="1686">
        <f t="shared" si="2"/>
        <v>12769</v>
      </c>
      <c r="J67" s="1686">
        <f t="shared" si="2"/>
        <v>3969</v>
      </c>
      <c r="K67" s="1686">
        <f t="shared" si="2"/>
        <v>8139</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360376</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6" t="s">
        <v>548</v>
      </c>
      <c r="B75" s="1707"/>
      <c r="C75" s="1686">
        <f>SUM(C69:C74)</f>
        <v>360376</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50837</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161744</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4122</v>
      </c>
      <c r="D81" s="466">
        <v>0</v>
      </c>
      <c r="E81" s="468"/>
      <c r="F81" s="468"/>
      <c r="G81" s="468"/>
      <c r="H81" s="468"/>
      <c r="I81" s="468"/>
      <c r="J81" s="468"/>
      <c r="K81" s="468"/>
    </row>
    <row r="82" spans="1:11" ht="12.75" customHeight="1" thickBot="1" x14ac:dyDescent="0.25">
      <c r="A82" s="1706" t="s">
        <v>241</v>
      </c>
      <c r="B82" s="1707"/>
      <c r="C82" s="1705">
        <f>SUM(C77:C81)</f>
        <v>216703</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6" t="s">
        <v>243</v>
      </c>
      <c r="B93" s="1707"/>
      <c r="C93" s="1686">
        <f>SUM(C84:C92)</f>
        <v>0</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93"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89">
        <v>0</v>
      </c>
      <c r="K99" s="489">
        <v>0</v>
      </c>
    </row>
    <row r="100" spans="1:12" ht="12.75" customHeight="1" x14ac:dyDescent="0.2">
      <c r="A100" s="463" t="s">
        <v>245</v>
      </c>
      <c r="B100" s="470">
        <v>1960</v>
      </c>
      <c r="C100" s="489">
        <v>0</v>
      </c>
      <c r="D100" s="489">
        <v>0</v>
      </c>
      <c r="E100" s="489">
        <v>0</v>
      </c>
      <c r="F100" s="489">
        <v>0</v>
      </c>
      <c r="G100" s="489">
        <v>0</v>
      </c>
      <c r="H100" s="489">
        <v>0</v>
      </c>
      <c r="I100" s="489">
        <v>0</v>
      </c>
      <c r="J100" s="489">
        <v>0</v>
      </c>
      <c r="K100" s="489">
        <v>0</v>
      </c>
    </row>
    <row r="101" spans="1:12" ht="12.75" customHeight="1" x14ac:dyDescent="0.2">
      <c r="A101" s="463" t="s">
        <v>246</v>
      </c>
      <c r="B101" s="470">
        <v>1970</v>
      </c>
      <c r="C101" s="489">
        <v>24000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89">
        <v>0</v>
      </c>
      <c r="J102" s="489">
        <v>0</v>
      </c>
      <c r="K102" s="489">
        <v>0</v>
      </c>
    </row>
    <row r="103" spans="1:12" ht="12.75" customHeight="1" x14ac:dyDescent="0.2">
      <c r="A103" s="463" t="s">
        <v>345</v>
      </c>
      <c r="B103" s="470">
        <v>1983</v>
      </c>
      <c r="C103" s="468"/>
      <c r="D103" s="468"/>
      <c r="E103" s="560">
        <v>0</v>
      </c>
      <c r="F103" s="468"/>
      <c r="G103" s="468"/>
      <c r="H103" s="489">
        <v>29545</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1270</v>
      </c>
      <c r="D106" s="489">
        <v>0</v>
      </c>
      <c r="E106" s="467">
        <v>0</v>
      </c>
      <c r="F106" s="467">
        <v>0</v>
      </c>
      <c r="G106" s="467">
        <v>0</v>
      </c>
      <c r="H106" s="467">
        <v>0</v>
      </c>
      <c r="I106" s="521"/>
      <c r="J106" s="467">
        <v>0</v>
      </c>
      <c r="K106" s="467">
        <v>0</v>
      </c>
    </row>
    <row r="107" spans="1:12" ht="12.75" customHeight="1" x14ac:dyDescent="0.2">
      <c r="A107" s="463" t="s">
        <v>78</v>
      </c>
      <c r="B107" s="470">
        <v>1999</v>
      </c>
      <c r="C107" s="551">
        <v>43733</v>
      </c>
      <c r="D107" s="466">
        <v>7863</v>
      </c>
      <c r="E107" s="466">
        <v>0</v>
      </c>
      <c r="F107" s="466">
        <v>5499</v>
      </c>
      <c r="G107" s="466">
        <v>0</v>
      </c>
      <c r="H107" s="466">
        <v>0</v>
      </c>
      <c r="I107" s="466">
        <v>0</v>
      </c>
      <c r="J107" s="467">
        <v>435</v>
      </c>
      <c r="K107" s="466">
        <v>0</v>
      </c>
    </row>
    <row r="108" spans="1:12" ht="12.75" customHeight="1" thickBot="1" x14ac:dyDescent="0.25">
      <c r="A108" s="1706" t="s">
        <v>487</v>
      </c>
      <c r="B108" s="1710"/>
      <c r="C108" s="1705">
        <f>SUM(C95:C107)</f>
        <v>69003</v>
      </c>
      <c r="D108" s="1705">
        <f t="shared" ref="D108:K108" si="3">SUM(D95:D107)</f>
        <v>7863</v>
      </c>
      <c r="E108" s="1705">
        <f t="shared" si="3"/>
        <v>0</v>
      </c>
      <c r="F108" s="1705">
        <f t="shared" si="3"/>
        <v>5499</v>
      </c>
      <c r="G108" s="1705">
        <f t="shared" si="3"/>
        <v>0</v>
      </c>
      <c r="H108" s="1705">
        <f t="shared" si="3"/>
        <v>29545</v>
      </c>
      <c r="I108" s="1705">
        <f t="shared" si="3"/>
        <v>0</v>
      </c>
      <c r="J108" s="1705">
        <f t="shared" si="3"/>
        <v>435</v>
      </c>
      <c r="K108" s="1686">
        <f t="shared" si="3"/>
        <v>0</v>
      </c>
    </row>
    <row r="109" spans="1:12" ht="14.25" thickTop="1" thickBot="1" x14ac:dyDescent="0.25">
      <c r="A109" s="1711" t="s">
        <v>248</v>
      </c>
      <c r="B109" s="1712" t="s">
        <v>570</v>
      </c>
      <c r="C109" s="1713">
        <f t="shared" ref="C109:K109" si="4">SUM(C12,C18,C40,C63,C67,C75,C82,C93,C108,)</f>
        <v>3456081</v>
      </c>
      <c r="D109" s="1713">
        <f t="shared" si="4"/>
        <v>851450</v>
      </c>
      <c r="E109" s="1713">
        <f t="shared" si="4"/>
        <v>405286</v>
      </c>
      <c r="F109" s="1713">
        <f t="shared" si="4"/>
        <v>286768</v>
      </c>
      <c r="G109" s="1713">
        <f t="shared" si="4"/>
        <v>301905</v>
      </c>
      <c r="H109" s="1713">
        <f t="shared" si="4"/>
        <v>41276</v>
      </c>
      <c r="I109" s="1713">
        <f t="shared" si="4"/>
        <v>80561</v>
      </c>
      <c r="J109" s="1713">
        <f t="shared" si="4"/>
        <v>365766</v>
      </c>
      <c r="K109" s="1700">
        <f t="shared" si="4"/>
        <v>75931</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3201799</v>
      </c>
      <c r="D117" s="481">
        <v>0</v>
      </c>
      <c r="E117" s="466">
        <v>0</v>
      </c>
      <c r="F117" s="481">
        <v>0</v>
      </c>
      <c r="G117" s="481">
        <v>0</v>
      </c>
      <c r="H117" s="466">
        <v>0</v>
      </c>
      <c r="I117" s="468"/>
      <c r="J117" s="467">
        <v>0</v>
      </c>
      <c r="K117" s="467">
        <v>0</v>
      </c>
    </row>
    <row r="118" spans="1:11" ht="12.75" customHeight="1" x14ac:dyDescent="0.2">
      <c r="A118" s="463" t="s">
        <v>1799</v>
      </c>
      <c r="B118" s="562">
        <v>3002</v>
      </c>
      <c r="C118" s="551">
        <v>0</v>
      </c>
      <c r="D118" s="466">
        <v>0</v>
      </c>
      <c r="E118" s="466">
        <v>0</v>
      </c>
      <c r="F118" s="466">
        <v>0</v>
      </c>
      <c r="G118" s="466">
        <v>0</v>
      </c>
      <c r="H118" s="466">
        <v>0</v>
      </c>
      <c r="I118" s="468"/>
      <c r="J118" s="467">
        <v>0</v>
      </c>
      <c r="K118" s="467">
        <v>0</v>
      </c>
    </row>
    <row r="119" spans="1:11" ht="12.75" customHeight="1" x14ac:dyDescent="0.2">
      <c r="A119" s="463" t="s">
        <v>1800</v>
      </c>
      <c r="B119" s="562">
        <v>3005</v>
      </c>
      <c r="C119" s="551">
        <v>0</v>
      </c>
      <c r="D119" s="466">
        <v>0</v>
      </c>
      <c r="E119" s="466">
        <v>0</v>
      </c>
      <c r="F119" s="466">
        <v>0</v>
      </c>
      <c r="G119" s="466">
        <v>0</v>
      </c>
      <c r="H119" s="466">
        <v>0</v>
      </c>
      <c r="I119" s="468"/>
      <c r="J119" s="467">
        <v>0</v>
      </c>
      <c r="K119" s="467">
        <v>0</v>
      </c>
    </row>
    <row r="120" spans="1:11" ht="12.75" customHeight="1" x14ac:dyDescent="0.2">
      <c r="A120" s="1928" t="s">
        <v>1936</v>
      </c>
      <c r="B120" s="562">
        <v>3030</v>
      </c>
      <c r="C120" s="551">
        <v>0</v>
      </c>
      <c r="D120" s="466">
        <v>0</v>
      </c>
      <c r="E120" s="466">
        <v>0</v>
      </c>
      <c r="F120" s="466">
        <v>0</v>
      </c>
      <c r="G120" s="466">
        <v>0</v>
      </c>
      <c r="H120" s="466" t="s">
        <v>2072</v>
      </c>
      <c r="I120" s="468"/>
      <c r="J120" s="467">
        <v>0</v>
      </c>
      <c r="K120" s="467">
        <v>0</v>
      </c>
    </row>
    <row r="121" spans="1:11" x14ac:dyDescent="0.2">
      <c r="A121" s="1494" t="s">
        <v>1801</v>
      </c>
      <c r="B121" s="564">
        <v>3099</v>
      </c>
      <c r="C121" s="551">
        <v>0</v>
      </c>
      <c r="D121" s="466">
        <v>0</v>
      </c>
      <c r="E121" s="466">
        <v>0</v>
      </c>
      <c r="F121" s="466">
        <v>0</v>
      </c>
      <c r="G121" s="466">
        <v>0</v>
      </c>
      <c r="H121" s="466">
        <v>0</v>
      </c>
      <c r="I121" s="468"/>
      <c r="J121" s="467">
        <v>0</v>
      </c>
      <c r="K121" s="467">
        <v>0</v>
      </c>
    </row>
    <row r="122" spans="1:11" ht="12.6" customHeight="1" thickBot="1" x14ac:dyDescent="0.25">
      <c r="A122" s="1706" t="s">
        <v>488</v>
      </c>
      <c r="B122" s="1717"/>
      <c r="C122" s="1705">
        <f t="shared" ref="C122:H122" si="5">SUM(C117:C121)</f>
        <v>3201799</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31146</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32436</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6" t="s">
        <v>1032</v>
      </c>
      <c r="B132" s="1718"/>
      <c r="C132" s="1705">
        <f>SUM(C125:C131)</f>
        <v>63582</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24697</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5927</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c r="H140" s="468"/>
      <c r="I140" s="468"/>
      <c r="J140" s="468"/>
      <c r="K140" s="468"/>
    </row>
    <row r="141" spans="1:11" ht="12.75" customHeight="1" thickBot="1" x14ac:dyDescent="0.25">
      <c r="A141" s="1706" t="s">
        <v>603</v>
      </c>
      <c r="B141" s="1718"/>
      <c r="C141" s="1705">
        <f>SUM(C134:C140)</f>
        <v>30624</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v>733</v>
      </c>
      <c r="D146" s="570"/>
      <c r="E146" s="509"/>
      <c r="F146" s="468"/>
      <c r="G146" s="571"/>
      <c r="H146" s="468"/>
      <c r="I146" s="468"/>
      <c r="J146" s="468"/>
      <c r="K146" s="468"/>
    </row>
    <row r="147" spans="1:11" ht="12.75" customHeight="1" thickBot="1" x14ac:dyDescent="0.25">
      <c r="A147" s="1497" t="s">
        <v>922</v>
      </c>
      <c r="B147" s="572">
        <v>3365</v>
      </c>
      <c r="C147" s="573">
        <v>0</v>
      </c>
      <c r="D147" s="532">
        <v>0</v>
      </c>
      <c r="E147" s="561"/>
      <c r="F147" s="468"/>
      <c r="G147" s="532">
        <v>0</v>
      </c>
      <c r="H147" s="468"/>
      <c r="I147" s="468"/>
      <c r="J147" s="468"/>
      <c r="K147" s="468"/>
    </row>
    <row r="148" spans="1:11" ht="12.75" customHeight="1" thickTop="1" thickBot="1" x14ac:dyDescent="0.25">
      <c r="A148" s="1498" t="s">
        <v>138</v>
      </c>
      <c r="B148" s="574">
        <v>3370</v>
      </c>
      <c r="C148" s="573">
        <v>15867</v>
      </c>
      <c r="D148" s="573">
        <v>0</v>
      </c>
      <c r="E148" s="509"/>
      <c r="F148" s="468"/>
      <c r="G148" s="468"/>
      <c r="H148" s="468"/>
      <c r="I148" s="468"/>
      <c r="J148" s="468"/>
      <c r="K148" s="468"/>
    </row>
    <row r="149" spans="1:11" ht="12.75" customHeight="1" thickTop="1" thickBot="1" x14ac:dyDescent="0.25">
      <c r="A149" s="1498"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8"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199179</v>
      </c>
      <c r="G152" s="467">
        <v>0</v>
      </c>
      <c r="H152" s="468"/>
      <c r="I152" s="468"/>
      <c r="J152" s="468"/>
      <c r="K152" s="468"/>
    </row>
    <row r="153" spans="1:11" ht="12.75" customHeight="1" x14ac:dyDescent="0.2">
      <c r="A153" s="463" t="s">
        <v>1057</v>
      </c>
      <c r="B153" s="562">
        <v>3510</v>
      </c>
      <c r="C153" s="551">
        <v>0</v>
      </c>
      <c r="D153" s="466">
        <v>0</v>
      </c>
      <c r="E153" s="561"/>
      <c r="F153" s="466">
        <v>49110</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6" t="s">
        <v>94</v>
      </c>
      <c r="B155" s="1718"/>
      <c r="C155" s="1705">
        <f>SUM(C152:C154)</f>
        <v>0</v>
      </c>
      <c r="D155" s="1705">
        <f>SUM(D152:D154)</f>
        <v>0</v>
      </c>
      <c r="E155" s="561"/>
      <c r="F155" s="1705">
        <f>SUM(F152:F154)</f>
        <v>248289</v>
      </c>
      <c r="G155" s="1705">
        <f>SUM(G152:G154)</f>
        <v>0</v>
      </c>
      <c r="H155" s="468"/>
      <c r="I155" s="468"/>
      <c r="J155" s="468"/>
      <c r="K155" s="468"/>
    </row>
    <row r="156" spans="1:11" ht="12.75" customHeight="1" thickTop="1" thickBot="1" x14ac:dyDescent="0.25">
      <c r="A156" s="1498" t="s">
        <v>380</v>
      </c>
      <c r="B156" s="574">
        <v>3610</v>
      </c>
      <c r="C156" s="576">
        <v>0</v>
      </c>
      <c r="D156" s="468"/>
      <c r="E156" s="509"/>
      <c r="F156" s="468"/>
      <c r="G156" s="468"/>
      <c r="H156" s="468"/>
      <c r="I156" s="468"/>
      <c r="J156" s="468"/>
      <c r="K156" s="468"/>
    </row>
    <row r="157" spans="1:11" ht="12.75" customHeight="1" thickTop="1" thickBot="1" x14ac:dyDescent="0.25">
      <c r="A157" s="1498" t="s">
        <v>50</v>
      </c>
      <c r="B157" s="574">
        <v>3660</v>
      </c>
      <c r="C157" s="573">
        <v>0</v>
      </c>
      <c r="D157" s="578">
        <v>0</v>
      </c>
      <c r="E157" s="561"/>
      <c r="F157" s="578">
        <v>0</v>
      </c>
      <c r="G157" s="578">
        <v>0</v>
      </c>
      <c r="H157" s="468"/>
      <c r="I157" s="468"/>
      <c r="J157" s="468"/>
      <c r="K157" s="468"/>
    </row>
    <row r="158" spans="1:11" ht="12.75" customHeight="1" thickTop="1" thickBot="1" x14ac:dyDescent="0.25">
      <c r="A158" s="1498" t="s">
        <v>1000</v>
      </c>
      <c r="B158" s="574">
        <v>3695</v>
      </c>
      <c r="C158" s="576">
        <v>0</v>
      </c>
      <c r="D158" s="468"/>
      <c r="E158" s="561"/>
      <c r="F158" s="576">
        <v>0</v>
      </c>
      <c r="G158" s="576">
        <v>0</v>
      </c>
      <c r="H158" s="468"/>
      <c r="I158" s="468"/>
      <c r="J158" s="468"/>
      <c r="K158" s="468"/>
    </row>
    <row r="159" spans="1:11" ht="12.75" customHeight="1" thickTop="1" thickBot="1" x14ac:dyDescent="0.25">
      <c r="A159" s="1498" t="s">
        <v>1051</v>
      </c>
      <c r="B159" s="574">
        <v>3705</v>
      </c>
      <c r="C159" s="576">
        <v>0</v>
      </c>
      <c r="D159" s="578">
        <v>0</v>
      </c>
      <c r="E159" s="561"/>
      <c r="F159" s="576">
        <v>0</v>
      </c>
      <c r="G159" s="576">
        <v>0</v>
      </c>
      <c r="H159" s="468"/>
      <c r="I159" s="468"/>
      <c r="J159" s="468"/>
      <c r="K159" s="468"/>
    </row>
    <row r="160" spans="1:11" ht="12.75" customHeight="1" thickTop="1" thickBot="1" x14ac:dyDescent="0.25">
      <c r="A160" s="1498" t="s">
        <v>39</v>
      </c>
      <c r="B160" s="574">
        <v>3766</v>
      </c>
      <c r="C160" s="576">
        <v>0</v>
      </c>
      <c r="D160" s="578">
        <v>0</v>
      </c>
      <c r="E160" s="561"/>
      <c r="F160" s="576">
        <v>0</v>
      </c>
      <c r="G160" s="531">
        <v>0</v>
      </c>
      <c r="H160" s="468"/>
      <c r="I160" s="468"/>
      <c r="J160" s="468"/>
      <c r="K160" s="468"/>
    </row>
    <row r="161" spans="1:11" ht="12.75" customHeight="1" thickTop="1" thickBot="1" x14ac:dyDescent="0.25">
      <c r="A161" s="1498" t="s">
        <v>985</v>
      </c>
      <c r="B161" s="574">
        <v>3767</v>
      </c>
      <c r="C161" s="576">
        <v>0</v>
      </c>
      <c r="D161" s="531">
        <v>0</v>
      </c>
      <c r="E161" s="561"/>
      <c r="F161" s="531">
        <v>0</v>
      </c>
      <c r="G161" s="531">
        <v>0</v>
      </c>
      <c r="H161" s="468"/>
      <c r="I161" s="468"/>
      <c r="J161" s="468"/>
      <c r="K161" s="468"/>
    </row>
    <row r="162" spans="1:11" ht="12.75" customHeight="1" thickTop="1" thickBot="1" x14ac:dyDescent="0.25">
      <c r="A162" s="1498" t="s">
        <v>986</v>
      </c>
      <c r="B162" s="574">
        <v>3775</v>
      </c>
      <c r="C162" s="576">
        <v>0</v>
      </c>
      <c r="D162" s="573">
        <v>0</v>
      </c>
      <c r="E162" s="530">
        <v>0</v>
      </c>
      <c r="F162" s="573">
        <v>0</v>
      </c>
      <c r="G162" s="532">
        <v>0</v>
      </c>
      <c r="H162" s="532">
        <v>0</v>
      </c>
      <c r="I162" s="468"/>
      <c r="J162" s="468"/>
      <c r="K162" s="530">
        <v>0</v>
      </c>
    </row>
    <row r="163" spans="1:11" ht="12.75" customHeight="1" thickTop="1" thickBot="1" x14ac:dyDescent="0.25">
      <c r="A163" s="1498"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4">
        <v>3815</v>
      </c>
      <c r="C164" s="576">
        <v>0</v>
      </c>
      <c r="D164" s="468"/>
      <c r="E164" s="561"/>
      <c r="F164" s="576">
        <v>0</v>
      </c>
      <c r="G164" s="468"/>
      <c r="H164" s="468"/>
      <c r="I164" s="468"/>
      <c r="J164" s="468"/>
      <c r="K164" s="468"/>
    </row>
    <row r="165" spans="1:11" ht="12.75" customHeight="1" thickTop="1" thickBot="1" x14ac:dyDescent="0.25">
      <c r="A165" s="1498" t="s">
        <v>397</v>
      </c>
      <c r="B165" s="574">
        <v>3825</v>
      </c>
      <c r="C165" s="576">
        <v>0</v>
      </c>
      <c r="D165" s="468"/>
      <c r="E165" s="561"/>
      <c r="F165" s="576">
        <v>0</v>
      </c>
      <c r="G165" s="468"/>
      <c r="H165" s="468"/>
      <c r="I165" s="468"/>
      <c r="J165" s="468"/>
      <c r="K165" s="468"/>
    </row>
    <row r="166" spans="1:11" ht="12.75" customHeight="1" thickTop="1" thickBot="1" x14ac:dyDescent="0.25">
      <c r="A166" s="1498" t="s">
        <v>348</v>
      </c>
      <c r="B166" s="574">
        <v>3920</v>
      </c>
      <c r="C166" s="566"/>
      <c r="D166" s="578">
        <v>0</v>
      </c>
      <c r="E166" s="468"/>
      <c r="F166" s="566"/>
      <c r="G166" s="468"/>
      <c r="H166" s="530">
        <v>0</v>
      </c>
      <c r="I166" s="468"/>
      <c r="J166" s="468"/>
      <c r="K166" s="468"/>
    </row>
    <row r="167" spans="1:11" ht="12.75" customHeight="1" thickTop="1" thickBot="1" x14ac:dyDescent="0.25">
      <c r="A167" s="1498" t="s">
        <v>349</v>
      </c>
      <c r="B167" s="574">
        <v>3925</v>
      </c>
      <c r="C167" s="521"/>
      <c r="D167" s="576">
        <v>0</v>
      </c>
      <c r="E167" s="521"/>
      <c r="F167" s="521"/>
      <c r="G167" s="468"/>
      <c r="H167" s="531">
        <v>0</v>
      </c>
      <c r="I167" s="468"/>
      <c r="J167" s="468"/>
      <c r="K167" s="582">
        <v>0</v>
      </c>
    </row>
    <row r="168" spans="1:11" ht="14.25" thickTop="1" thickBot="1" x14ac:dyDescent="0.25">
      <c r="A168" s="1498" t="s">
        <v>70</v>
      </c>
      <c r="B168" s="574">
        <v>3999</v>
      </c>
      <c r="C168" s="579">
        <v>43456</v>
      </c>
      <c r="D168" s="580">
        <v>0</v>
      </c>
      <c r="E168" s="580">
        <v>0</v>
      </c>
      <c r="F168" s="580">
        <v>0</v>
      </c>
      <c r="G168" s="581">
        <v>0</v>
      </c>
      <c r="H168" s="582">
        <v>0</v>
      </c>
      <c r="I168" s="582">
        <v>0</v>
      </c>
      <c r="J168" s="582">
        <v>0</v>
      </c>
      <c r="K168" s="582">
        <v>0</v>
      </c>
    </row>
    <row r="169" spans="1:11" ht="12.75" customHeight="1" thickTop="1" thickBot="1" x14ac:dyDescent="0.25">
      <c r="A169" s="2148" t="s">
        <v>398</v>
      </c>
      <c r="B169" s="2149"/>
      <c r="C169" s="1720">
        <f t="shared" ref="C169:K169" si="6">SUM(C132,C141,C145,C146:C150,C155,C156:C167,C168)</f>
        <v>154262</v>
      </c>
      <c r="D169" s="1720">
        <f t="shared" si="6"/>
        <v>0</v>
      </c>
      <c r="E169" s="1720">
        <f t="shared" si="6"/>
        <v>0</v>
      </c>
      <c r="F169" s="1720">
        <f t="shared" si="6"/>
        <v>248289</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3356061</v>
      </c>
      <c r="D170" s="1713">
        <f t="shared" si="7"/>
        <v>0</v>
      </c>
      <c r="E170" s="1713">
        <f t="shared" si="7"/>
        <v>0</v>
      </c>
      <c r="F170" s="1713">
        <f t="shared" si="7"/>
        <v>248289</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4" t="s">
        <v>1665</v>
      </c>
      <c r="B175" s="2155"/>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6" t="s">
        <v>785</v>
      </c>
      <c r="B181" s="2157"/>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92179</v>
      </c>
      <c r="D191" s="468"/>
      <c r="E191" s="561"/>
      <c r="F191" s="468"/>
      <c r="G191" s="585">
        <v>0</v>
      </c>
      <c r="H191" s="468"/>
      <c r="I191" s="468"/>
      <c r="J191" s="468"/>
      <c r="K191" s="468"/>
    </row>
    <row r="192" spans="1:11" ht="12.75" customHeight="1" x14ac:dyDescent="0.2">
      <c r="A192" s="463" t="s">
        <v>1047</v>
      </c>
      <c r="B192" s="470">
        <v>4215</v>
      </c>
      <c r="C192" s="551">
        <v>170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6" t="s">
        <v>548</v>
      </c>
      <c r="B198" s="1707"/>
      <c r="C198" s="1686">
        <f>SUM(C190:C197)</f>
        <v>92349</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109256</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6" t="s">
        <v>400</v>
      </c>
      <c r="B204" s="1707"/>
      <c r="C204" s="1705">
        <f>SUM(C200:C203)</f>
        <v>109256</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75331</v>
      </c>
      <c r="D213" s="466">
        <v>0</v>
      </c>
      <c r="E213" s="468"/>
      <c r="F213" s="466">
        <v>0</v>
      </c>
      <c r="G213" s="466">
        <v>0</v>
      </c>
      <c r="H213" s="468"/>
      <c r="I213" s="468"/>
      <c r="J213" s="468"/>
      <c r="K213" s="468"/>
    </row>
    <row r="214" spans="1:11" ht="12.75" customHeight="1" x14ac:dyDescent="0.2">
      <c r="A214" s="463" t="s">
        <v>1054</v>
      </c>
      <c r="B214" s="470">
        <v>4625</v>
      </c>
      <c r="C214" s="551">
        <v>123079</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6" t="s">
        <v>447</v>
      </c>
      <c r="B217" s="1707"/>
      <c r="C217" s="1705">
        <f>SUM(C211:C216)</f>
        <v>198410</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v>0</v>
      </c>
      <c r="D253" s="469"/>
      <c r="E253" s="468"/>
      <c r="F253" s="468"/>
      <c r="G253" s="468"/>
      <c r="H253" s="468"/>
      <c r="I253" s="468"/>
      <c r="J253" s="468"/>
      <c r="K253" s="468"/>
    </row>
    <row r="254" spans="1:11" ht="12.75" customHeight="1" thickTop="1" thickBot="1" x14ac:dyDescent="0.25">
      <c r="A254" s="1501"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19892</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8" t="s">
        <v>1937</v>
      </c>
      <c r="B261" s="470">
        <v>4981</v>
      </c>
      <c r="C261" s="575">
        <v>0</v>
      </c>
      <c r="D261" s="576">
        <v>0</v>
      </c>
      <c r="E261" s="468"/>
      <c r="F261" s="576">
        <v>0</v>
      </c>
      <c r="G261" s="576">
        <v>0</v>
      </c>
      <c r="H261" s="468"/>
      <c r="I261" s="468"/>
      <c r="J261" s="468"/>
      <c r="K261" s="468"/>
    </row>
    <row r="262" spans="1:11" ht="12.75" customHeight="1" thickTop="1" thickBot="1" x14ac:dyDescent="0.25">
      <c r="A262" s="1929" t="s">
        <v>1938</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1863</v>
      </c>
      <c r="D263" s="576">
        <v>0</v>
      </c>
      <c r="E263" s="468"/>
      <c r="F263" s="576">
        <v>0</v>
      </c>
      <c r="G263" s="576">
        <v>0</v>
      </c>
      <c r="H263" s="468"/>
      <c r="I263" s="468"/>
      <c r="J263" s="468"/>
      <c r="K263" s="468"/>
    </row>
    <row r="264" spans="1:11" ht="12.75" customHeight="1" thickTop="1" thickBot="1" x14ac:dyDescent="0.25">
      <c r="A264" s="463" t="s">
        <v>377</v>
      </c>
      <c r="B264" s="470">
        <v>4992</v>
      </c>
      <c r="C264" s="575">
        <v>7698</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6" t="s">
        <v>1666</v>
      </c>
      <c r="B266" s="1725"/>
      <c r="C266" s="1713">
        <f t="shared" ref="C266:H266" si="10">SUM(C188,C198,C204,C209,C217,C221,C222,C252:C265)</f>
        <v>429468</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429468</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7241610</v>
      </c>
      <c r="D268" s="1713">
        <f t="shared" si="12"/>
        <v>851450</v>
      </c>
      <c r="E268" s="1713">
        <f t="shared" si="12"/>
        <v>405286</v>
      </c>
      <c r="F268" s="1713">
        <f t="shared" si="12"/>
        <v>535057</v>
      </c>
      <c r="G268" s="1713">
        <f t="shared" si="12"/>
        <v>301905</v>
      </c>
      <c r="H268" s="1713">
        <f t="shared" si="12"/>
        <v>41276</v>
      </c>
      <c r="I268" s="1713">
        <f t="shared" si="12"/>
        <v>80561</v>
      </c>
      <c r="J268" s="1713">
        <f t="shared" si="12"/>
        <v>365766</v>
      </c>
      <c r="K268" s="1700">
        <f t="shared" si="12"/>
        <v>75931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2019&amp;R&amp;8Page &amp;P</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36" colorId="8" zoomScaleNormal="100" workbookViewId="0">
      <selection activeCell="E53" sqref="E5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f>2+3021398</f>
        <v>3021400</v>
      </c>
      <c r="D5" s="466">
        <v>226494</v>
      </c>
      <c r="E5" s="466">
        <v>13108</v>
      </c>
      <c r="F5" s="466">
        <v>162181</v>
      </c>
      <c r="G5" s="466">
        <v>98937</v>
      </c>
      <c r="H5" s="466">
        <v>1761</v>
      </c>
      <c r="I5" s="467"/>
      <c r="J5" s="467"/>
      <c r="K5" s="1669">
        <f>SUM(C5:J5)</f>
        <v>3523881</v>
      </c>
      <c r="L5" s="466">
        <v>3573940</v>
      </c>
    </row>
    <row r="6" spans="1:14" x14ac:dyDescent="0.2">
      <c r="A6" s="1502" t="s">
        <v>1433</v>
      </c>
      <c r="B6" s="614" t="s">
        <v>1431</v>
      </c>
      <c r="C6" s="477"/>
      <c r="D6" s="477"/>
      <c r="E6" s="466"/>
      <c r="F6" s="477"/>
      <c r="G6" s="477"/>
      <c r="H6" s="477"/>
      <c r="I6" s="477"/>
      <c r="J6" s="477"/>
      <c r="K6" s="1669">
        <f>SUM(C6,E6)</f>
        <v>0</v>
      </c>
      <c r="L6" s="466">
        <v>0</v>
      </c>
    </row>
    <row r="7" spans="1:14" x14ac:dyDescent="0.2">
      <c r="A7" s="1502" t="s">
        <v>163</v>
      </c>
      <c r="B7" s="614" t="s">
        <v>967</v>
      </c>
      <c r="C7" s="467">
        <v>39788</v>
      </c>
      <c r="D7" s="467">
        <v>406</v>
      </c>
      <c r="E7" s="467"/>
      <c r="F7" s="467">
        <v>2644</v>
      </c>
      <c r="G7" s="467"/>
      <c r="H7" s="467"/>
      <c r="I7" s="467"/>
      <c r="J7" s="467"/>
      <c r="K7" s="1669">
        <f t="shared" ref="K7:K32" si="0">SUM(C7:J7)</f>
        <v>42838</v>
      </c>
      <c r="L7" s="466">
        <v>43045</v>
      </c>
    </row>
    <row r="8" spans="1:14" x14ac:dyDescent="0.2">
      <c r="A8" s="1502" t="s">
        <v>164</v>
      </c>
      <c r="B8" s="614">
        <v>1200</v>
      </c>
      <c r="C8" s="466">
        <v>527246</v>
      </c>
      <c r="D8" s="466">
        <v>31767</v>
      </c>
      <c r="E8" s="466">
        <v>1232</v>
      </c>
      <c r="F8" s="466">
        <v>5275</v>
      </c>
      <c r="G8" s="466"/>
      <c r="H8" s="466"/>
      <c r="I8" s="467"/>
      <c r="J8" s="467"/>
      <c r="K8" s="1669">
        <f t="shared" si="0"/>
        <v>565520</v>
      </c>
      <c r="L8" s="466">
        <v>570215</v>
      </c>
    </row>
    <row r="9" spans="1:14" x14ac:dyDescent="0.2">
      <c r="A9" s="1502" t="s">
        <v>721</v>
      </c>
      <c r="B9" s="614" t="s">
        <v>968</v>
      </c>
      <c r="C9" s="467"/>
      <c r="D9" s="467"/>
      <c r="E9" s="467"/>
      <c r="F9" s="467"/>
      <c r="G9" s="467"/>
      <c r="H9" s="467"/>
      <c r="I9" s="467"/>
      <c r="J9" s="467"/>
      <c r="K9" s="1669">
        <f t="shared" si="0"/>
        <v>0</v>
      </c>
      <c r="L9" s="466">
        <v>0</v>
      </c>
    </row>
    <row r="10" spans="1:14" x14ac:dyDescent="0.2">
      <c r="A10" s="1502" t="s">
        <v>722</v>
      </c>
      <c r="B10" s="614">
        <v>1250</v>
      </c>
      <c r="C10" s="466">
        <v>71916</v>
      </c>
      <c r="D10" s="466">
        <v>7305</v>
      </c>
      <c r="E10" s="466">
        <v>11998</v>
      </c>
      <c r="F10" s="466">
        <v>158</v>
      </c>
      <c r="G10" s="466"/>
      <c r="H10" s="466"/>
      <c r="I10" s="467"/>
      <c r="J10" s="467"/>
      <c r="K10" s="1669">
        <f t="shared" si="0"/>
        <v>91377</v>
      </c>
      <c r="L10" s="466">
        <v>99600</v>
      </c>
    </row>
    <row r="11" spans="1:14" x14ac:dyDescent="0.2">
      <c r="A11" s="1502" t="s">
        <v>1130</v>
      </c>
      <c r="B11" s="614" t="s">
        <v>161</v>
      </c>
      <c r="C11" s="467"/>
      <c r="D11" s="467"/>
      <c r="E11" s="467"/>
      <c r="F11" s="467"/>
      <c r="G11" s="467"/>
      <c r="H11" s="467"/>
      <c r="I11" s="467"/>
      <c r="J11" s="467"/>
      <c r="K11" s="1669">
        <f t="shared" si="0"/>
        <v>0</v>
      </c>
      <c r="L11" s="466">
        <v>0</v>
      </c>
    </row>
    <row r="12" spans="1:14" x14ac:dyDescent="0.2">
      <c r="A12" s="1502" t="s">
        <v>962</v>
      </c>
      <c r="B12" s="614">
        <v>1300</v>
      </c>
      <c r="C12" s="466"/>
      <c r="D12" s="466"/>
      <c r="E12" s="466"/>
      <c r="F12" s="466"/>
      <c r="G12" s="466"/>
      <c r="H12" s="466"/>
      <c r="I12" s="467"/>
      <c r="J12" s="467"/>
      <c r="K12" s="1669">
        <f t="shared" si="0"/>
        <v>0</v>
      </c>
      <c r="L12" s="466">
        <v>0</v>
      </c>
    </row>
    <row r="13" spans="1:14" x14ac:dyDescent="0.2">
      <c r="A13" s="1502" t="s">
        <v>723</v>
      </c>
      <c r="B13" s="614">
        <v>1400</v>
      </c>
      <c r="C13" s="466">
        <v>171869</v>
      </c>
      <c r="D13" s="466">
        <v>5494</v>
      </c>
      <c r="E13" s="466">
        <v>186</v>
      </c>
      <c r="F13" s="466">
        <v>7520</v>
      </c>
      <c r="G13" s="466"/>
      <c r="H13" s="466">
        <v>14</v>
      </c>
      <c r="I13" s="467"/>
      <c r="J13" s="467"/>
      <c r="K13" s="1669">
        <f t="shared" si="0"/>
        <v>185083</v>
      </c>
      <c r="L13" s="466">
        <v>190835</v>
      </c>
    </row>
    <row r="14" spans="1:14" x14ac:dyDescent="0.2">
      <c r="A14" s="1502" t="s">
        <v>963</v>
      </c>
      <c r="B14" s="614">
        <v>1500</v>
      </c>
      <c r="C14" s="466">
        <v>205583</v>
      </c>
      <c r="D14" s="466">
        <v>11820</v>
      </c>
      <c r="E14" s="466">
        <v>41097</v>
      </c>
      <c r="F14" s="466">
        <v>24784</v>
      </c>
      <c r="G14" s="466">
        <v>3835</v>
      </c>
      <c r="H14" s="466">
        <v>8521</v>
      </c>
      <c r="I14" s="467"/>
      <c r="J14" s="467"/>
      <c r="K14" s="1669">
        <f t="shared" si="0"/>
        <v>295640</v>
      </c>
      <c r="L14" s="466">
        <v>296899</v>
      </c>
    </row>
    <row r="15" spans="1:14" x14ac:dyDescent="0.2">
      <c r="A15" s="1502" t="s">
        <v>964</v>
      </c>
      <c r="B15" s="614">
        <v>1600</v>
      </c>
      <c r="C15" s="466"/>
      <c r="D15" s="466"/>
      <c r="E15" s="466"/>
      <c r="F15" s="466"/>
      <c r="G15" s="466"/>
      <c r="H15" s="466"/>
      <c r="I15" s="467"/>
      <c r="J15" s="467"/>
      <c r="K15" s="1669">
        <f t="shared" si="0"/>
        <v>0</v>
      </c>
      <c r="L15" s="466">
        <v>0</v>
      </c>
    </row>
    <row r="16" spans="1:14" x14ac:dyDescent="0.2">
      <c r="A16" s="1502" t="s">
        <v>987</v>
      </c>
      <c r="B16" s="614" t="s">
        <v>424</v>
      </c>
      <c r="C16" s="466"/>
      <c r="D16" s="466"/>
      <c r="E16" s="466"/>
      <c r="F16" s="466"/>
      <c r="G16" s="466"/>
      <c r="H16" s="466"/>
      <c r="I16" s="467"/>
      <c r="J16" s="467"/>
      <c r="K16" s="1669">
        <f t="shared" si="0"/>
        <v>0</v>
      </c>
      <c r="L16" s="466">
        <v>0</v>
      </c>
    </row>
    <row r="17" spans="1:12" x14ac:dyDescent="0.2">
      <c r="A17" s="1502" t="s">
        <v>724</v>
      </c>
      <c r="B17" s="614" t="s">
        <v>162</v>
      </c>
      <c r="C17" s="467">
        <v>28197</v>
      </c>
      <c r="D17" s="467">
        <v>2985</v>
      </c>
      <c r="E17" s="467"/>
      <c r="F17" s="467"/>
      <c r="G17" s="467"/>
      <c r="H17" s="467"/>
      <c r="I17" s="467"/>
      <c r="J17" s="467"/>
      <c r="K17" s="1669">
        <f t="shared" si="0"/>
        <v>31182</v>
      </c>
      <c r="L17" s="466">
        <v>31236</v>
      </c>
    </row>
    <row r="18" spans="1:12" x14ac:dyDescent="0.2">
      <c r="A18" s="1502" t="s">
        <v>1087</v>
      </c>
      <c r="B18" s="614">
        <v>1800</v>
      </c>
      <c r="C18" s="466"/>
      <c r="D18" s="466"/>
      <c r="E18" s="466"/>
      <c r="F18" s="466"/>
      <c r="G18" s="466"/>
      <c r="H18" s="466"/>
      <c r="I18" s="467"/>
      <c r="J18" s="467"/>
      <c r="K18" s="1669">
        <f t="shared" si="0"/>
        <v>0</v>
      </c>
      <c r="L18" s="466">
        <v>0</v>
      </c>
    </row>
    <row r="19" spans="1:12" x14ac:dyDescent="0.2">
      <c r="A19" s="1502" t="s">
        <v>134</v>
      </c>
      <c r="B19" s="614">
        <v>1900</v>
      </c>
      <c r="C19" s="466"/>
      <c r="D19" s="466"/>
      <c r="E19" s="466"/>
      <c r="F19" s="466"/>
      <c r="G19" s="466"/>
      <c r="H19" s="466"/>
      <c r="I19" s="467"/>
      <c r="J19" s="467"/>
      <c r="K19" s="1669">
        <f t="shared" si="0"/>
        <v>0</v>
      </c>
      <c r="L19" s="466">
        <v>0</v>
      </c>
    </row>
    <row r="20" spans="1:12" x14ac:dyDescent="0.2">
      <c r="A20" s="1503" t="s">
        <v>738</v>
      </c>
      <c r="B20" s="602" t="s">
        <v>725</v>
      </c>
      <c r="C20" s="477"/>
      <c r="D20" s="477"/>
      <c r="E20" s="477"/>
      <c r="F20" s="477"/>
      <c r="G20" s="477"/>
      <c r="H20" s="474"/>
      <c r="I20" s="616"/>
      <c r="J20" s="475"/>
      <c r="K20" s="1669">
        <f t="shared" si="0"/>
        <v>0</v>
      </c>
      <c r="L20" s="471">
        <v>0</v>
      </c>
    </row>
    <row r="21" spans="1:12" x14ac:dyDescent="0.2">
      <c r="A21" s="1503" t="s">
        <v>739</v>
      </c>
      <c r="B21" s="602" t="s">
        <v>726</v>
      </c>
      <c r="C21" s="477"/>
      <c r="D21" s="477"/>
      <c r="E21" s="477"/>
      <c r="F21" s="477"/>
      <c r="G21" s="477"/>
      <c r="H21" s="474"/>
      <c r="I21" s="616"/>
      <c r="J21" s="477"/>
      <c r="K21" s="1669">
        <f t="shared" si="0"/>
        <v>0</v>
      </c>
      <c r="L21" s="471">
        <v>0</v>
      </c>
    </row>
    <row r="22" spans="1:12" x14ac:dyDescent="0.2">
      <c r="A22" s="1503" t="s">
        <v>740</v>
      </c>
      <c r="B22" s="602" t="s">
        <v>727</v>
      </c>
      <c r="C22" s="477"/>
      <c r="D22" s="477"/>
      <c r="E22" s="477"/>
      <c r="F22" s="477"/>
      <c r="G22" s="477"/>
      <c r="H22" s="474"/>
      <c r="I22" s="616"/>
      <c r="J22" s="477"/>
      <c r="K22" s="1669">
        <f t="shared" si="0"/>
        <v>0</v>
      </c>
      <c r="L22" s="471">
        <v>0</v>
      </c>
    </row>
    <row r="23" spans="1:12" x14ac:dyDescent="0.2">
      <c r="A23" s="1503" t="s">
        <v>741</v>
      </c>
      <c r="B23" s="602" t="s">
        <v>728</v>
      </c>
      <c r="C23" s="477"/>
      <c r="D23" s="477"/>
      <c r="E23" s="477"/>
      <c r="F23" s="477"/>
      <c r="G23" s="477"/>
      <c r="H23" s="474"/>
      <c r="I23" s="616"/>
      <c r="J23" s="477"/>
      <c r="K23" s="1669">
        <f t="shared" si="0"/>
        <v>0</v>
      </c>
      <c r="L23" s="471">
        <v>0</v>
      </c>
    </row>
    <row r="24" spans="1:12" ht="12.75" customHeight="1" x14ac:dyDescent="0.2">
      <c r="A24" s="1503" t="s">
        <v>742</v>
      </c>
      <c r="B24" s="602" t="s">
        <v>729</v>
      </c>
      <c r="C24" s="477"/>
      <c r="D24" s="477"/>
      <c r="E24" s="477"/>
      <c r="F24" s="477"/>
      <c r="G24" s="477"/>
      <c r="H24" s="474"/>
      <c r="I24" s="616"/>
      <c r="J24" s="477"/>
      <c r="K24" s="1669">
        <f t="shared" si="0"/>
        <v>0</v>
      </c>
      <c r="L24" s="471">
        <v>0</v>
      </c>
    </row>
    <row r="25" spans="1:12" ht="12.75" customHeight="1" x14ac:dyDescent="0.2">
      <c r="A25" s="1503" t="s">
        <v>802</v>
      </c>
      <c r="B25" s="602" t="s">
        <v>730</v>
      </c>
      <c r="C25" s="477"/>
      <c r="D25" s="477"/>
      <c r="E25" s="477"/>
      <c r="F25" s="477"/>
      <c r="G25" s="477"/>
      <c r="H25" s="474"/>
      <c r="I25" s="616"/>
      <c r="J25" s="477"/>
      <c r="K25" s="1669">
        <f t="shared" si="0"/>
        <v>0</v>
      </c>
      <c r="L25" s="471">
        <v>0</v>
      </c>
    </row>
    <row r="26" spans="1:12" x14ac:dyDescent="0.2">
      <c r="A26" s="1503" t="s">
        <v>622</v>
      </c>
      <c r="B26" s="602" t="s">
        <v>731</v>
      </c>
      <c r="C26" s="477"/>
      <c r="D26" s="477"/>
      <c r="E26" s="477"/>
      <c r="F26" s="477"/>
      <c r="G26" s="477"/>
      <c r="H26" s="474"/>
      <c r="I26" s="616"/>
      <c r="J26" s="477"/>
      <c r="K26" s="1669">
        <f t="shared" si="0"/>
        <v>0</v>
      </c>
      <c r="L26" s="471">
        <v>0</v>
      </c>
    </row>
    <row r="27" spans="1:12" x14ac:dyDescent="0.2">
      <c r="A27" s="1503" t="s">
        <v>623</v>
      </c>
      <c r="B27" s="602" t="s">
        <v>732</v>
      </c>
      <c r="C27" s="477"/>
      <c r="D27" s="477"/>
      <c r="E27" s="477"/>
      <c r="F27" s="477"/>
      <c r="G27" s="477"/>
      <c r="H27" s="474"/>
      <c r="I27" s="616"/>
      <c r="J27" s="477"/>
      <c r="K27" s="1669">
        <f t="shared" si="0"/>
        <v>0</v>
      </c>
      <c r="L27" s="471">
        <v>0</v>
      </c>
    </row>
    <row r="28" spans="1:12" x14ac:dyDescent="0.2">
      <c r="A28" s="1503" t="s">
        <v>150</v>
      </c>
      <c r="B28" s="602" t="s">
        <v>733</v>
      </c>
      <c r="C28" s="477"/>
      <c r="D28" s="477"/>
      <c r="E28" s="477"/>
      <c r="F28" s="477"/>
      <c r="G28" s="477"/>
      <c r="H28" s="474"/>
      <c r="I28" s="616"/>
      <c r="J28" s="477"/>
      <c r="K28" s="1669">
        <f t="shared" si="0"/>
        <v>0</v>
      </c>
      <c r="L28" s="471">
        <v>0</v>
      </c>
    </row>
    <row r="29" spans="1:12" x14ac:dyDescent="0.2">
      <c r="A29" s="1503" t="s">
        <v>151</v>
      </c>
      <c r="B29" s="602" t="s">
        <v>734</v>
      </c>
      <c r="C29" s="477"/>
      <c r="D29" s="477"/>
      <c r="E29" s="477"/>
      <c r="F29" s="477"/>
      <c r="G29" s="477"/>
      <c r="H29" s="474"/>
      <c r="I29" s="616"/>
      <c r="J29" s="477"/>
      <c r="K29" s="1669">
        <f t="shared" si="0"/>
        <v>0</v>
      </c>
      <c r="L29" s="471">
        <v>0</v>
      </c>
    </row>
    <row r="30" spans="1:12" x14ac:dyDescent="0.2">
      <c r="A30" s="1503" t="s">
        <v>152</v>
      </c>
      <c r="B30" s="602" t="s">
        <v>735</v>
      </c>
      <c r="C30" s="477"/>
      <c r="D30" s="477"/>
      <c r="E30" s="477"/>
      <c r="F30" s="477"/>
      <c r="G30" s="477"/>
      <c r="H30" s="474"/>
      <c r="I30" s="616"/>
      <c r="J30" s="477"/>
      <c r="K30" s="1669">
        <f t="shared" si="0"/>
        <v>0</v>
      </c>
      <c r="L30" s="471">
        <v>0</v>
      </c>
    </row>
    <row r="31" spans="1:12" x14ac:dyDescent="0.2">
      <c r="A31" s="1503" t="s">
        <v>153</v>
      </c>
      <c r="B31" s="602" t="s">
        <v>736</v>
      </c>
      <c r="C31" s="477"/>
      <c r="D31" s="477"/>
      <c r="E31" s="477"/>
      <c r="F31" s="477"/>
      <c r="G31" s="477"/>
      <c r="H31" s="474"/>
      <c r="I31" s="616"/>
      <c r="J31" s="477"/>
      <c r="K31" s="1669">
        <f t="shared" si="0"/>
        <v>0</v>
      </c>
      <c r="L31" s="471">
        <v>0</v>
      </c>
    </row>
    <row r="32" spans="1:12" x14ac:dyDescent="0.2">
      <c r="A32" s="1504" t="s">
        <v>1129</v>
      </c>
      <c r="B32" s="614" t="s">
        <v>737</v>
      </c>
      <c r="C32" s="477"/>
      <c r="D32" s="477"/>
      <c r="E32" s="477"/>
      <c r="F32" s="477"/>
      <c r="G32" s="477"/>
      <c r="H32" s="474"/>
      <c r="I32" s="616"/>
      <c r="J32" s="480"/>
      <c r="K32" s="1669">
        <f t="shared" si="0"/>
        <v>0</v>
      </c>
      <c r="L32" s="471">
        <v>0</v>
      </c>
    </row>
    <row r="33" spans="1:14" ht="12.75" customHeight="1" thickBot="1" x14ac:dyDescent="0.25">
      <c r="A33" s="1666" t="s">
        <v>1668</v>
      </c>
      <c r="B33" s="1667" t="s">
        <v>570</v>
      </c>
      <c r="C33" s="1668">
        <f>SUM(C5:C32)</f>
        <v>4065999</v>
      </c>
      <c r="D33" s="1668">
        <f t="shared" ref="D33:L33" si="1">SUM(D5:D32)</f>
        <v>286271</v>
      </c>
      <c r="E33" s="1668">
        <f t="shared" si="1"/>
        <v>67621</v>
      </c>
      <c r="F33" s="1668">
        <f t="shared" si="1"/>
        <v>202562</v>
      </c>
      <c r="G33" s="1668">
        <f t="shared" si="1"/>
        <v>102772</v>
      </c>
      <c r="H33" s="1668">
        <f t="shared" si="1"/>
        <v>10296</v>
      </c>
      <c r="I33" s="1668">
        <f t="shared" si="1"/>
        <v>0</v>
      </c>
      <c r="J33" s="1668">
        <f t="shared" si="1"/>
        <v>0</v>
      </c>
      <c r="K33" s="1668">
        <f t="shared" si="1"/>
        <v>4735521</v>
      </c>
      <c r="L33" s="1668">
        <f t="shared" si="1"/>
        <v>4805770</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17957</v>
      </c>
      <c r="D36" s="481">
        <v>1911</v>
      </c>
      <c r="E36" s="481"/>
      <c r="F36" s="481">
        <v>52</v>
      </c>
      <c r="G36" s="481"/>
      <c r="H36" s="481"/>
      <c r="I36" s="467"/>
      <c r="J36" s="467"/>
      <c r="K36" s="1669">
        <f t="shared" ref="K36:K41" si="2">SUM(C36:J36)</f>
        <v>19920</v>
      </c>
      <c r="L36" s="466">
        <v>20170</v>
      </c>
    </row>
    <row r="37" spans="1:14" x14ac:dyDescent="0.2">
      <c r="A37" s="1502" t="s">
        <v>1090</v>
      </c>
      <c r="B37" s="614">
        <v>2120</v>
      </c>
      <c r="C37" s="466">
        <v>161313</v>
      </c>
      <c r="D37" s="466">
        <v>7046</v>
      </c>
      <c r="E37" s="466"/>
      <c r="F37" s="466">
        <v>88</v>
      </c>
      <c r="G37" s="466"/>
      <c r="H37" s="466"/>
      <c r="I37" s="467"/>
      <c r="J37" s="467"/>
      <c r="K37" s="1669">
        <f t="shared" si="2"/>
        <v>168447</v>
      </c>
      <c r="L37" s="466">
        <v>169101</v>
      </c>
    </row>
    <row r="38" spans="1:14" x14ac:dyDescent="0.2">
      <c r="A38" s="1502" t="s">
        <v>198</v>
      </c>
      <c r="B38" s="614">
        <v>2130</v>
      </c>
      <c r="C38" s="466"/>
      <c r="D38" s="466"/>
      <c r="E38" s="466"/>
      <c r="F38" s="466">
        <v>119</v>
      </c>
      <c r="G38" s="466"/>
      <c r="H38" s="466"/>
      <c r="I38" s="467"/>
      <c r="J38" s="467"/>
      <c r="K38" s="1669">
        <f t="shared" si="2"/>
        <v>119</v>
      </c>
      <c r="L38" s="466">
        <v>250</v>
      </c>
    </row>
    <row r="39" spans="1:14" x14ac:dyDescent="0.2">
      <c r="A39" s="1502" t="s">
        <v>199</v>
      </c>
      <c r="B39" s="614">
        <v>2140</v>
      </c>
      <c r="C39" s="466">
        <v>16749</v>
      </c>
      <c r="D39" s="466">
        <v>251</v>
      </c>
      <c r="E39" s="466"/>
      <c r="F39" s="466">
        <v>344</v>
      </c>
      <c r="G39" s="466"/>
      <c r="H39" s="466"/>
      <c r="I39" s="467"/>
      <c r="J39" s="467"/>
      <c r="K39" s="1669">
        <f t="shared" si="2"/>
        <v>17344</v>
      </c>
      <c r="L39" s="466">
        <v>17000</v>
      </c>
    </row>
    <row r="40" spans="1:14" x14ac:dyDescent="0.2">
      <c r="A40" s="1502" t="s">
        <v>200</v>
      </c>
      <c r="B40" s="614">
        <v>2150</v>
      </c>
      <c r="C40" s="466">
        <v>113394</v>
      </c>
      <c r="D40" s="466">
        <v>6333</v>
      </c>
      <c r="E40" s="466"/>
      <c r="F40" s="466">
        <v>423</v>
      </c>
      <c r="G40" s="466"/>
      <c r="H40" s="466"/>
      <c r="I40" s="467"/>
      <c r="J40" s="467"/>
      <c r="K40" s="1669">
        <f t="shared" si="2"/>
        <v>120150</v>
      </c>
      <c r="L40" s="466">
        <v>120185</v>
      </c>
    </row>
    <row r="41" spans="1:14" x14ac:dyDescent="0.2">
      <c r="A41" s="1502" t="s">
        <v>1669</v>
      </c>
      <c r="B41" s="614">
        <v>2190</v>
      </c>
      <c r="C41" s="466"/>
      <c r="D41" s="466"/>
      <c r="E41" s="466"/>
      <c r="F41" s="466">
        <v>7429</v>
      </c>
      <c r="G41" s="466"/>
      <c r="H41" s="466"/>
      <c r="I41" s="467"/>
      <c r="J41" s="467"/>
      <c r="K41" s="1669">
        <f t="shared" si="2"/>
        <v>7429</v>
      </c>
      <c r="L41" s="466">
        <v>7960</v>
      </c>
    </row>
    <row r="42" spans="1:14" ht="12.75" customHeight="1" thickBot="1" x14ac:dyDescent="0.25">
      <c r="A42" s="1666" t="s">
        <v>560</v>
      </c>
      <c r="B42" s="1667" t="s">
        <v>716</v>
      </c>
      <c r="C42" s="1668">
        <f>SUM(C36:C41)</f>
        <v>309413</v>
      </c>
      <c r="D42" s="1668">
        <f t="shared" ref="D42:L42" si="3">SUM(D36:D41)</f>
        <v>15541</v>
      </c>
      <c r="E42" s="1668">
        <f t="shared" si="3"/>
        <v>0</v>
      </c>
      <c r="F42" s="1668">
        <f t="shared" si="3"/>
        <v>8455</v>
      </c>
      <c r="G42" s="1668">
        <f t="shared" si="3"/>
        <v>0</v>
      </c>
      <c r="H42" s="1668">
        <f t="shared" si="3"/>
        <v>0</v>
      </c>
      <c r="I42" s="1668">
        <f t="shared" si="3"/>
        <v>0</v>
      </c>
      <c r="J42" s="1668">
        <f t="shared" si="3"/>
        <v>0</v>
      </c>
      <c r="K42" s="1668">
        <f t="shared" si="3"/>
        <v>333409</v>
      </c>
      <c r="L42" s="1668">
        <f t="shared" si="3"/>
        <v>334666</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17718</v>
      </c>
      <c r="D44" s="481">
        <v>266</v>
      </c>
      <c r="E44" s="481">
        <v>23081</v>
      </c>
      <c r="F44" s="481">
        <v>11388</v>
      </c>
      <c r="G44" s="481"/>
      <c r="H44" s="481"/>
      <c r="I44" s="467"/>
      <c r="J44" s="467"/>
      <c r="K44" s="1670">
        <f>SUM(C44:J44)</f>
        <v>52453</v>
      </c>
      <c r="L44" s="481">
        <v>55645</v>
      </c>
    </row>
    <row r="45" spans="1:14" x14ac:dyDescent="0.2">
      <c r="A45" s="1502" t="s">
        <v>815</v>
      </c>
      <c r="B45" s="614">
        <v>2220</v>
      </c>
      <c r="C45" s="466">
        <v>68301</v>
      </c>
      <c r="D45" s="466">
        <v>748</v>
      </c>
      <c r="E45" s="466"/>
      <c r="F45" s="466">
        <v>21141</v>
      </c>
      <c r="G45" s="466"/>
      <c r="H45" s="466">
        <v>200</v>
      </c>
      <c r="I45" s="467"/>
      <c r="J45" s="467"/>
      <c r="K45" s="1670">
        <f>SUM(C45:J45)</f>
        <v>90390</v>
      </c>
      <c r="L45" s="466">
        <v>91860</v>
      </c>
    </row>
    <row r="46" spans="1:14" x14ac:dyDescent="0.2">
      <c r="A46" s="1502" t="s">
        <v>816</v>
      </c>
      <c r="B46" s="614">
        <v>2230</v>
      </c>
      <c r="C46" s="466"/>
      <c r="D46" s="466"/>
      <c r="E46" s="466"/>
      <c r="F46" s="466">
        <v>3675</v>
      </c>
      <c r="G46" s="466"/>
      <c r="H46" s="466"/>
      <c r="I46" s="467"/>
      <c r="J46" s="467"/>
      <c r="K46" s="1670">
        <f>SUM(C46:J46)</f>
        <v>3675</v>
      </c>
      <c r="L46" s="466">
        <v>3675</v>
      </c>
    </row>
    <row r="47" spans="1:14" ht="12.75" customHeight="1" thickBot="1" x14ac:dyDescent="0.25">
      <c r="A47" s="1666" t="s">
        <v>561</v>
      </c>
      <c r="B47" s="1667" t="s">
        <v>32</v>
      </c>
      <c r="C47" s="1668">
        <f>SUM(C44:C46)</f>
        <v>86019</v>
      </c>
      <c r="D47" s="1668">
        <f t="shared" ref="D47:K47" si="4">SUM(D44:D46)</f>
        <v>1014</v>
      </c>
      <c r="E47" s="1668">
        <f t="shared" si="4"/>
        <v>23081</v>
      </c>
      <c r="F47" s="1668">
        <f t="shared" si="4"/>
        <v>36204</v>
      </c>
      <c r="G47" s="1668">
        <f t="shared" si="4"/>
        <v>0</v>
      </c>
      <c r="H47" s="1668">
        <f t="shared" si="4"/>
        <v>200</v>
      </c>
      <c r="I47" s="1668">
        <f t="shared" si="4"/>
        <v>0</v>
      </c>
      <c r="J47" s="1668">
        <f t="shared" si="4"/>
        <v>0</v>
      </c>
      <c r="K47" s="1668">
        <f t="shared" si="4"/>
        <v>146518</v>
      </c>
      <c r="L47" s="1668">
        <f>SUM(L44:L46)</f>
        <v>151180</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c r="D49" s="481"/>
      <c r="E49" s="481">
        <v>10031</v>
      </c>
      <c r="F49" s="481">
        <v>8834</v>
      </c>
      <c r="G49" s="481"/>
      <c r="H49" s="481">
        <v>185</v>
      </c>
      <c r="I49" s="467"/>
      <c r="J49" s="467"/>
      <c r="K49" s="1670">
        <f>SUM(C49:J49)</f>
        <v>19050</v>
      </c>
      <c r="L49" s="481">
        <v>29000</v>
      </c>
    </row>
    <row r="50" spans="1:14" x14ac:dyDescent="0.2">
      <c r="A50" s="1502" t="s">
        <v>818</v>
      </c>
      <c r="B50" s="614">
        <v>2320</v>
      </c>
      <c r="C50" s="466">
        <v>166978</v>
      </c>
      <c r="D50" s="466">
        <v>20169</v>
      </c>
      <c r="E50" s="466">
        <v>283</v>
      </c>
      <c r="F50" s="466">
        <v>1110</v>
      </c>
      <c r="G50" s="466"/>
      <c r="H50" s="466">
        <v>2526</v>
      </c>
      <c r="I50" s="467"/>
      <c r="J50" s="467"/>
      <c r="K50" s="1670">
        <f>SUM(C50:J50)</f>
        <v>191066</v>
      </c>
      <c r="L50" s="466">
        <v>189371</v>
      </c>
    </row>
    <row r="51" spans="1:14" x14ac:dyDescent="0.2">
      <c r="A51" s="1502" t="s">
        <v>42</v>
      </c>
      <c r="B51" s="614">
        <v>2330</v>
      </c>
      <c r="C51" s="466"/>
      <c r="D51" s="466"/>
      <c r="E51" s="466"/>
      <c r="F51" s="466"/>
      <c r="G51" s="466"/>
      <c r="H51" s="466"/>
      <c r="I51" s="467"/>
      <c r="J51" s="467"/>
      <c r="K51" s="1670">
        <f>SUM(C51:J51)</f>
        <v>0</v>
      </c>
      <c r="L51" s="466">
        <v>0</v>
      </c>
    </row>
    <row r="52" spans="1:14" ht="22.5" x14ac:dyDescent="0.2">
      <c r="A52" s="1503" t="s">
        <v>298</v>
      </c>
      <c r="B52" s="627" t="s">
        <v>366</v>
      </c>
      <c r="C52" s="474"/>
      <c r="D52" s="474"/>
      <c r="E52" s="474"/>
      <c r="F52" s="474"/>
      <c r="G52" s="474"/>
      <c r="H52" s="474"/>
      <c r="I52" s="474"/>
      <c r="J52" s="474"/>
      <c r="K52" s="1670">
        <f>SUM(C52:J52)</f>
        <v>0</v>
      </c>
      <c r="L52" s="474">
        <v>0</v>
      </c>
    </row>
    <row r="53" spans="1:14" ht="12.75" customHeight="1" thickBot="1" x14ac:dyDescent="0.25">
      <c r="A53" s="1666" t="s">
        <v>717</v>
      </c>
      <c r="B53" s="1667" t="s">
        <v>33</v>
      </c>
      <c r="C53" s="1668">
        <f>SUM(C49:C52)</f>
        <v>166978</v>
      </c>
      <c r="D53" s="1668">
        <f t="shared" ref="D53:L53" si="5">SUM(D49:D52)</f>
        <v>20169</v>
      </c>
      <c r="E53" s="1668">
        <f t="shared" si="5"/>
        <v>10314</v>
      </c>
      <c r="F53" s="1668">
        <f t="shared" si="5"/>
        <v>9944</v>
      </c>
      <c r="G53" s="1668">
        <f t="shared" si="5"/>
        <v>0</v>
      </c>
      <c r="H53" s="1668">
        <f t="shared" si="5"/>
        <v>2711</v>
      </c>
      <c r="I53" s="1668">
        <f t="shared" si="5"/>
        <v>0</v>
      </c>
      <c r="J53" s="1668">
        <f t="shared" si="5"/>
        <v>0</v>
      </c>
      <c r="K53" s="1668">
        <f t="shared" si="5"/>
        <v>210116</v>
      </c>
      <c r="L53" s="1668">
        <f t="shared" si="5"/>
        <v>218371</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v>408035</v>
      </c>
      <c r="D55" s="481">
        <v>52492</v>
      </c>
      <c r="E55" s="481">
        <v>442</v>
      </c>
      <c r="F55" s="481">
        <v>4005</v>
      </c>
      <c r="G55" s="481"/>
      <c r="H55" s="481">
        <v>1309</v>
      </c>
      <c r="I55" s="467"/>
      <c r="J55" s="467"/>
      <c r="K55" s="1670">
        <f>SUM(C55:J55)</f>
        <v>466283</v>
      </c>
      <c r="L55" s="481">
        <v>464340</v>
      </c>
    </row>
    <row r="56" spans="1:14" ht="12.75" customHeight="1" x14ac:dyDescent="0.2">
      <c r="A56" s="1506" t="s">
        <v>376</v>
      </c>
      <c r="B56" s="628">
        <v>2490</v>
      </c>
      <c r="C56" s="466"/>
      <c r="D56" s="466"/>
      <c r="E56" s="466"/>
      <c r="F56" s="466"/>
      <c r="G56" s="466"/>
      <c r="H56" s="466"/>
      <c r="I56" s="467"/>
      <c r="J56" s="467"/>
      <c r="K56" s="1670">
        <f>SUM(C56:J56)</f>
        <v>0</v>
      </c>
      <c r="L56" s="466">
        <v>0</v>
      </c>
    </row>
    <row r="57" spans="1:14" s="343" customFormat="1" ht="12.75" customHeight="1" thickBot="1" x14ac:dyDescent="0.25">
      <c r="A57" s="1666" t="s">
        <v>263</v>
      </c>
      <c r="B57" s="1671" t="s">
        <v>34</v>
      </c>
      <c r="C57" s="1672">
        <f>SUM(C55:C56)</f>
        <v>408035</v>
      </c>
      <c r="D57" s="1672">
        <f t="shared" ref="D57:K57" si="6">SUM(D55:D56)</f>
        <v>52492</v>
      </c>
      <c r="E57" s="1672">
        <f t="shared" si="6"/>
        <v>442</v>
      </c>
      <c r="F57" s="1672">
        <f t="shared" si="6"/>
        <v>4005</v>
      </c>
      <c r="G57" s="1672">
        <f t="shared" si="6"/>
        <v>0</v>
      </c>
      <c r="H57" s="1672">
        <f t="shared" si="6"/>
        <v>1309</v>
      </c>
      <c r="I57" s="1672">
        <f t="shared" si="6"/>
        <v>0</v>
      </c>
      <c r="J57" s="1672">
        <f t="shared" si="6"/>
        <v>0</v>
      </c>
      <c r="K57" s="1672">
        <f t="shared" si="6"/>
        <v>466283</v>
      </c>
      <c r="L57" s="1668">
        <f>SUM(L55:L56)</f>
        <v>464340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c r="D59" s="481"/>
      <c r="E59" s="481"/>
      <c r="F59" s="481"/>
      <c r="G59" s="481"/>
      <c r="H59" s="481"/>
      <c r="I59" s="467"/>
      <c r="J59" s="467"/>
      <c r="K59" s="1670">
        <f t="shared" ref="K59:K64" si="7">SUM(C59:J59)</f>
        <v>0</v>
      </c>
      <c r="L59" s="481">
        <v>0</v>
      </c>
      <c r="M59" s="609"/>
      <c r="N59" s="609"/>
    </row>
    <row r="60" spans="1:14" s="343" customFormat="1" x14ac:dyDescent="0.2">
      <c r="A60" s="1502" t="s">
        <v>463</v>
      </c>
      <c r="B60" s="614">
        <v>2520</v>
      </c>
      <c r="C60" s="466">
        <v>46163</v>
      </c>
      <c r="D60" s="466"/>
      <c r="E60" s="466">
        <v>6754</v>
      </c>
      <c r="F60" s="466">
        <v>566</v>
      </c>
      <c r="G60" s="466"/>
      <c r="H60" s="466">
        <v>9011</v>
      </c>
      <c r="I60" s="467"/>
      <c r="J60" s="467"/>
      <c r="K60" s="1670">
        <f t="shared" si="7"/>
        <v>62494</v>
      </c>
      <c r="L60" s="466">
        <v>70860</v>
      </c>
      <c r="M60" s="609"/>
      <c r="N60" s="609"/>
    </row>
    <row r="61" spans="1:14" s="343" customFormat="1" x14ac:dyDescent="0.2">
      <c r="A61" s="1502" t="s">
        <v>197</v>
      </c>
      <c r="B61" s="614">
        <v>2540</v>
      </c>
      <c r="C61" s="466">
        <v>77367</v>
      </c>
      <c r="D61" s="466">
        <v>10827</v>
      </c>
      <c r="E61" s="466">
        <v>4450</v>
      </c>
      <c r="F61" s="466">
        <v>1909</v>
      </c>
      <c r="G61" s="466"/>
      <c r="H61" s="466"/>
      <c r="I61" s="467"/>
      <c r="J61" s="467"/>
      <c r="K61" s="1670">
        <f t="shared" si="7"/>
        <v>94553</v>
      </c>
      <c r="L61" s="466">
        <v>78500</v>
      </c>
      <c r="M61" s="609"/>
      <c r="N61" s="609"/>
    </row>
    <row r="62" spans="1:14" s="343" customFormat="1" x14ac:dyDescent="0.2">
      <c r="A62" s="1502" t="s">
        <v>953</v>
      </c>
      <c r="B62" s="614">
        <v>2550</v>
      </c>
      <c r="C62" s="466"/>
      <c r="D62" s="466"/>
      <c r="E62" s="466"/>
      <c r="F62" s="466"/>
      <c r="G62" s="466"/>
      <c r="H62" s="466"/>
      <c r="I62" s="467"/>
      <c r="J62" s="467"/>
      <c r="K62" s="1670">
        <f t="shared" si="7"/>
        <v>0</v>
      </c>
      <c r="L62" s="466">
        <v>6700</v>
      </c>
      <c r="M62" s="609"/>
      <c r="N62" s="609"/>
    </row>
    <row r="63" spans="1:14" s="609" customFormat="1" x14ac:dyDescent="0.2">
      <c r="A63" s="1502" t="s">
        <v>100</v>
      </c>
      <c r="B63" s="614">
        <v>2560</v>
      </c>
      <c r="C63" s="466">
        <v>132750</v>
      </c>
      <c r="D63" s="466">
        <v>15164</v>
      </c>
      <c r="E63" s="466">
        <v>10745</v>
      </c>
      <c r="F63" s="466">
        <v>184927</v>
      </c>
      <c r="G63" s="466"/>
      <c r="H63" s="466">
        <v>228</v>
      </c>
      <c r="I63" s="467"/>
      <c r="J63" s="467"/>
      <c r="K63" s="1670">
        <f t="shared" si="7"/>
        <v>343814</v>
      </c>
      <c r="L63" s="466">
        <v>349306</v>
      </c>
    </row>
    <row r="64" spans="1:14" s="609" customFormat="1" x14ac:dyDescent="0.2">
      <c r="A64" s="1507" t="s">
        <v>101</v>
      </c>
      <c r="B64" s="630">
        <v>2570</v>
      </c>
      <c r="C64" s="481"/>
      <c r="D64" s="481"/>
      <c r="E64" s="481"/>
      <c r="F64" s="481"/>
      <c r="G64" s="481"/>
      <c r="H64" s="481"/>
      <c r="I64" s="467"/>
      <c r="J64" s="467"/>
      <c r="K64" s="1670">
        <f t="shared" si="7"/>
        <v>0</v>
      </c>
      <c r="L64" s="481">
        <v>0</v>
      </c>
    </row>
    <row r="65" spans="1:14" s="343" customFormat="1" ht="12.75" customHeight="1" thickBot="1" x14ac:dyDescent="0.25">
      <c r="A65" s="1666" t="s">
        <v>719</v>
      </c>
      <c r="B65" s="1667" t="s">
        <v>35</v>
      </c>
      <c r="C65" s="1668">
        <f>SUM(C59:C64)</f>
        <v>256280</v>
      </c>
      <c r="D65" s="1668">
        <f t="shared" ref="D65:L65" si="8">SUM(D59:D64)</f>
        <v>25991</v>
      </c>
      <c r="E65" s="1668">
        <f t="shared" si="8"/>
        <v>21949</v>
      </c>
      <c r="F65" s="1668">
        <f t="shared" si="8"/>
        <v>187402</v>
      </c>
      <c r="G65" s="1668">
        <f t="shared" si="8"/>
        <v>0</v>
      </c>
      <c r="H65" s="1668">
        <f t="shared" si="8"/>
        <v>9239</v>
      </c>
      <c r="I65" s="1668">
        <f t="shared" si="8"/>
        <v>0</v>
      </c>
      <c r="J65" s="1668">
        <f t="shared" si="8"/>
        <v>0</v>
      </c>
      <c r="K65" s="1668">
        <f t="shared" si="8"/>
        <v>500861</v>
      </c>
      <c r="L65" s="1668">
        <f t="shared" si="8"/>
        <v>505366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v>0</v>
      </c>
      <c r="M67" s="609"/>
      <c r="N67" s="609"/>
    </row>
    <row r="68" spans="1:14" s="343" customFormat="1" x14ac:dyDescent="0.2">
      <c r="A68" s="1502" t="s">
        <v>607</v>
      </c>
      <c r="B68" s="614">
        <v>2620</v>
      </c>
      <c r="C68" s="466"/>
      <c r="D68" s="466"/>
      <c r="E68" s="466"/>
      <c r="F68" s="466"/>
      <c r="G68" s="466"/>
      <c r="H68" s="466"/>
      <c r="I68" s="467"/>
      <c r="J68" s="467"/>
      <c r="K68" s="1670">
        <f>SUM(C68:J68)</f>
        <v>0</v>
      </c>
      <c r="L68" s="466">
        <v>0</v>
      </c>
      <c r="M68" s="609"/>
      <c r="N68" s="609"/>
    </row>
    <row r="69" spans="1:14" s="343" customFormat="1" x14ac:dyDescent="0.2">
      <c r="A69" s="1502" t="s">
        <v>1061</v>
      </c>
      <c r="B69" s="614">
        <v>2630</v>
      </c>
      <c r="C69" s="466"/>
      <c r="D69" s="466"/>
      <c r="E69" s="466"/>
      <c r="F69" s="466"/>
      <c r="G69" s="466"/>
      <c r="H69" s="466"/>
      <c r="I69" s="467"/>
      <c r="J69" s="467"/>
      <c r="K69" s="1670">
        <f>SUM(C69:J69)</f>
        <v>0</v>
      </c>
      <c r="L69" s="466">
        <v>0</v>
      </c>
      <c r="M69" s="609"/>
      <c r="N69" s="609"/>
    </row>
    <row r="70" spans="1:14" s="343" customFormat="1" x14ac:dyDescent="0.2">
      <c r="A70" s="1502" t="s">
        <v>403</v>
      </c>
      <c r="B70" s="614">
        <v>2640</v>
      </c>
      <c r="C70" s="466"/>
      <c r="D70" s="466"/>
      <c r="E70" s="466"/>
      <c r="F70" s="466"/>
      <c r="G70" s="466"/>
      <c r="H70" s="466"/>
      <c r="I70" s="467"/>
      <c r="J70" s="467"/>
      <c r="K70" s="1670">
        <f>SUM(C70:J70)</f>
        <v>0</v>
      </c>
      <c r="L70" s="466">
        <v>0</v>
      </c>
      <c r="M70" s="609"/>
      <c r="N70" s="609"/>
    </row>
    <row r="71" spans="1:14" s="343" customFormat="1" x14ac:dyDescent="0.2">
      <c r="A71" s="1502" t="s">
        <v>404</v>
      </c>
      <c r="B71" s="614">
        <v>2660</v>
      </c>
      <c r="C71" s="466"/>
      <c r="D71" s="466"/>
      <c r="E71" s="466"/>
      <c r="F71" s="466"/>
      <c r="G71" s="466"/>
      <c r="H71" s="466"/>
      <c r="I71" s="467"/>
      <c r="J71" s="467"/>
      <c r="K71" s="1670">
        <f>SUM(C71:J71)</f>
        <v>0</v>
      </c>
      <c r="L71" s="466">
        <v>0</v>
      </c>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08" t="s">
        <v>980</v>
      </c>
      <c r="B73" s="632" t="s">
        <v>574</v>
      </c>
      <c r="C73" s="573"/>
      <c r="D73" s="573"/>
      <c r="E73" s="573"/>
      <c r="F73" s="573"/>
      <c r="G73" s="573"/>
      <c r="H73" s="573"/>
      <c r="I73" s="531"/>
      <c r="J73" s="531"/>
      <c r="K73" s="1668">
        <f>SUM(C73:J73)</f>
        <v>0</v>
      </c>
      <c r="L73" s="576">
        <v>0</v>
      </c>
      <c r="M73" s="609"/>
      <c r="N73" s="609"/>
    </row>
    <row r="74" spans="1:14" ht="12.75" customHeight="1" thickTop="1" thickBot="1" x14ac:dyDescent="0.25">
      <c r="A74" s="1666" t="s">
        <v>811</v>
      </c>
      <c r="B74" s="1674">
        <v>2000</v>
      </c>
      <c r="C74" s="1675">
        <f>SUM(C42,C47,C53,C57,C65,C72,C73)</f>
        <v>1226725</v>
      </c>
      <c r="D74" s="1675">
        <f t="shared" ref="D74:K74" si="10">SUM(D42,D47,D53,D57,D65,D72,D73)</f>
        <v>115207</v>
      </c>
      <c r="E74" s="1675">
        <f t="shared" si="10"/>
        <v>55786</v>
      </c>
      <c r="F74" s="1675">
        <f t="shared" si="10"/>
        <v>246010</v>
      </c>
      <c r="G74" s="1675">
        <f t="shared" si="10"/>
        <v>0</v>
      </c>
      <c r="H74" s="1675">
        <f t="shared" si="10"/>
        <v>13459</v>
      </c>
      <c r="I74" s="1675">
        <f t="shared" si="10"/>
        <v>0</v>
      </c>
      <c r="J74" s="1675">
        <f t="shared" si="10"/>
        <v>0</v>
      </c>
      <c r="K74" s="1675">
        <f t="shared" si="10"/>
        <v>1657187</v>
      </c>
      <c r="L74" s="1675">
        <f>SUM(L42,L47,L53,L57,L65,L72,L73)</f>
        <v>1673923</v>
      </c>
    </row>
    <row r="75" spans="1:14" s="259" customFormat="1" ht="15.75" customHeight="1" thickTop="1" thickBot="1" x14ac:dyDescent="0.25">
      <c r="A75" s="1608" t="s">
        <v>47</v>
      </c>
      <c r="B75" s="1609" t="s">
        <v>575</v>
      </c>
      <c r="C75" s="573"/>
      <c r="D75" s="573"/>
      <c r="E75" s="573"/>
      <c r="F75" s="573"/>
      <c r="G75" s="573"/>
      <c r="H75" s="573"/>
      <c r="I75" s="531"/>
      <c r="J75" s="531"/>
      <c r="K75" s="1668">
        <f>SUM(C75:J75)</f>
        <v>0</v>
      </c>
      <c r="L75" s="576"/>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v>0</v>
      </c>
    </row>
    <row r="79" spans="1:14" x14ac:dyDescent="0.2">
      <c r="A79" s="1502" t="s">
        <v>304</v>
      </c>
      <c r="B79" s="614">
        <v>4120</v>
      </c>
      <c r="C79" s="616"/>
      <c r="D79" s="616"/>
      <c r="E79" s="466">
        <v>58125</v>
      </c>
      <c r="F79" s="616"/>
      <c r="G79" s="616"/>
      <c r="H79" s="466"/>
      <c r="I79" s="477"/>
      <c r="J79" s="477"/>
      <c r="K79" s="1669">
        <f t="shared" si="11"/>
        <v>58125</v>
      </c>
      <c r="L79" s="466">
        <v>60000</v>
      </c>
    </row>
    <row r="80" spans="1:14" x14ac:dyDescent="0.2">
      <c r="A80" s="1502" t="s">
        <v>305</v>
      </c>
      <c r="B80" s="614">
        <v>4130</v>
      </c>
      <c r="C80" s="616"/>
      <c r="D80" s="616"/>
      <c r="E80" s="466"/>
      <c r="F80" s="616"/>
      <c r="G80" s="616"/>
      <c r="H80" s="466"/>
      <c r="I80" s="477"/>
      <c r="J80" s="477"/>
      <c r="K80" s="1669">
        <f t="shared" si="11"/>
        <v>0</v>
      </c>
      <c r="L80" s="466">
        <v>0</v>
      </c>
    </row>
    <row r="81" spans="1:12" x14ac:dyDescent="0.2">
      <c r="A81" s="1502" t="s">
        <v>697</v>
      </c>
      <c r="B81" s="614">
        <v>4140</v>
      </c>
      <c r="C81" s="616"/>
      <c r="D81" s="616"/>
      <c r="E81" s="466"/>
      <c r="F81" s="616"/>
      <c r="G81" s="616"/>
      <c r="H81" s="466"/>
      <c r="I81" s="477"/>
      <c r="J81" s="477"/>
      <c r="K81" s="1669">
        <f t="shared" si="11"/>
        <v>0</v>
      </c>
      <c r="L81" s="466">
        <v>0</v>
      </c>
    </row>
    <row r="82" spans="1:12" x14ac:dyDescent="0.2">
      <c r="A82" s="1502" t="s">
        <v>86</v>
      </c>
      <c r="B82" s="614">
        <v>4170</v>
      </c>
      <c r="C82" s="616"/>
      <c r="D82" s="616"/>
      <c r="E82" s="466"/>
      <c r="F82" s="616"/>
      <c r="G82" s="616"/>
      <c r="H82" s="466"/>
      <c r="I82" s="477"/>
      <c r="J82" s="477"/>
      <c r="K82" s="1669">
        <f t="shared" si="11"/>
        <v>0</v>
      </c>
      <c r="L82" s="466">
        <v>0</v>
      </c>
    </row>
    <row r="83" spans="1:12" x14ac:dyDescent="0.2">
      <c r="A83" s="1506" t="s">
        <v>698</v>
      </c>
      <c r="B83" s="628">
        <v>4190</v>
      </c>
      <c r="C83" s="616"/>
      <c r="D83" s="616"/>
      <c r="E83" s="466"/>
      <c r="F83" s="616"/>
      <c r="G83" s="616"/>
      <c r="H83" s="466"/>
      <c r="I83" s="477"/>
      <c r="J83" s="477"/>
      <c r="K83" s="1669">
        <f t="shared" si="11"/>
        <v>0</v>
      </c>
      <c r="L83" s="466">
        <v>0</v>
      </c>
    </row>
    <row r="84" spans="1:12" ht="13.5" thickBot="1" x14ac:dyDescent="0.25">
      <c r="A84" s="1666" t="s">
        <v>1485</v>
      </c>
      <c r="B84" s="1676">
        <v>4100</v>
      </c>
      <c r="C84" s="616"/>
      <c r="D84" s="616"/>
      <c r="E84" s="1668">
        <f>SUM(E78:E83)</f>
        <v>58125</v>
      </c>
      <c r="F84" s="616"/>
      <c r="G84" s="616"/>
      <c r="H84" s="1668">
        <f>SUM(H78:H83)</f>
        <v>0</v>
      </c>
      <c r="I84" s="477"/>
      <c r="J84" s="477"/>
      <c r="K84" s="1668">
        <f>SUM(K78:K83)</f>
        <v>58125</v>
      </c>
      <c r="L84" s="1668">
        <f>SUM(L78:L83)</f>
        <v>60000</v>
      </c>
    </row>
    <row r="85" spans="1:12" ht="12.75" customHeight="1" thickTop="1" thickBot="1" x14ac:dyDescent="0.25">
      <c r="A85" s="1509" t="s">
        <v>255</v>
      </c>
      <c r="B85" s="635">
        <v>4210</v>
      </c>
      <c r="C85" s="616"/>
      <c r="D85" s="616"/>
      <c r="E85" s="636"/>
      <c r="F85" s="616"/>
      <c r="G85" s="616"/>
      <c r="H85" s="535"/>
      <c r="I85" s="477"/>
      <c r="J85" s="477"/>
      <c r="K85" s="1675">
        <f>H85</f>
        <v>0</v>
      </c>
      <c r="L85" s="530">
        <v>0</v>
      </c>
    </row>
    <row r="86" spans="1:12" ht="12.75" customHeight="1" thickTop="1" thickBot="1" x14ac:dyDescent="0.25">
      <c r="A86" s="1510" t="s">
        <v>699</v>
      </c>
      <c r="B86" s="637">
        <v>4220</v>
      </c>
      <c r="C86" s="616"/>
      <c r="D86" s="616"/>
      <c r="E86" s="638"/>
      <c r="F86" s="616"/>
      <c r="G86" s="616"/>
      <c r="H86" s="467">
        <v>163454</v>
      </c>
      <c r="I86" s="477"/>
      <c r="J86" s="477"/>
      <c r="K86" s="1675">
        <f t="shared" ref="K86:K98" si="12">H86</f>
        <v>163454</v>
      </c>
      <c r="L86" s="530">
        <v>178000</v>
      </c>
    </row>
    <row r="87" spans="1:12" ht="14.25" thickTop="1" thickBot="1" x14ac:dyDescent="0.25">
      <c r="A87" s="1511" t="s">
        <v>700</v>
      </c>
      <c r="B87" s="639">
        <v>4230</v>
      </c>
      <c r="C87" s="616"/>
      <c r="D87" s="616"/>
      <c r="E87" s="638"/>
      <c r="F87" s="616"/>
      <c r="G87" s="616"/>
      <c r="H87" s="467"/>
      <c r="I87" s="477"/>
      <c r="J87" s="477"/>
      <c r="K87" s="1675">
        <f t="shared" si="12"/>
        <v>0</v>
      </c>
      <c r="L87" s="530">
        <v>0</v>
      </c>
    </row>
    <row r="88" spans="1:12" ht="12.75" customHeight="1" thickTop="1" thickBot="1" x14ac:dyDescent="0.25">
      <c r="A88" s="1511" t="s">
        <v>765</v>
      </c>
      <c r="B88" s="639">
        <v>4240</v>
      </c>
      <c r="C88" s="616"/>
      <c r="D88" s="616"/>
      <c r="E88" s="638"/>
      <c r="F88" s="616"/>
      <c r="G88" s="616"/>
      <c r="H88" s="467">
        <v>40225</v>
      </c>
      <c r="I88" s="477"/>
      <c r="J88" s="477"/>
      <c r="K88" s="1675">
        <f t="shared" si="12"/>
        <v>40225</v>
      </c>
      <c r="L88" s="530">
        <v>40300</v>
      </c>
    </row>
    <row r="89" spans="1:12" ht="12.75" customHeight="1" thickTop="1" thickBot="1" x14ac:dyDescent="0.25">
      <c r="A89" s="1511" t="s">
        <v>701</v>
      </c>
      <c r="B89" s="639">
        <v>4270</v>
      </c>
      <c r="C89" s="616"/>
      <c r="D89" s="616"/>
      <c r="E89" s="638"/>
      <c r="F89" s="616"/>
      <c r="G89" s="616"/>
      <c r="H89" s="467">
        <v>7675</v>
      </c>
      <c r="I89" s="477"/>
      <c r="J89" s="477"/>
      <c r="K89" s="1675">
        <f t="shared" si="12"/>
        <v>7675</v>
      </c>
      <c r="L89" s="530">
        <v>0</v>
      </c>
    </row>
    <row r="90" spans="1:12" ht="12.75" customHeight="1" thickTop="1" thickBot="1" x14ac:dyDescent="0.25">
      <c r="A90" s="1511" t="s">
        <v>686</v>
      </c>
      <c r="B90" s="639">
        <v>4280</v>
      </c>
      <c r="C90" s="616"/>
      <c r="D90" s="616"/>
      <c r="E90" s="638"/>
      <c r="F90" s="616"/>
      <c r="G90" s="616"/>
      <c r="H90" s="467"/>
      <c r="I90" s="477"/>
      <c r="J90" s="477"/>
      <c r="K90" s="1675">
        <f t="shared" si="12"/>
        <v>0</v>
      </c>
      <c r="L90" s="530">
        <v>7700</v>
      </c>
    </row>
    <row r="91" spans="1:12" ht="12.75" customHeight="1" thickTop="1" thickBot="1" x14ac:dyDescent="0.25">
      <c r="A91" s="1511" t="s">
        <v>687</v>
      </c>
      <c r="B91" s="639">
        <v>4290</v>
      </c>
      <c r="C91" s="616"/>
      <c r="D91" s="616"/>
      <c r="E91" s="638"/>
      <c r="F91" s="616"/>
      <c r="G91" s="616"/>
      <c r="H91" s="467"/>
      <c r="I91" s="477"/>
      <c r="J91" s="477"/>
      <c r="K91" s="1675">
        <f t="shared" si="12"/>
        <v>0</v>
      </c>
      <c r="L91" s="530">
        <v>0</v>
      </c>
    </row>
    <row r="92" spans="1:12" ht="14.25" thickTop="1" thickBot="1" x14ac:dyDescent="0.25">
      <c r="A92" s="1678" t="s">
        <v>1560</v>
      </c>
      <c r="B92" s="1676">
        <v>4200</v>
      </c>
      <c r="C92" s="616"/>
      <c r="D92" s="616"/>
      <c r="E92" s="638"/>
      <c r="F92" s="616"/>
      <c r="G92" s="616"/>
      <c r="H92" s="1668">
        <f>SUM(H85:H91)</f>
        <v>211354</v>
      </c>
      <c r="I92" s="477"/>
      <c r="J92" s="477"/>
      <c r="K92" s="1675">
        <f t="shared" si="12"/>
        <v>211354</v>
      </c>
      <c r="L92" s="1668">
        <f>SUM(L85:L91)</f>
        <v>226000</v>
      </c>
    </row>
    <row r="93" spans="1:12" ht="14.25" thickTop="1" thickBot="1" x14ac:dyDescent="0.25">
      <c r="A93" s="1510" t="s">
        <v>688</v>
      </c>
      <c r="B93" s="640">
        <v>4310</v>
      </c>
      <c r="C93" s="616"/>
      <c r="D93" s="616"/>
      <c r="E93" s="638"/>
      <c r="F93" s="616"/>
      <c r="G93" s="616"/>
      <c r="H93" s="641"/>
      <c r="I93" s="477"/>
      <c r="J93" s="477"/>
      <c r="K93" s="1675">
        <f t="shared" si="12"/>
        <v>0</v>
      </c>
      <c r="L93" s="532">
        <v>0</v>
      </c>
    </row>
    <row r="94" spans="1:12" ht="12.75" customHeight="1" thickTop="1" thickBot="1" x14ac:dyDescent="0.25">
      <c r="A94" s="1511" t="s">
        <v>689</v>
      </c>
      <c r="B94" s="639">
        <v>4320</v>
      </c>
      <c r="C94" s="616"/>
      <c r="D94" s="616"/>
      <c r="E94" s="638"/>
      <c r="F94" s="616"/>
      <c r="G94" s="616"/>
      <c r="H94" s="467"/>
      <c r="I94" s="477"/>
      <c r="J94" s="477"/>
      <c r="K94" s="1675">
        <f t="shared" si="12"/>
        <v>0</v>
      </c>
      <c r="L94" s="530">
        <v>0</v>
      </c>
    </row>
    <row r="95" spans="1:12" ht="15" customHeight="1" thickTop="1" thickBot="1" x14ac:dyDescent="0.25">
      <c r="A95" s="1511" t="s">
        <v>1488</v>
      </c>
      <c r="B95" s="639">
        <v>4330</v>
      </c>
      <c r="C95" s="616"/>
      <c r="D95" s="616"/>
      <c r="E95" s="638"/>
      <c r="F95" s="616"/>
      <c r="G95" s="616"/>
      <c r="H95" s="467"/>
      <c r="I95" s="477"/>
      <c r="J95" s="477"/>
      <c r="K95" s="1675">
        <f t="shared" si="12"/>
        <v>0</v>
      </c>
      <c r="L95" s="530">
        <v>0</v>
      </c>
    </row>
    <row r="96" spans="1:12" ht="14.25" thickTop="1" thickBot="1" x14ac:dyDescent="0.25">
      <c r="A96" s="1511" t="s">
        <v>690</v>
      </c>
      <c r="B96" s="639">
        <v>4340</v>
      </c>
      <c r="C96" s="616"/>
      <c r="D96" s="616"/>
      <c r="E96" s="638"/>
      <c r="F96" s="616"/>
      <c r="G96" s="616"/>
      <c r="H96" s="467"/>
      <c r="I96" s="477"/>
      <c r="J96" s="477"/>
      <c r="K96" s="1675">
        <f t="shared" si="12"/>
        <v>0</v>
      </c>
      <c r="L96" s="530">
        <v>0</v>
      </c>
    </row>
    <row r="97" spans="1:14" ht="12.75" customHeight="1" thickTop="1" thickBot="1" x14ac:dyDescent="0.25">
      <c r="A97" s="1511" t="s">
        <v>763</v>
      </c>
      <c r="B97" s="639">
        <v>4370</v>
      </c>
      <c r="C97" s="616"/>
      <c r="D97" s="616"/>
      <c r="E97" s="638"/>
      <c r="F97" s="616"/>
      <c r="G97" s="616"/>
      <c r="H97" s="467"/>
      <c r="I97" s="477"/>
      <c r="J97" s="477"/>
      <c r="K97" s="1675">
        <f t="shared" si="12"/>
        <v>0</v>
      </c>
      <c r="L97" s="530">
        <v>0</v>
      </c>
    </row>
    <row r="98" spans="1:14" ht="14.25" thickTop="1" thickBot="1" x14ac:dyDescent="0.25">
      <c r="A98" s="1511" t="s">
        <v>764</v>
      </c>
      <c r="B98" s="639">
        <v>4380</v>
      </c>
      <c r="C98" s="616"/>
      <c r="D98" s="616"/>
      <c r="E98" s="642"/>
      <c r="F98" s="616"/>
      <c r="G98" s="616"/>
      <c r="H98" s="467"/>
      <c r="I98" s="477"/>
      <c r="J98" s="477"/>
      <c r="K98" s="1675">
        <f t="shared" si="12"/>
        <v>0</v>
      </c>
      <c r="L98" s="530">
        <v>0</v>
      </c>
    </row>
    <row r="99" spans="1:14" ht="14.25" thickTop="1" thickBot="1" x14ac:dyDescent="0.25">
      <c r="A99" s="1511" t="s">
        <v>367</v>
      </c>
      <c r="B99" s="639">
        <v>4390</v>
      </c>
      <c r="C99" s="616"/>
      <c r="D99" s="616"/>
      <c r="E99" s="532"/>
      <c r="F99" s="616"/>
      <c r="G99" s="616"/>
      <c r="H99" s="467"/>
      <c r="I99" s="477"/>
      <c r="J99" s="477"/>
      <c r="K99" s="1675">
        <f>SUM(E99,H99)</f>
        <v>0</v>
      </c>
      <c r="L99" s="530">
        <v>0</v>
      </c>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v>0</v>
      </c>
    </row>
    <row r="102" spans="1:14" ht="12.75" customHeight="1" thickTop="1" thickBot="1" x14ac:dyDescent="0.25">
      <c r="A102" s="1666" t="s">
        <v>1487</v>
      </c>
      <c r="B102" s="1676">
        <v>4000</v>
      </c>
      <c r="C102" s="616"/>
      <c r="D102" s="616"/>
      <c r="E102" s="1675">
        <f>SUM(E84,E92,E100,E101)</f>
        <v>58125</v>
      </c>
      <c r="F102" s="616"/>
      <c r="G102" s="616"/>
      <c r="H102" s="1675">
        <f>SUM(H84,H92,H100,H101)</f>
        <v>211354</v>
      </c>
      <c r="I102" s="477"/>
      <c r="J102" s="477"/>
      <c r="K102" s="1675">
        <f>SUM(K84,K92,K100,K101)</f>
        <v>269479</v>
      </c>
      <c r="L102" s="1675">
        <f>SUM(L84,L92,L100,L101)</f>
        <v>286000</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v>0</v>
      </c>
      <c r="M105" s="210"/>
      <c r="N105" s="210"/>
    </row>
    <row r="106" spans="1:14" s="597" customFormat="1" x14ac:dyDescent="0.2">
      <c r="A106" s="1502"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v>0</v>
      </c>
      <c r="M107" s="210"/>
      <c r="N107" s="210"/>
    </row>
    <row r="108" spans="1:14" s="597" customFormat="1" x14ac:dyDescent="0.2">
      <c r="A108" s="1502" t="s">
        <v>89</v>
      </c>
      <c r="B108" s="614" t="s">
        <v>589</v>
      </c>
      <c r="C108" s="616"/>
      <c r="D108" s="616"/>
      <c r="E108" s="616"/>
      <c r="F108" s="616"/>
      <c r="G108" s="616"/>
      <c r="H108" s="466"/>
      <c r="I108" s="468"/>
      <c r="J108" s="468"/>
      <c r="K108" s="1669">
        <f>H108</f>
        <v>0</v>
      </c>
      <c r="L108" s="466">
        <v>0</v>
      </c>
      <c r="M108" s="210"/>
      <c r="N108" s="210"/>
    </row>
    <row r="109" spans="1:14" s="597" customFormat="1" x14ac:dyDescent="0.2">
      <c r="A109" s="1502"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5292724</v>
      </c>
      <c r="D114" s="1668">
        <f t="shared" ref="D114:K114" si="13">SUM(D33,D74,D75,D102,D112,D113)</f>
        <v>401478</v>
      </c>
      <c r="E114" s="1668">
        <f t="shared" si="13"/>
        <v>181532</v>
      </c>
      <c r="F114" s="1668">
        <f t="shared" si="13"/>
        <v>448572</v>
      </c>
      <c r="G114" s="1668">
        <f t="shared" si="13"/>
        <v>102772</v>
      </c>
      <c r="H114" s="1668">
        <f>SUM(H33,H74,H75,H102,H112,H113)</f>
        <v>235109</v>
      </c>
      <c r="I114" s="1668">
        <f t="shared" si="13"/>
        <v>0</v>
      </c>
      <c r="J114" s="1668">
        <f t="shared" si="13"/>
        <v>0</v>
      </c>
      <c r="K114" s="1668">
        <f t="shared" si="13"/>
        <v>6662187</v>
      </c>
      <c r="L114" s="1668">
        <f>SUM(L33,L74,L75,L102,L112,L113)</f>
        <v>6765693</v>
      </c>
    </row>
    <row r="115" spans="1:14" ht="13.5" thickTop="1" x14ac:dyDescent="0.2">
      <c r="A115" s="2160" t="s">
        <v>996</v>
      </c>
      <c r="B115" s="2161"/>
      <c r="C115" s="618"/>
      <c r="D115" s="618"/>
      <c r="E115" s="618"/>
      <c r="F115" s="618"/>
      <c r="G115" s="618"/>
      <c r="H115" s="618"/>
      <c r="I115" s="618"/>
      <c r="J115" s="618"/>
      <c r="K115" s="1682">
        <f>'Revenues 9-14'!C268-'Expenditures 15-22'!K114</f>
        <v>579423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2060</v>
      </c>
      <c r="B120" s="628" t="s">
        <v>716</v>
      </c>
      <c r="C120" s="466"/>
      <c r="D120" s="466"/>
      <c r="E120" s="466"/>
      <c r="F120" s="466"/>
      <c r="G120" s="466"/>
      <c r="H120" s="466"/>
      <c r="I120" s="467"/>
      <c r="J120" s="467"/>
      <c r="K120" s="1669">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v>0</v>
      </c>
    </row>
    <row r="123" spans="1:14" ht="14.25" thickTop="1" thickBot="1" x14ac:dyDescent="0.25">
      <c r="A123" s="1502" t="s">
        <v>4</v>
      </c>
      <c r="B123" s="614">
        <v>2530</v>
      </c>
      <c r="C123" s="466"/>
      <c r="D123" s="466"/>
      <c r="E123" s="466"/>
      <c r="F123" s="466"/>
      <c r="G123" s="466">
        <v>77773</v>
      </c>
      <c r="H123" s="466"/>
      <c r="I123" s="467"/>
      <c r="J123" s="467"/>
      <c r="K123" s="1668">
        <f>SUM(C123:J123)</f>
        <v>77773</v>
      </c>
      <c r="L123" s="466">
        <v>0</v>
      </c>
    </row>
    <row r="124" spans="1:14" ht="14.25" thickTop="1" thickBot="1" x14ac:dyDescent="0.25">
      <c r="A124" s="1502" t="s">
        <v>197</v>
      </c>
      <c r="B124" s="614">
        <v>2540</v>
      </c>
      <c r="C124" s="466">
        <f>1+205096</f>
        <v>205097</v>
      </c>
      <c r="D124" s="466">
        <v>18908</v>
      </c>
      <c r="E124" s="466">
        <v>257280</v>
      </c>
      <c r="F124" s="466">
        <v>217576</v>
      </c>
      <c r="G124" s="466">
        <v>77497</v>
      </c>
      <c r="H124" s="466"/>
      <c r="I124" s="467"/>
      <c r="J124" s="467"/>
      <c r="K124" s="1668">
        <f>SUM(C124:J124)</f>
        <v>776358</v>
      </c>
      <c r="L124" s="466">
        <v>882679</v>
      </c>
    </row>
    <row r="125" spans="1:14" ht="14.25" thickTop="1" thickBot="1" x14ac:dyDescent="0.25">
      <c r="A125" s="1502" t="s">
        <v>953</v>
      </c>
      <c r="B125" s="614">
        <v>2550</v>
      </c>
      <c r="C125" s="466"/>
      <c r="D125" s="466"/>
      <c r="E125" s="466"/>
      <c r="F125" s="466"/>
      <c r="G125" s="466"/>
      <c r="H125" s="466"/>
      <c r="I125" s="467"/>
      <c r="J125" s="467"/>
      <c r="K125" s="1668">
        <f>SUM(C125:J125)</f>
        <v>0</v>
      </c>
      <c r="L125" s="466">
        <v>0</v>
      </c>
    </row>
    <row r="126" spans="1:14" ht="14.25" thickTop="1" thickBot="1" x14ac:dyDescent="0.25">
      <c r="A126" s="1502"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719</v>
      </c>
      <c r="B127" s="1667" t="s">
        <v>35</v>
      </c>
      <c r="C127" s="1668">
        <f>SUM(C122:C126)</f>
        <v>205097</v>
      </c>
      <c r="D127" s="1668">
        <f t="shared" ref="D127:L127" si="14">SUM(D122:D126)</f>
        <v>18908</v>
      </c>
      <c r="E127" s="1668">
        <f t="shared" si="14"/>
        <v>257280</v>
      </c>
      <c r="F127" s="1668">
        <f t="shared" si="14"/>
        <v>217576</v>
      </c>
      <c r="G127" s="1668">
        <f t="shared" si="14"/>
        <v>155270</v>
      </c>
      <c r="H127" s="1668">
        <f t="shared" si="14"/>
        <v>0</v>
      </c>
      <c r="I127" s="1668">
        <f t="shared" si="14"/>
        <v>0</v>
      </c>
      <c r="J127" s="1668">
        <f t="shared" si="14"/>
        <v>0</v>
      </c>
      <c r="K127" s="1668">
        <f t="shared" si="14"/>
        <v>854131</v>
      </c>
      <c r="L127" s="1668">
        <f t="shared" si="14"/>
        <v>882679</v>
      </c>
    </row>
    <row r="128" spans="1:14" ht="12.75" customHeight="1" thickTop="1" x14ac:dyDescent="0.2">
      <c r="A128" s="1509" t="s">
        <v>980</v>
      </c>
      <c r="B128" s="655" t="s">
        <v>574</v>
      </c>
      <c r="C128" s="656"/>
      <c r="D128" s="656"/>
      <c r="E128" s="656"/>
      <c r="F128" s="656"/>
      <c r="G128" s="656"/>
      <c r="H128" s="656"/>
      <c r="I128" s="535"/>
      <c r="J128" s="535"/>
      <c r="K128" s="1683">
        <f>SUM(C128:J128)</f>
        <v>0</v>
      </c>
      <c r="L128" s="656">
        <v>0</v>
      </c>
    </row>
    <row r="129" spans="1:14" ht="12.75" customHeight="1" thickBot="1" x14ac:dyDescent="0.25">
      <c r="A129" s="1684" t="s">
        <v>811</v>
      </c>
      <c r="B129" s="1685" t="s">
        <v>569</v>
      </c>
      <c r="C129" s="1675">
        <f>SUM(C120,C127,C128)</f>
        <v>205097</v>
      </c>
      <c r="D129" s="1675">
        <f t="shared" ref="D129:L129" si="15">SUM(D120,D127,D128)</f>
        <v>18908</v>
      </c>
      <c r="E129" s="1675">
        <f t="shared" si="15"/>
        <v>257280</v>
      </c>
      <c r="F129" s="1675">
        <f t="shared" si="15"/>
        <v>217576</v>
      </c>
      <c r="G129" s="1675">
        <f t="shared" si="15"/>
        <v>155270</v>
      </c>
      <c r="H129" s="1675">
        <f t="shared" si="15"/>
        <v>0</v>
      </c>
      <c r="I129" s="1675">
        <f t="shared" si="15"/>
        <v>0</v>
      </c>
      <c r="J129" s="1675">
        <f t="shared" si="15"/>
        <v>0</v>
      </c>
      <c r="K129" s="1675">
        <f t="shared" si="15"/>
        <v>854131</v>
      </c>
      <c r="L129" s="1675">
        <f t="shared" si="15"/>
        <v>882679</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v>0</v>
      </c>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1845</v>
      </c>
      <c r="C133" s="468"/>
      <c r="D133" s="468"/>
      <c r="E133" s="641"/>
      <c r="F133" s="468"/>
      <c r="G133" s="468"/>
      <c r="H133" s="641"/>
      <c r="I133" s="468"/>
      <c r="J133" s="468"/>
      <c r="K133" s="1819">
        <f>SUM(E133,H133)</f>
        <v>0</v>
      </c>
      <c r="L133" s="641">
        <v>0</v>
      </c>
      <c r="M133" s="206"/>
      <c r="N133" s="206"/>
    </row>
    <row r="134" spans="1:14" x14ac:dyDescent="0.2">
      <c r="A134" s="1502" t="s">
        <v>304</v>
      </c>
      <c r="B134" s="614">
        <v>4120</v>
      </c>
      <c r="C134" s="616"/>
      <c r="D134" s="616"/>
      <c r="E134" s="478"/>
      <c r="F134" s="616"/>
      <c r="G134" s="616"/>
      <c r="H134" s="481"/>
      <c r="I134" s="477"/>
      <c r="J134" s="616"/>
      <c r="K134" s="1670">
        <f>SUM(E134,H134)</f>
        <v>0</v>
      </c>
      <c r="L134" s="481">
        <v>0</v>
      </c>
    </row>
    <row r="135" spans="1:14" x14ac:dyDescent="0.2">
      <c r="A135" s="1502" t="s">
        <v>697</v>
      </c>
      <c r="B135" s="614">
        <v>4140</v>
      </c>
      <c r="C135" s="616"/>
      <c r="D135" s="616"/>
      <c r="E135" s="467"/>
      <c r="F135" s="616"/>
      <c r="G135" s="616"/>
      <c r="H135" s="466"/>
      <c r="I135" s="477"/>
      <c r="J135" s="616"/>
      <c r="K135" s="1670">
        <f>SUM(E135,H135)</f>
        <v>0</v>
      </c>
      <c r="L135" s="466">
        <v>0</v>
      </c>
    </row>
    <row r="136" spans="1:14" x14ac:dyDescent="0.2">
      <c r="A136" s="1506" t="s">
        <v>698</v>
      </c>
      <c r="B136" s="628">
        <v>4190</v>
      </c>
      <c r="C136" s="616"/>
      <c r="D136" s="616"/>
      <c r="E136" s="467"/>
      <c r="F136" s="616"/>
      <c r="G136" s="616"/>
      <c r="H136" s="466"/>
      <c r="I136" s="477"/>
      <c r="J136" s="616"/>
      <c r="K136" s="1670">
        <f>SUM(E136,H136)</f>
        <v>0</v>
      </c>
      <c r="L136" s="466">
        <v>0</v>
      </c>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v>0</v>
      </c>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v>0</v>
      </c>
    </row>
    <row r="143" spans="1:14" x14ac:dyDescent="0.2">
      <c r="A143" s="1502" t="s">
        <v>88</v>
      </c>
      <c r="B143" s="614">
        <v>5120</v>
      </c>
      <c r="C143" s="616"/>
      <c r="D143" s="616"/>
      <c r="E143" s="616"/>
      <c r="F143" s="616"/>
      <c r="G143" s="616"/>
      <c r="H143" s="466"/>
      <c r="I143" s="468"/>
      <c r="J143" s="616"/>
      <c r="K143" s="1670">
        <f>SUM(H143)</f>
        <v>0</v>
      </c>
      <c r="L143" s="466">
        <v>0</v>
      </c>
    </row>
    <row r="144" spans="1:14" ht="12.75" customHeight="1" x14ac:dyDescent="0.2">
      <c r="A144" s="1502" t="s">
        <v>1170</v>
      </c>
      <c r="B144" s="628" t="s">
        <v>617</v>
      </c>
      <c r="C144" s="616"/>
      <c r="D144" s="616"/>
      <c r="E144" s="616"/>
      <c r="F144" s="616"/>
      <c r="G144" s="616"/>
      <c r="H144" s="466"/>
      <c r="I144" s="468"/>
      <c r="J144" s="616"/>
      <c r="K144" s="1670">
        <f>SUM(H144)</f>
        <v>0</v>
      </c>
      <c r="L144" s="466">
        <v>0</v>
      </c>
    </row>
    <row r="145" spans="1:14" x14ac:dyDescent="0.2">
      <c r="A145" s="1502" t="s">
        <v>89</v>
      </c>
      <c r="B145" s="614" t="s">
        <v>589</v>
      </c>
      <c r="C145" s="616"/>
      <c r="D145" s="616"/>
      <c r="E145" s="616"/>
      <c r="F145" s="616"/>
      <c r="G145" s="616"/>
      <c r="H145" s="466"/>
      <c r="I145" s="468"/>
      <c r="J145" s="616"/>
      <c r="K145" s="1670">
        <f>SUM(H145)</f>
        <v>0</v>
      </c>
      <c r="L145" s="466">
        <v>0</v>
      </c>
    </row>
    <row r="146" spans="1:14" ht="12.75" customHeight="1" x14ac:dyDescent="0.2">
      <c r="A146" s="1502" t="s">
        <v>619</v>
      </c>
      <c r="B146" s="614" t="s">
        <v>618</v>
      </c>
      <c r="C146" s="616"/>
      <c r="D146" s="616"/>
      <c r="E146" s="616"/>
      <c r="F146" s="616"/>
      <c r="G146" s="616"/>
      <c r="H146" s="466"/>
      <c r="I146" s="468"/>
      <c r="J146" s="616"/>
      <c r="K146" s="1670">
        <f>SUM(H146)</f>
        <v>0</v>
      </c>
      <c r="L146" s="466">
        <v>0</v>
      </c>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v>0</v>
      </c>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v>0</v>
      </c>
    </row>
    <row r="151" spans="1:14" ht="12.75" customHeight="1" thickTop="1" thickBot="1" x14ac:dyDescent="0.25">
      <c r="A151" s="2177" t="s">
        <v>620</v>
      </c>
      <c r="B151" s="2157"/>
      <c r="C151" s="1668">
        <f>SUM(C129,C130,C139,C149,C150)</f>
        <v>205097</v>
      </c>
      <c r="D151" s="1668">
        <f t="shared" ref="D151:K151" si="16">SUM(D129,D130,D139,D149,D150)</f>
        <v>18908</v>
      </c>
      <c r="E151" s="1668">
        <f t="shared" si="16"/>
        <v>257280</v>
      </c>
      <c r="F151" s="1668">
        <f t="shared" si="16"/>
        <v>217576</v>
      </c>
      <c r="G151" s="1668">
        <f t="shared" si="16"/>
        <v>155270</v>
      </c>
      <c r="H151" s="1668">
        <f t="shared" si="16"/>
        <v>0</v>
      </c>
      <c r="I151" s="1668">
        <f t="shared" si="16"/>
        <v>0</v>
      </c>
      <c r="J151" s="1668">
        <f t="shared" si="16"/>
        <v>0</v>
      </c>
      <c r="K151" s="1668">
        <f t="shared" si="16"/>
        <v>854131</v>
      </c>
      <c r="L151" s="1668">
        <f>SUM(L129,L130,L139,L149,L150)</f>
        <v>882679</v>
      </c>
    </row>
    <row r="152" spans="1:14" ht="12.75" customHeight="1" thickTop="1" x14ac:dyDescent="0.2">
      <c r="A152" s="2180" t="s">
        <v>1178</v>
      </c>
      <c r="B152" s="2181"/>
      <c r="C152" s="618"/>
      <c r="D152" s="618"/>
      <c r="E152" s="618"/>
      <c r="F152" s="618"/>
      <c r="G152" s="618"/>
      <c r="H152" s="618"/>
      <c r="I152" s="618"/>
      <c r="J152" s="616"/>
      <c r="K152" s="1682">
        <f>'Revenues 9-14'!D268-'Expenditures 15-22'!K151</f>
        <v>-2681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1846</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1845</v>
      </c>
      <c r="C157" s="616"/>
      <c r="D157" s="616"/>
      <c r="E157" s="616"/>
      <c r="F157" s="616"/>
      <c r="G157" s="616"/>
      <c r="H157" s="641"/>
      <c r="I157" s="616"/>
      <c r="J157" s="616"/>
      <c r="K157" s="1669">
        <f>H157</f>
        <v>0</v>
      </c>
      <c r="L157" s="467">
        <v>0</v>
      </c>
      <c r="M157" s="619"/>
      <c r="N157" s="619"/>
    </row>
    <row r="158" spans="1:14" s="620" customFormat="1" ht="12" x14ac:dyDescent="0.2">
      <c r="A158" s="1824" t="s">
        <v>304</v>
      </c>
      <c r="B158" s="1825" t="s">
        <v>1847</v>
      </c>
      <c r="C158" s="616"/>
      <c r="D158" s="616"/>
      <c r="E158" s="616"/>
      <c r="F158" s="616"/>
      <c r="G158" s="616"/>
      <c r="H158" s="467"/>
      <c r="I158" s="616"/>
      <c r="J158" s="616"/>
      <c r="K158" s="1669">
        <f>H158</f>
        <v>0</v>
      </c>
      <c r="L158" s="467">
        <v>0</v>
      </c>
      <c r="M158" s="619"/>
      <c r="N158" s="619"/>
    </row>
    <row r="159" spans="1:14" s="620" customFormat="1" ht="12" x14ac:dyDescent="0.2">
      <c r="A159" s="1824" t="s">
        <v>1848</v>
      </c>
      <c r="B159" s="1825" t="s">
        <v>558</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1849</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v>0</v>
      </c>
    </row>
    <row r="164" spans="1:14" x14ac:dyDescent="0.2">
      <c r="A164" s="1502" t="s">
        <v>88</v>
      </c>
      <c r="B164" s="614">
        <v>5120</v>
      </c>
      <c r="C164" s="616"/>
      <c r="D164" s="616"/>
      <c r="E164" s="616"/>
      <c r="F164" s="616"/>
      <c r="G164" s="616"/>
      <c r="H164" s="466"/>
      <c r="I164" s="616"/>
      <c r="J164" s="616"/>
      <c r="K164" s="1669">
        <f>SUM(C164:J164)</f>
        <v>0</v>
      </c>
      <c r="L164" s="466">
        <v>0</v>
      </c>
    </row>
    <row r="165" spans="1:14" ht="12.75" customHeight="1" x14ac:dyDescent="0.2">
      <c r="A165" s="1502" t="s">
        <v>1170</v>
      </c>
      <c r="B165" s="614" t="s">
        <v>617</v>
      </c>
      <c r="C165" s="616"/>
      <c r="D165" s="616"/>
      <c r="E165" s="616"/>
      <c r="F165" s="616"/>
      <c r="G165" s="616"/>
      <c r="H165" s="466"/>
      <c r="I165" s="616"/>
      <c r="J165" s="616"/>
      <c r="K165" s="1669">
        <f>SUM(C165:J165)</f>
        <v>0</v>
      </c>
      <c r="L165" s="466">
        <v>0</v>
      </c>
    </row>
    <row r="166" spans="1:14" x14ac:dyDescent="0.2">
      <c r="A166" s="1502" t="s">
        <v>89</v>
      </c>
      <c r="B166" s="628" t="s">
        <v>589</v>
      </c>
      <c r="C166" s="616"/>
      <c r="D166" s="616"/>
      <c r="E166" s="616"/>
      <c r="F166" s="616"/>
      <c r="G166" s="616"/>
      <c r="H166" s="466"/>
      <c r="I166" s="616"/>
      <c r="J166" s="616"/>
      <c r="K166" s="1669">
        <f>SUM(C166:J166)</f>
        <v>0</v>
      </c>
      <c r="L166" s="466">
        <v>0</v>
      </c>
    </row>
    <row r="167" spans="1:14" ht="12.75" customHeight="1" x14ac:dyDescent="0.2">
      <c r="A167" s="1502" t="s">
        <v>619</v>
      </c>
      <c r="B167" s="614" t="s">
        <v>618</v>
      </c>
      <c r="C167" s="616"/>
      <c r="D167" s="616"/>
      <c r="E167" s="616"/>
      <c r="F167" s="616"/>
      <c r="G167" s="616"/>
      <c r="H167" s="466"/>
      <c r="I167" s="616"/>
      <c r="J167" s="616"/>
      <c r="K167" s="1669">
        <f>SUM(C167:J167)</f>
        <v>0</v>
      </c>
      <c r="L167" s="466">
        <v>0</v>
      </c>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151858</v>
      </c>
      <c r="I169" s="616"/>
      <c r="J169" s="616"/>
      <c r="K169" s="1669">
        <f>SUM(C169:H169)</f>
        <v>151858</v>
      </c>
      <c r="L169" s="656">
        <v>151858</v>
      </c>
    </row>
    <row r="170" spans="1:14" ht="33.75" customHeight="1" x14ac:dyDescent="0.2">
      <c r="A170" s="669" t="s">
        <v>1670</v>
      </c>
      <c r="B170" s="671" t="s">
        <v>31</v>
      </c>
      <c r="C170" s="616"/>
      <c r="D170" s="616"/>
      <c r="E170" s="616"/>
      <c r="F170" s="616"/>
      <c r="G170" s="616"/>
      <c r="H170" s="569">
        <v>250000</v>
      </c>
      <c r="I170" s="616"/>
      <c r="J170" s="616"/>
      <c r="K170" s="1669">
        <f>SUM(C170:J170)</f>
        <v>250000</v>
      </c>
      <c r="L170" s="569">
        <v>250750</v>
      </c>
    </row>
    <row r="171" spans="1:14" ht="15.75" customHeight="1" x14ac:dyDescent="0.2">
      <c r="A171" s="621" t="s">
        <v>766</v>
      </c>
      <c r="B171" s="672" t="s">
        <v>84</v>
      </c>
      <c r="C171" s="616"/>
      <c r="D171" s="616"/>
      <c r="E171" s="466"/>
      <c r="F171" s="616"/>
      <c r="G171" s="616"/>
      <c r="H171" s="569">
        <v>750</v>
      </c>
      <c r="I171" s="477"/>
      <c r="J171" s="616"/>
      <c r="K171" s="1669">
        <f>SUM(C171:J171)</f>
        <v>750</v>
      </c>
      <c r="L171" s="569">
        <v>0</v>
      </c>
    </row>
    <row r="172" spans="1:14" ht="12.75" customHeight="1" thickBot="1" x14ac:dyDescent="0.25">
      <c r="A172" s="1666" t="s">
        <v>638</v>
      </c>
      <c r="B172" s="1667" t="s">
        <v>492</v>
      </c>
      <c r="C172" s="616"/>
      <c r="D172" s="616"/>
      <c r="E172" s="1675">
        <f>SUM(E168,E169,E170,E171)</f>
        <v>0</v>
      </c>
      <c r="F172" s="616"/>
      <c r="G172" s="616"/>
      <c r="H172" s="1675">
        <f>SUM(H168,H169,H170,H171)</f>
        <v>402608</v>
      </c>
      <c r="I172" s="638"/>
      <c r="J172" s="616"/>
      <c r="K172" s="1675">
        <f>SUM(K168,K169,K170,K171)</f>
        <v>402608</v>
      </c>
      <c r="L172" s="1675">
        <f>SUM(L168,L169,L170,L171)</f>
        <v>402608</v>
      </c>
    </row>
    <row r="173" spans="1:14" ht="15.75" customHeight="1" thickTop="1" thickBot="1" x14ac:dyDescent="0.25">
      <c r="A173" s="1617" t="s">
        <v>85</v>
      </c>
      <c r="B173" s="1609" t="s">
        <v>861</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402608</v>
      </c>
      <c r="I174" s="638"/>
      <c r="J174" s="616"/>
      <c r="K174" s="1675">
        <f>SUM(K160,K172,K173)</f>
        <v>402608</v>
      </c>
      <c r="L174" s="1675">
        <f>SUM(L160,L172,L173)</f>
        <v>402608</v>
      </c>
    </row>
    <row r="175" spans="1:14" ht="13.5" thickTop="1" x14ac:dyDescent="0.2">
      <c r="A175" s="2160" t="s">
        <v>996</v>
      </c>
      <c r="B175" s="2161"/>
      <c r="C175" s="616"/>
      <c r="D175" s="616"/>
      <c r="E175" s="616"/>
      <c r="F175" s="616"/>
      <c r="G175" s="616"/>
      <c r="H175" s="618"/>
      <c r="I175" s="616"/>
      <c r="J175" s="616"/>
      <c r="K175" s="1682">
        <f>'Revenues 9-14'!E268-'Expenditures 15-22'!K174</f>
        <v>2678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2060</v>
      </c>
      <c r="B180" s="614" t="s">
        <v>716</v>
      </c>
      <c r="C180" s="466"/>
      <c r="D180" s="466"/>
      <c r="E180" s="466"/>
      <c r="F180" s="466"/>
      <c r="G180" s="466"/>
      <c r="H180" s="466"/>
      <c r="I180" s="467"/>
      <c r="J180" s="467"/>
      <c r="K180" s="1669">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f>1+231039</f>
        <v>231040</v>
      </c>
      <c r="D182" s="466">
        <v>15777</v>
      </c>
      <c r="E182" s="466">
        <v>45627</v>
      </c>
      <c r="F182" s="466">
        <v>95931</v>
      </c>
      <c r="G182" s="466">
        <v>91760</v>
      </c>
      <c r="H182" s="466">
        <v>32</v>
      </c>
      <c r="I182" s="467"/>
      <c r="J182" s="467"/>
      <c r="K182" s="1669">
        <f>SUM(C182:J182)</f>
        <v>480167</v>
      </c>
      <c r="L182" s="466">
        <v>485570</v>
      </c>
    </row>
    <row r="183" spans="1:14" ht="12.75" customHeight="1" thickBot="1" x14ac:dyDescent="0.25">
      <c r="A183" s="1507" t="s">
        <v>980</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811</v>
      </c>
      <c r="B184" s="1667" t="s">
        <v>569</v>
      </c>
      <c r="C184" s="1675">
        <f>SUM(C180,C182,C183)</f>
        <v>231040</v>
      </c>
      <c r="D184" s="1675">
        <f t="shared" ref="D184:J184" si="17">SUM(D180,D182,D183)</f>
        <v>15777</v>
      </c>
      <c r="E184" s="1675">
        <f t="shared" si="17"/>
        <v>45627</v>
      </c>
      <c r="F184" s="1675">
        <f t="shared" si="17"/>
        <v>95931</v>
      </c>
      <c r="G184" s="1675">
        <f t="shared" si="17"/>
        <v>91760</v>
      </c>
      <c r="H184" s="1675">
        <f t="shared" si="17"/>
        <v>32</v>
      </c>
      <c r="I184" s="1675">
        <f t="shared" si="17"/>
        <v>0</v>
      </c>
      <c r="J184" s="1675">
        <f t="shared" si="17"/>
        <v>0</v>
      </c>
      <c r="K184" s="1675">
        <f>SUM(K180,K182,K183)</f>
        <v>480167</v>
      </c>
      <c r="L184" s="1675">
        <f>SUM(L180, L182:L183)</f>
        <v>485570</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v>0</v>
      </c>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v>0</v>
      </c>
    </row>
    <row r="189" spans="1:14" x14ac:dyDescent="0.2">
      <c r="A189" s="1502" t="s">
        <v>304</v>
      </c>
      <c r="B189" s="614">
        <v>4120</v>
      </c>
      <c r="C189" s="616"/>
      <c r="D189" s="616"/>
      <c r="E189" s="466"/>
      <c r="F189" s="616"/>
      <c r="G189" s="616"/>
      <c r="H189" s="466"/>
      <c r="I189" s="477"/>
      <c r="J189" s="616"/>
      <c r="K189" s="1669">
        <f t="shared" si="18"/>
        <v>0</v>
      </c>
      <c r="L189" s="466">
        <v>0</v>
      </c>
    </row>
    <row r="190" spans="1:14" x14ac:dyDescent="0.2">
      <c r="A190" s="1502" t="s">
        <v>305</v>
      </c>
      <c r="B190" s="628">
        <v>4130</v>
      </c>
      <c r="C190" s="616"/>
      <c r="D190" s="616"/>
      <c r="E190" s="466"/>
      <c r="F190" s="616"/>
      <c r="G190" s="616"/>
      <c r="H190" s="466"/>
      <c r="I190" s="477"/>
      <c r="J190" s="616"/>
      <c r="K190" s="1669">
        <f t="shared" si="18"/>
        <v>0</v>
      </c>
      <c r="L190" s="466">
        <v>0</v>
      </c>
    </row>
    <row r="191" spans="1:14" x14ac:dyDescent="0.2">
      <c r="A191" s="1502" t="s">
        <v>697</v>
      </c>
      <c r="B191" s="614">
        <v>4140</v>
      </c>
      <c r="C191" s="616"/>
      <c r="D191" s="616"/>
      <c r="E191" s="466"/>
      <c r="F191" s="616"/>
      <c r="G191" s="616"/>
      <c r="H191" s="466"/>
      <c r="I191" s="477"/>
      <c r="J191" s="616"/>
      <c r="K191" s="1669">
        <f t="shared" si="18"/>
        <v>0</v>
      </c>
      <c r="L191" s="466">
        <v>0</v>
      </c>
    </row>
    <row r="192" spans="1:14" x14ac:dyDescent="0.2">
      <c r="A192" s="1502" t="s">
        <v>86</v>
      </c>
      <c r="B192" s="614">
        <v>4170</v>
      </c>
      <c r="C192" s="616"/>
      <c r="D192" s="616"/>
      <c r="E192" s="466"/>
      <c r="F192" s="616"/>
      <c r="G192" s="616"/>
      <c r="H192" s="466"/>
      <c r="I192" s="477"/>
      <c r="J192" s="616"/>
      <c r="K192" s="1669">
        <f t="shared" si="18"/>
        <v>0</v>
      </c>
      <c r="L192" s="466">
        <v>0</v>
      </c>
    </row>
    <row r="193" spans="1:14" x14ac:dyDescent="0.2">
      <c r="A193" s="1506" t="s">
        <v>698</v>
      </c>
      <c r="B193" s="628">
        <v>4190</v>
      </c>
      <c r="C193" s="616"/>
      <c r="D193" s="616"/>
      <c r="E193" s="466"/>
      <c r="F193" s="616"/>
      <c r="G193" s="616"/>
      <c r="H193" s="466"/>
      <c r="I193" s="477"/>
      <c r="J193" s="616"/>
      <c r="K193" s="1669">
        <f t="shared" si="18"/>
        <v>0</v>
      </c>
      <c r="L193" s="466">
        <v>0</v>
      </c>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v>0</v>
      </c>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v>0</v>
      </c>
    </row>
    <row r="200" spans="1:14" x14ac:dyDescent="0.2">
      <c r="A200" s="1502" t="s">
        <v>88</v>
      </c>
      <c r="B200" s="614">
        <v>5120</v>
      </c>
      <c r="C200" s="616"/>
      <c r="D200" s="616"/>
      <c r="E200" s="616"/>
      <c r="F200" s="616"/>
      <c r="G200" s="616"/>
      <c r="H200" s="466"/>
      <c r="I200" s="616"/>
      <c r="J200" s="616"/>
      <c r="K200" s="1669">
        <f>SUM(H200)</f>
        <v>0</v>
      </c>
      <c r="L200" s="466">
        <v>0</v>
      </c>
    </row>
    <row r="201" spans="1:14" ht="12.75" customHeight="1" x14ac:dyDescent="0.2">
      <c r="A201" s="1502" t="s">
        <v>1170</v>
      </c>
      <c r="B201" s="628" t="s">
        <v>617</v>
      </c>
      <c r="C201" s="616"/>
      <c r="D201" s="616"/>
      <c r="E201" s="616"/>
      <c r="F201" s="616"/>
      <c r="G201" s="616"/>
      <c r="H201" s="466"/>
      <c r="I201" s="616"/>
      <c r="J201" s="616"/>
      <c r="K201" s="1669">
        <f>SUM(H201)</f>
        <v>0</v>
      </c>
      <c r="L201" s="466">
        <v>0</v>
      </c>
    </row>
    <row r="202" spans="1:14" x14ac:dyDescent="0.2">
      <c r="A202" s="1502" t="s">
        <v>89</v>
      </c>
      <c r="B202" s="614" t="s">
        <v>589</v>
      </c>
      <c r="C202" s="616"/>
      <c r="D202" s="616"/>
      <c r="E202" s="616"/>
      <c r="F202" s="616"/>
      <c r="G202" s="616"/>
      <c r="H202" s="466"/>
      <c r="I202" s="616"/>
      <c r="J202" s="616"/>
      <c r="K202" s="1669">
        <f>SUM(H202)</f>
        <v>0</v>
      </c>
      <c r="L202" s="466">
        <v>0</v>
      </c>
    </row>
    <row r="203" spans="1:14" x14ac:dyDescent="0.2">
      <c r="A203" s="1514" t="s">
        <v>619</v>
      </c>
      <c r="B203" s="614" t="s">
        <v>618</v>
      </c>
      <c r="C203" s="616"/>
      <c r="D203" s="616"/>
      <c r="E203" s="616"/>
      <c r="F203" s="616"/>
      <c r="G203" s="616"/>
      <c r="H203" s="471"/>
      <c r="I203" s="616"/>
      <c r="J203" s="616"/>
      <c r="K203" s="1669">
        <f>SUM(H203)</f>
        <v>0</v>
      </c>
      <c r="L203" s="471">
        <v>0</v>
      </c>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v>0</v>
      </c>
    </row>
    <row r="206" spans="1:14" ht="30" customHeight="1" x14ac:dyDescent="0.2">
      <c r="A206" s="681" t="s">
        <v>1671</v>
      </c>
      <c r="B206" s="672" t="s">
        <v>31</v>
      </c>
      <c r="C206" s="616"/>
      <c r="D206" s="616"/>
      <c r="E206" s="616"/>
      <c r="F206" s="616"/>
      <c r="G206" s="616"/>
      <c r="H206" s="466"/>
      <c r="I206" s="616"/>
      <c r="J206" s="616"/>
      <c r="K206" s="1669">
        <f>SUM(H206)</f>
        <v>0</v>
      </c>
      <c r="L206" s="466">
        <v>0</v>
      </c>
    </row>
    <row r="207" spans="1:14" ht="15.75" customHeight="1" x14ac:dyDescent="0.2">
      <c r="A207" s="621" t="s">
        <v>766</v>
      </c>
      <c r="B207" s="672" t="s">
        <v>84</v>
      </c>
      <c r="C207" s="616"/>
      <c r="D207" s="616"/>
      <c r="E207" s="616"/>
      <c r="F207" s="616"/>
      <c r="G207" s="616"/>
      <c r="H207" s="467"/>
      <c r="I207" s="616"/>
      <c r="J207" s="616"/>
      <c r="K207" s="1669">
        <f>H207</f>
        <v>0</v>
      </c>
      <c r="L207" s="466">
        <v>0</v>
      </c>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v>0</v>
      </c>
    </row>
    <row r="210" spans="1:14" ht="12.75" customHeight="1" thickTop="1" thickBot="1" x14ac:dyDescent="0.25">
      <c r="A210" s="1690" t="s">
        <v>277</v>
      </c>
      <c r="B210" s="1691"/>
      <c r="C210" s="1668">
        <f>SUM(C184,C185)</f>
        <v>231040</v>
      </c>
      <c r="D210" s="1668">
        <f>SUM(D184,D185)</f>
        <v>15777</v>
      </c>
      <c r="E210" s="1668">
        <f>SUM(E184,E185,E196)</f>
        <v>45627</v>
      </c>
      <c r="F210" s="1668">
        <f>SUM(F184,F185)</f>
        <v>95931</v>
      </c>
      <c r="G210" s="1668">
        <f>SUM(G184,G185)</f>
        <v>91760</v>
      </c>
      <c r="H210" s="1668">
        <f>SUM(H184,H185,H196,H208,H209)</f>
        <v>32</v>
      </c>
      <c r="I210" s="1668">
        <f>SUM(I184,I185)</f>
        <v>0</v>
      </c>
      <c r="J210" s="1668">
        <f>SUM(J184,J185)</f>
        <v>0</v>
      </c>
      <c r="K210" s="1669">
        <f>SUM(K184,K185,K196,K208,K209)</f>
        <v>480167</v>
      </c>
      <c r="L210" s="1668">
        <f>SUM(L184,L185,L196,L208,L209)</f>
        <v>485570</v>
      </c>
    </row>
    <row r="211" spans="1:14" ht="13.5" thickTop="1" x14ac:dyDescent="0.2">
      <c r="A211" s="2160" t="s">
        <v>996</v>
      </c>
      <c r="B211" s="2161"/>
      <c r="C211" s="618"/>
      <c r="D211" s="618"/>
      <c r="E211" s="618"/>
      <c r="F211" s="618"/>
      <c r="G211" s="618"/>
      <c r="H211" s="618"/>
      <c r="I211" s="616"/>
      <c r="J211" s="616"/>
      <c r="K211" s="1682">
        <f>'Revenues 9-14'!F268-'Expenditures 15-22'!K210</f>
        <v>54890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v>88168</v>
      </c>
      <c r="E215" s="616"/>
      <c r="F215" s="616"/>
      <c r="G215" s="616"/>
      <c r="H215" s="616"/>
      <c r="I215" s="616"/>
      <c r="J215" s="616"/>
      <c r="K215" s="1669">
        <f>D215</f>
        <v>88168</v>
      </c>
      <c r="L215" s="466">
        <v>91145</v>
      </c>
    </row>
    <row r="216" spans="1:14" x14ac:dyDescent="0.2">
      <c r="A216" s="1502" t="s">
        <v>163</v>
      </c>
      <c r="B216" s="614" t="s">
        <v>967</v>
      </c>
      <c r="C216" s="616"/>
      <c r="D216" s="467">
        <v>2648</v>
      </c>
      <c r="E216" s="616"/>
      <c r="F216" s="616"/>
      <c r="G216" s="616"/>
      <c r="H216" s="616"/>
      <c r="I216" s="616"/>
      <c r="J216" s="616"/>
      <c r="K216" s="1669">
        <f t="shared" ref="K216:K228" si="19">D216</f>
        <v>2648</v>
      </c>
      <c r="L216" s="466">
        <v>2670</v>
      </c>
    </row>
    <row r="217" spans="1:14" x14ac:dyDescent="0.2">
      <c r="A217" s="1502" t="s">
        <v>164</v>
      </c>
      <c r="B217" s="614">
        <v>1200</v>
      </c>
      <c r="C217" s="616"/>
      <c r="D217" s="466">
        <v>14638</v>
      </c>
      <c r="E217" s="616"/>
      <c r="F217" s="616"/>
      <c r="G217" s="616"/>
      <c r="H217" s="616"/>
      <c r="I217" s="616"/>
      <c r="J217" s="616"/>
      <c r="K217" s="1669">
        <f t="shared" si="19"/>
        <v>14638</v>
      </c>
      <c r="L217" s="466">
        <v>18795</v>
      </c>
    </row>
    <row r="218" spans="1:14" x14ac:dyDescent="0.2">
      <c r="A218" s="1502" t="s">
        <v>278</v>
      </c>
      <c r="B218" s="614" t="s">
        <v>968</v>
      </c>
      <c r="C218" s="616"/>
      <c r="D218" s="467"/>
      <c r="E218" s="616"/>
      <c r="F218" s="616"/>
      <c r="G218" s="616"/>
      <c r="H218" s="616"/>
      <c r="I218" s="616"/>
      <c r="J218" s="616"/>
      <c r="K218" s="1669">
        <f t="shared" si="19"/>
        <v>0</v>
      </c>
      <c r="L218" s="466">
        <v>0</v>
      </c>
    </row>
    <row r="219" spans="1:14" x14ac:dyDescent="0.2">
      <c r="A219" s="1502" t="s">
        <v>279</v>
      </c>
      <c r="B219" s="614">
        <v>1250</v>
      </c>
      <c r="C219" s="616"/>
      <c r="D219" s="466">
        <v>1816</v>
      </c>
      <c r="E219" s="616"/>
      <c r="F219" s="616"/>
      <c r="G219" s="616"/>
      <c r="H219" s="616"/>
      <c r="I219" s="616"/>
      <c r="J219" s="616"/>
      <c r="K219" s="1669">
        <f t="shared" si="19"/>
        <v>1816</v>
      </c>
      <c r="L219" s="466">
        <v>1830</v>
      </c>
    </row>
    <row r="220" spans="1:14" x14ac:dyDescent="0.2">
      <c r="A220" s="1502" t="s">
        <v>280</v>
      </c>
      <c r="B220" s="614" t="s">
        <v>161</v>
      </c>
      <c r="C220" s="616"/>
      <c r="D220" s="467"/>
      <c r="E220" s="616"/>
      <c r="F220" s="616"/>
      <c r="G220" s="616"/>
      <c r="H220" s="616"/>
      <c r="I220" s="616"/>
      <c r="J220" s="616"/>
      <c r="K220" s="1669">
        <f t="shared" si="19"/>
        <v>0</v>
      </c>
      <c r="L220" s="466">
        <v>0</v>
      </c>
    </row>
    <row r="221" spans="1:14" x14ac:dyDescent="0.2">
      <c r="A221" s="1502" t="s">
        <v>962</v>
      </c>
      <c r="B221" s="614">
        <v>1300</v>
      </c>
      <c r="C221" s="616"/>
      <c r="D221" s="466"/>
      <c r="E221" s="616"/>
      <c r="F221" s="616"/>
      <c r="G221" s="616"/>
      <c r="H221" s="616"/>
      <c r="I221" s="616"/>
      <c r="J221" s="616"/>
      <c r="K221" s="1669">
        <f t="shared" si="19"/>
        <v>0</v>
      </c>
      <c r="L221" s="466">
        <v>0</v>
      </c>
    </row>
    <row r="222" spans="1:14" x14ac:dyDescent="0.2">
      <c r="A222" s="1502" t="s">
        <v>723</v>
      </c>
      <c r="B222" s="614">
        <v>1400</v>
      </c>
      <c r="C222" s="616"/>
      <c r="D222" s="466">
        <v>2210</v>
      </c>
      <c r="E222" s="616"/>
      <c r="F222" s="616"/>
      <c r="G222" s="616"/>
      <c r="H222" s="616"/>
      <c r="I222" s="616"/>
      <c r="J222" s="616"/>
      <c r="K222" s="1669">
        <f t="shared" si="19"/>
        <v>2210</v>
      </c>
      <c r="L222" s="466">
        <v>2215</v>
      </c>
    </row>
    <row r="223" spans="1:14" x14ac:dyDescent="0.2">
      <c r="A223" s="1502" t="s">
        <v>963</v>
      </c>
      <c r="B223" s="614">
        <v>1500</v>
      </c>
      <c r="C223" s="616"/>
      <c r="D223" s="466">
        <v>8447</v>
      </c>
      <c r="E223" s="616"/>
      <c r="F223" s="616"/>
      <c r="G223" s="616"/>
      <c r="H223" s="616"/>
      <c r="I223" s="616"/>
      <c r="J223" s="616"/>
      <c r="K223" s="1669">
        <f t="shared" si="19"/>
        <v>8447</v>
      </c>
      <c r="L223" s="466">
        <v>8805</v>
      </c>
    </row>
    <row r="224" spans="1:14" x14ac:dyDescent="0.2">
      <c r="A224" s="1502" t="s">
        <v>964</v>
      </c>
      <c r="B224" s="614">
        <v>1600</v>
      </c>
      <c r="C224" s="616"/>
      <c r="D224" s="466"/>
      <c r="E224" s="616"/>
      <c r="F224" s="616"/>
      <c r="G224" s="616"/>
      <c r="H224" s="616"/>
      <c r="I224" s="616"/>
      <c r="J224" s="616"/>
      <c r="K224" s="1669">
        <f t="shared" si="19"/>
        <v>0</v>
      </c>
      <c r="L224" s="466">
        <v>0</v>
      </c>
    </row>
    <row r="225" spans="1:12" x14ac:dyDescent="0.2">
      <c r="A225" s="1502" t="s">
        <v>987</v>
      </c>
      <c r="B225" s="614">
        <v>1650</v>
      </c>
      <c r="C225" s="616"/>
      <c r="D225" s="466"/>
      <c r="E225" s="616"/>
      <c r="F225" s="616"/>
      <c r="G225" s="616"/>
      <c r="H225" s="616"/>
      <c r="I225" s="616"/>
      <c r="J225" s="616"/>
      <c r="K225" s="1669">
        <f t="shared" si="19"/>
        <v>0</v>
      </c>
      <c r="L225" s="466">
        <v>0</v>
      </c>
    </row>
    <row r="226" spans="1:12" x14ac:dyDescent="0.2">
      <c r="A226" s="1502" t="s">
        <v>724</v>
      </c>
      <c r="B226" s="614" t="s">
        <v>162</v>
      </c>
      <c r="C226" s="616"/>
      <c r="D226" s="467">
        <v>387</v>
      </c>
      <c r="E226" s="616"/>
      <c r="F226" s="616"/>
      <c r="G226" s="616"/>
      <c r="H226" s="616"/>
      <c r="I226" s="616"/>
      <c r="J226" s="616"/>
      <c r="K226" s="1669">
        <f t="shared" si="19"/>
        <v>387</v>
      </c>
      <c r="L226" s="466">
        <v>390</v>
      </c>
    </row>
    <row r="227" spans="1:12" x14ac:dyDescent="0.2">
      <c r="A227" s="1502" t="s">
        <v>1087</v>
      </c>
      <c r="B227" s="614">
        <v>1800</v>
      </c>
      <c r="C227" s="616"/>
      <c r="D227" s="466"/>
      <c r="E227" s="616"/>
      <c r="F227" s="616"/>
      <c r="G227" s="616"/>
      <c r="H227" s="616"/>
      <c r="I227" s="616"/>
      <c r="J227" s="616"/>
      <c r="K227" s="1669">
        <f t="shared" si="19"/>
        <v>0</v>
      </c>
      <c r="L227" s="466">
        <v>0</v>
      </c>
    </row>
    <row r="228" spans="1:12" x14ac:dyDescent="0.2">
      <c r="A228" s="1502" t="s">
        <v>1088</v>
      </c>
      <c r="B228" s="614">
        <v>1900</v>
      </c>
      <c r="C228" s="616"/>
      <c r="D228" s="466"/>
      <c r="E228" s="616"/>
      <c r="F228" s="616"/>
      <c r="G228" s="616"/>
      <c r="H228" s="616"/>
      <c r="I228" s="616"/>
      <c r="J228" s="616"/>
      <c r="K228" s="1669">
        <f t="shared" si="19"/>
        <v>0</v>
      </c>
      <c r="L228" s="466">
        <v>0</v>
      </c>
    </row>
    <row r="229" spans="1:12" ht="12.75" customHeight="1" thickBot="1" x14ac:dyDescent="0.25">
      <c r="A229" s="1666" t="s">
        <v>715</v>
      </c>
      <c r="B229" s="1673" t="s">
        <v>570</v>
      </c>
      <c r="C229" s="616"/>
      <c r="D229" s="1668">
        <f>SUM(D215:D228)</f>
        <v>118314</v>
      </c>
      <c r="E229" s="616"/>
      <c r="F229" s="616"/>
      <c r="G229" s="616"/>
      <c r="H229" s="616"/>
      <c r="I229" s="616"/>
      <c r="J229" s="616"/>
      <c r="K229" s="1668">
        <f>SUM(K215:K228)</f>
        <v>118314</v>
      </c>
      <c r="L229" s="1668">
        <f>SUM(L215:L228)</f>
        <v>125850</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v>193</v>
      </c>
      <c r="E232" s="616"/>
      <c r="F232" s="616"/>
      <c r="G232" s="616"/>
      <c r="H232" s="616"/>
      <c r="I232" s="616"/>
      <c r="J232" s="616"/>
      <c r="K232" s="1669">
        <f t="shared" ref="K232:K237" si="20">D232</f>
        <v>193</v>
      </c>
      <c r="L232" s="466">
        <v>205</v>
      </c>
    </row>
    <row r="233" spans="1:12" x14ac:dyDescent="0.2">
      <c r="A233" s="1502" t="s">
        <v>1090</v>
      </c>
      <c r="B233" s="614">
        <v>2120</v>
      </c>
      <c r="C233" s="616"/>
      <c r="D233" s="466">
        <v>2248</v>
      </c>
      <c r="E233" s="616"/>
      <c r="F233" s="616"/>
      <c r="G233" s="616"/>
      <c r="H233" s="616"/>
      <c r="I233" s="616"/>
      <c r="J233" s="616"/>
      <c r="K233" s="1669">
        <f t="shared" si="20"/>
        <v>2248</v>
      </c>
      <c r="L233" s="466">
        <v>2320</v>
      </c>
    </row>
    <row r="234" spans="1:12" x14ac:dyDescent="0.2">
      <c r="A234" s="1502" t="s">
        <v>198</v>
      </c>
      <c r="B234" s="614">
        <v>2130</v>
      </c>
      <c r="C234" s="616"/>
      <c r="D234" s="466"/>
      <c r="E234" s="616"/>
      <c r="F234" s="616"/>
      <c r="G234" s="616"/>
      <c r="H234" s="616"/>
      <c r="I234" s="616"/>
      <c r="J234" s="616"/>
      <c r="K234" s="1669">
        <f t="shared" si="20"/>
        <v>0</v>
      </c>
      <c r="L234" s="466">
        <v>0</v>
      </c>
    </row>
    <row r="235" spans="1:12" x14ac:dyDescent="0.2">
      <c r="A235" s="1502" t="s">
        <v>199</v>
      </c>
      <c r="B235" s="614">
        <v>2140</v>
      </c>
      <c r="C235" s="616"/>
      <c r="D235" s="466">
        <v>240</v>
      </c>
      <c r="E235" s="616"/>
      <c r="F235" s="616"/>
      <c r="G235" s="616"/>
      <c r="H235" s="616"/>
      <c r="I235" s="616"/>
      <c r="J235" s="616"/>
      <c r="K235" s="1669">
        <f t="shared" si="20"/>
        <v>240</v>
      </c>
      <c r="L235" s="466">
        <v>245</v>
      </c>
    </row>
    <row r="236" spans="1:12" x14ac:dyDescent="0.2">
      <c r="A236" s="1502" t="s">
        <v>200</v>
      </c>
      <c r="B236" s="614">
        <v>2150</v>
      </c>
      <c r="C236" s="616"/>
      <c r="D236" s="466">
        <v>1415</v>
      </c>
      <c r="E236" s="616"/>
      <c r="F236" s="616"/>
      <c r="G236" s="616"/>
      <c r="H236" s="616"/>
      <c r="I236" s="616"/>
      <c r="J236" s="616"/>
      <c r="K236" s="1669">
        <f t="shared" si="20"/>
        <v>1415</v>
      </c>
      <c r="L236" s="466">
        <v>1425</v>
      </c>
    </row>
    <row r="237" spans="1:12" x14ac:dyDescent="0.2">
      <c r="A237" s="1502" t="s">
        <v>165</v>
      </c>
      <c r="B237" s="614">
        <v>2190</v>
      </c>
      <c r="C237" s="616"/>
      <c r="D237" s="466"/>
      <c r="E237" s="616"/>
      <c r="F237" s="616"/>
      <c r="G237" s="616"/>
      <c r="H237" s="616"/>
      <c r="I237" s="616"/>
      <c r="J237" s="616"/>
      <c r="K237" s="1669">
        <f t="shared" si="20"/>
        <v>0</v>
      </c>
      <c r="L237" s="466">
        <v>0</v>
      </c>
    </row>
    <row r="238" spans="1:12" ht="12.75" customHeight="1" thickBot="1" x14ac:dyDescent="0.25">
      <c r="A238" s="1666" t="s">
        <v>560</v>
      </c>
      <c r="B238" s="1673" t="s">
        <v>716</v>
      </c>
      <c r="C238" s="616"/>
      <c r="D238" s="1668">
        <f>SUM(D232:D237)</f>
        <v>4096</v>
      </c>
      <c r="E238" s="616"/>
      <c r="F238" s="616"/>
      <c r="G238" s="616"/>
      <c r="H238" s="616"/>
      <c r="I238" s="616"/>
      <c r="J238" s="616"/>
      <c r="K238" s="1668">
        <f>SUM(K232:K237)</f>
        <v>4096</v>
      </c>
      <c r="L238" s="1668">
        <f>SUM(L232:L237)</f>
        <v>4195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v>257</v>
      </c>
      <c r="E240" s="616"/>
      <c r="F240" s="616"/>
      <c r="G240" s="616"/>
      <c r="H240" s="616"/>
      <c r="I240" s="616"/>
      <c r="J240" s="616"/>
      <c r="K240" s="1670">
        <f>D240</f>
        <v>257</v>
      </c>
      <c r="L240" s="481">
        <v>260</v>
      </c>
    </row>
    <row r="241" spans="1:12" x14ac:dyDescent="0.2">
      <c r="A241" s="1502" t="s">
        <v>815</v>
      </c>
      <c r="B241" s="614">
        <v>2220</v>
      </c>
      <c r="C241" s="616"/>
      <c r="D241" s="466">
        <v>3882</v>
      </c>
      <c r="E241" s="616"/>
      <c r="F241" s="616"/>
      <c r="G241" s="616"/>
      <c r="H241" s="616"/>
      <c r="I241" s="616"/>
      <c r="J241" s="616"/>
      <c r="K241" s="1670">
        <f>D241</f>
        <v>3882</v>
      </c>
      <c r="L241" s="466">
        <v>3960</v>
      </c>
    </row>
    <row r="242" spans="1:12" x14ac:dyDescent="0.2">
      <c r="A242" s="1502" t="s">
        <v>816</v>
      </c>
      <c r="B242" s="614">
        <v>2230</v>
      </c>
      <c r="C242" s="616"/>
      <c r="D242" s="466"/>
      <c r="E242" s="616"/>
      <c r="F242" s="616"/>
      <c r="G242" s="616"/>
      <c r="H242" s="616"/>
      <c r="I242" s="616"/>
      <c r="J242" s="616"/>
      <c r="K242" s="1670">
        <f>D242</f>
        <v>0</v>
      </c>
      <c r="L242" s="466">
        <v>0</v>
      </c>
    </row>
    <row r="243" spans="1:12" ht="12.75" customHeight="1" thickBot="1" x14ac:dyDescent="0.25">
      <c r="A243" s="1692" t="s">
        <v>561</v>
      </c>
      <c r="B243" s="1693">
        <v>2200</v>
      </c>
      <c r="C243" s="616"/>
      <c r="D243" s="1668">
        <f>SUM(D240:D242)</f>
        <v>4139</v>
      </c>
      <c r="E243" s="616"/>
      <c r="F243" s="616"/>
      <c r="G243" s="616"/>
      <c r="H243" s="616"/>
      <c r="I243" s="616"/>
      <c r="J243" s="616"/>
      <c r="K243" s="1668">
        <f>SUM(K240:K242)</f>
        <v>4139</v>
      </c>
      <c r="L243" s="1668">
        <f>SUM(L240:L242)</f>
        <v>4220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c r="E245" s="616"/>
      <c r="F245" s="616"/>
      <c r="G245" s="616"/>
      <c r="H245" s="616"/>
      <c r="I245" s="616"/>
      <c r="J245" s="616"/>
      <c r="K245" s="1670">
        <f>D245</f>
        <v>0</v>
      </c>
      <c r="L245" s="481">
        <v>0</v>
      </c>
    </row>
    <row r="246" spans="1:12" x14ac:dyDescent="0.2">
      <c r="A246" s="1502" t="s">
        <v>818</v>
      </c>
      <c r="B246" s="614">
        <v>2320</v>
      </c>
      <c r="C246" s="616"/>
      <c r="D246" s="466">
        <v>9525</v>
      </c>
      <c r="E246" s="616"/>
      <c r="F246" s="616"/>
      <c r="G246" s="616"/>
      <c r="H246" s="616"/>
      <c r="I246" s="616"/>
      <c r="J246" s="616"/>
      <c r="K246" s="1670">
        <f t="shared" ref="K246:K256" si="21">D246</f>
        <v>9525</v>
      </c>
      <c r="L246" s="466">
        <v>10750</v>
      </c>
    </row>
    <row r="247" spans="1:12" x14ac:dyDescent="0.2">
      <c r="A247" s="1502" t="s">
        <v>819</v>
      </c>
      <c r="B247" s="614">
        <v>2330</v>
      </c>
      <c r="C247" s="616"/>
      <c r="D247" s="466"/>
      <c r="E247" s="616"/>
      <c r="F247" s="616"/>
      <c r="G247" s="616"/>
      <c r="H247" s="616"/>
      <c r="I247" s="616"/>
      <c r="J247" s="616"/>
      <c r="K247" s="1670">
        <f t="shared" si="21"/>
        <v>0</v>
      </c>
      <c r="L247" s="466">
        <v>0</v>
      </c>
    </row>
    <row r="248" spans="1:12" x14ac:dyDescent="0.2">
      <c r="A248" s="1503" t="s">
        <v>299</v>
      </c>
      <c r="B248" s="602" t="s">
        <v>281</v>
      </c>
      <c r="C248" s="616"/>
      <c r="D248" s="474"/>
      <c r="E248" s="616"/>
      <c r="F248" s="616"/>
      <c r="G248" s="616"/>
      <c r="H248" s="616"/>
      <c r="I248" s="616"/>
      <c r="J248" s="616"/>
      <c r="K248" s="1670">
        <f t="shared" si="21"/>
        <v>0</v>
      </c>
      <c r="L248" s="466">
        <v>0</v>
      </c>
    </row>
    <row r="249" spans="1:12" x14ac:dyDescent="0.2">
      <c r="A249" s="1504" t="s">
        <v>1805</v>
      </c>
      <c r="B249" s="683" t="s">
        <v>282</v>
      </c>
      <c r="C249" s="616"/>
      <c r="D249" s="474"/>
      <c r="E249" s="616"/>
      <c r="F249" s="616"/>
      <c r="G249" s="616"/>
      <c r="H249" s="616"/>
      <c r="I249" s="616"/>
      <c r="J249" s="616"/>
      <c r="K249" s="1670">
        <f t="shared" si="21"/>
        <v>0</v>
      </c>
      <c r="L249" s="466">
        <v>0</v>
      </c>
    </row>
    <row r="250" spans="1:12" x14ac:dyDescent="0.2">
      <c r="A250" s="1503" t="s">
        <v>1806</v>
      </c>
      <c r="B250" s="602" t="s">
        <v>283</v>
      </c>
      <c r="C250" s="616"/>
      <c r="D250" s="474"/>
      <c r="E250" s="616"/>
      <c r="F250" s="616"/>
      <c r="G250" s="616"/>
      <c r="H250" s="616"/>
      <c r="I250" s="616"/>
      <c r="J250" s="616"/>
      <c r="K250" s="1670">
        <f t="shared" si="21"/>
        <v>0</v>
      </c>
      <c r="L250" s="466">
        <v>0</v>
      </c>
    </row>
    <row r="251" spans="1:12" x14ac:dyDescent="0.2">
      <c r="A251" s="1503" t="s">
        <v>238</v>
      </c>
      <c r="B251" s="602" t="s">
        <v>284</v>
      </c>
      <c r="C251" s="616"/>
      <c r="D251" s="474"/>
      <c r="E251" s="616"/>
      <c r="F251" s="616"/>
      <c r="G251" s="616"/>
      <c r="H251" s="616"/>
      <c r="I251" s="616"/>
      <c r="J251" s="616"/>
      <c r="K251" s="1670">
        <f t="shared" si="21"/>
        <v>0</v>
      </c>
      <c r="L251" s="466">
        <v>0</v>
      </c>
    </row>
    <row r="252" spans="1:12" x14ac:dyDescent="0.2">
      <c r="A252" s="1503" t="s">
        <v>702</v>
      </c>
      <c r="B252" s="602" t="s">
        <v>285</v>
      </c>
      <c r="C252" s="616"/>
      <c r="D252" s="474"/>
      <c r="E252" s="616"/>
      <c r="F252" s="616"/>
      <c r="G252" s="616"/>
      <c r="H252" s="616"/>
      <c r="I252" s="616"/>
      <c r="J252" s="616"/>
      <c r="K252" s="1670">
        <f t="shared" si="21"/>
        <v>0</v>
      </c>
      <c r="L252" s="466">
        <v>0</v>
      </c>
    </row>
    <row r="253" spans="1:12" x14ac:dyDescent="0.2">
      <c r="A253" s="1503" t="s">
        <v>239</v>
      </c>
      <c r="B253" s="602" t="s">
        <v>286</v>
      </c>
      <c r="C253" s="616"/>
      <c r="D253" s="474"/>
      <c r="E253" s="616"/>
      <c r="F253" s="616"/>
      <c r="G253" s="616"/>
      <c r="H253" s="616"/>
      <c r="I253" s="616"/>
      <c r="J253" s="616"/>
      <c r="K253" s="1670">
        <f t="shared" si="21"/>
        <v>0</v>
      </c>
      <c r="L253" s="466">
        <v>0</v>
      </c>
    </row>
    <row r="254" spans="1:12" ht="22.5" x14ac:dyDescent="0.2">
      <c r="A254" s="1503" t="s">
        <v>1029</v>
      </c>
      <c r="B254" s="683" t="s">
        <v>287</v>
      </c>
      <c r="C254" s="616"/>
      <c r="D254" s="474"/>
      <c r="E254" s="616"/>
      <c r="F254" s="616"/>
      <c r="G254" s="616"/>
      <c r="H254" s="616"/>
      <c r="I254" s="616"/>
      <c r="J254" s="616"/>
      <c r="K254" s="1670">
        <f t="shared" si="21"/>
        <v>0</v>
      </c>
      <c r="L254" s="466">
        <v>0</v>
      </c>
    </row>
    <row r="255" spans="1:12" x14ac:dyDescent="0.2">
      <c r="A255" s="1503" t="s">
        <v>1030</v>
      </c>
      <c r="B255" s="602" t="s">
        <v>288</v>
      </c>
      <c r="C255" s="616"/>
      <c r="D255" s="474"/>
      <c r="E255" s="616"/>
      <c r="F255" s="616"/>
      <c r="G255" s="616"/>
      <c r="H255" s="616"/>
      <c r="I255" s="616"/>
      <c r="J255" s="616"/>
      <c r="K255" s="1670">
        <f t="shared" si="21"/>
        <v>0</v>
      </c>
      <c r="L255" s="466">
        <v>0</v>
      </c>
    </row>
    <row r="256" spans="1:12" x14ac:dyDescent="0.2">
      <c r="A256" s="1503" t="s">
        <v>971</v>
      </c>
      <c r="B256" s="614" t="s">
        <v>289</v>
      </c>
      <c r="C256" s="616"/>
      <c r="D256" s="474"/>
      <c r="E256" s="616"/>
      <c r="F256" s="616"/>
      <c r="G256" s="616"/>
      <c r="H256" s="616"/>
      <c r="I256" s="616"/>
      <c r="J256" s="616"/>
      <c r="K256" s="1670">
        <f t="shared" si="21"/>
        <v>0</v>
      </c>
      <c r="L256" s="466">
        <v>0</v>
      </c>
    </row>
    <row r="257" spans="1:14" ht="12.75" customHeight="1" thickBot="1" x14ac:dyDescent="0.25">
      <c r="A257" s="1666" t="s">
        <v>717</v>
      </c>
      <c r="B257" s="1694">
        <v>2300</v>
      </c>
      <c r="C257" s="616"/>
      <c r="D257" s="1668">
        <f>SUM(D245:D256)</f>
        <v>9525</v>
      </c>
      <c r="E257" s="616"/>
      <c r="F257" s="616"/>
      <c r="G257" s="616"/>
      <c r="H257" s="616"/>
      <c r="I257" s="616"/>
      <c r="J257" s="616"/>
      <c r="K257" s="1668">
        <f>SUM(K245:K256)</f>
        <v>9525</v>
      </c>
      <c r="L257" s="1668">
        <f>SUM(L245:L256)</f>
        <v>10750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v>21321</v>
      </c>
      <c r="E259" s="616"/>
      <c r="F259" s="616"/>
      <c r="G259" s="616"/>
      <c r="H259" s="616"/>
      <c r="I259" s="616"/>
      <c r="J259" s="616"/>
      <c r="K259" s="1670">
        <f>D259</f>
        <v>21321</v>
      </c>
      <c r="L259" s="481">
        <v>22055</v>
      </c>
    </row>
    <row r="260" spans="1:14" s="597" customFormat="1" x14ac:dyDescent="0.2">
      <c r="A260" s="1520" t="s">
        <v>1804</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263</v>
      </c>
      <c r="B261" s="1695" t="s">
        <v>34</v>
      </c>
      <c r="C261" s="616"/>
      <c r="D261" s="1668">
        <f>SUM(D259:D260)</f>
        <v>21321</v>
      </c>
      <c r="E261" s="616"/>
      <c r="F261" s="616"/>
      <c r="G261" s="616"/>
      <c r="H261" s="616"/>
      <c r="I261" s="616"/>
      <c r="J261" s="616"/>
      <c r="K261" s="1668">
        <f>SUM(K259:K260)</f>
        <v>21321</v>
      </c>
      <c r="L261" s="1668">
        <f>SUM(L259:L260)</f>
        <v>22055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c r="E263" s="616"/>
      <c r="F263" s="616"/>
      <c r="G263" s="616"/>
      <c r="H263" s="616"/>
      <c r="I263" s="616"/>
      <c r="J263" s="616"/>
      <c r="K263" s="1670">
        <f>D263</f>
        <v>0</v>
      </c>
      <c r="L263" s="481">
        <v>0</v>
      </c>
    </row>
    <row r="264" spans="1:14" x14ac:dyDescent="0.2">
      <c r="A264" s="1502" t="s">
        <v>463</v>
      </c>
      <c r="B264" s="685">
        <v>2520</v>
      </c>
      <c r="C264" s="616"/>
      <c r="D264" s="466">
        <v>7203</v>
      </c>
      <c r="E264" s="616"/>
      <c r="F264" s="616"/>
      <c r="G264" s="616"/>
      <c r="H264" s="616"/>
      <c r="I264" s="616"/>
      <c r="J264" s="616"/>
      <c r="K264" s="1670">
        <f t="shared" ref="K264:K269" si="22">D264</f>
        <v>7203</v>
      </c>
      <c r="L264" s="466">
        <v>7300</v>
      </c>
    </row>
    <row r="265" spans="1:14" x14ac:dyDescent="0.2">
      <c r="A265" s="1502" t="s">
        <v>4</v>
      </c>
      <c r="B265" s="614">
        <v>2530</v>
      </c>
      <c r="C265" s="616"/>
      <c r="D265" s="466"/>
      <c r="E265" s="616"/>
      <c r="F265" s="616"/>
      <c r="G265" s="616"/>
      <c r="H265" s="616"/>
      <c r="I265" s="616"/>
      <c r="J265" s="616"/>
      <c r="K265" s="1670">
        <f t="shared" si="22"/>
        <v>0</v>
      </c>
      <c r="L265" s="466">
        <v>0</v>
      </c>
    </row>
    <row r="266" spans="1:14" x14ac:dyDescent="0.2">
      <c r="A266" s="1502" t="s">
        <v>197</v>
      </c>
      <c r="B266" s="614">
        <v>2540</v>
      </c>
      <c r="C266" s="616"/>
      <c r="D266" s="466">
        <v>47146</v>
      </c>
      <c r="E266" s="616"/>
      <c r="F266" s="616"/>
      <c r="G266" s="616"/>
      <c r="H266" s="616"/>
      <c r="I266" s="616"/>
      <c r="J266" s="616"/>
      <c r="K266" s="1670">
        <f t="shared" si="22"/>
        <v>47146</v>
      </c>
      <c r="L266" s="466">
        <v>47110</v>
      </c>
    </row>
    <row r="267" spans="1:14" x14ac:dyDescent="0.2">
      <c r="A267" s="1502" t="s">
        <v>953</v>
      </c>
      <c r="B267" s="614">
        <v>2550</v>
      </c>
      <c r="C267" s="616"/>
      <c r="D267" s="466">
        <v>43684</v>
      </c>
      <c r="E267" s="616"/>
      <c r="F267" s="616"/>
      <c r="G267" s="616"/>
      <c r="H267" s="616"/>
      <c r="I267" s="616"/>
      <c r="J267" s="616"/>
      <c r="K267" s="1670">
        <f t="shared" si="22"/>
        <v>43684</v>
      </c>
      <c r="L267" s="466">
        <v>44015</v>
      </c>
    </row>
    <row r="268" spans="1:14" x14ac:dyDescent="0.2">
      <c r="A268" s="1502" t="s">
        <v>100</v>
      </c>
      <c r="B268" s="614">
        <v>2560</v>
      </c>
      <c r="C268" s="616"/>
      <c r="D268" s="466">
        <v>21244</v>
      </c>
      <c r="E268" s="616"/>
      <c r="F268" s="616"/>
      <c r="G268" s="616"/>
      <c r="H268" s="616"/>
      <c r="I268" s="616"/>
      <c r="J268" s="616"/>
      <c r="K268" s="1670">
        <f t="shared" si="22"/>
        <v>21244</v>
      </c>
      <c r="L268" s="466">
        <v>21490</v>
      </c>
    </row>
    <row r="269" spans="1:14" x14ac:dyDescent="0.2">
      <c r="A269" s="1502"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719</v>
      </c>
      <c r="B270" s="1673" t="s">
        <v>35</v>
      </c>
      <c r="C270" s="616"/>
      <c r="D270" s="1668">
        <f>SUM(D263:D269)</f>
        <v>119277</v>
      </c>
      <c r="E270" s="616"/>
      <c r="F270" s="616"/>
      <c r="G270" s="616"/>
      <c r="H270" s="616"/>
      <c r="I270" s="616"/>
      <c r="J270" s="616"/>
      <c r="K270" s="1668">
        <f>SUM(K263:K269)</f>
        <v>119277</v>
      </c>
      <c r="L270" s="1668">
        <f>SUM(L263:L269)</f>
        <v>119915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v>0</v>
      </c>
    </row>
    <row r="273" spans="1:12" x14ac:dyDescent="0.2">
      <c r="A273" s="1502" t="s">
        <v>607</v>
      </c>
      <c r="B273" s="628">
        <v>2620</v>
      </c>
      <c r="C273" s="616"/>
      <c r="D273" s="466"/>
      <c r="E273" s="616"/>
      <c r="F273" s="616"/>
      <c r="G273" s="616"/>
      <c r="H273" s="616"/>
      <c r="I273" s="616"/>
      <c r="J273" s="616"/>
      <c r="K273" s="1670">
        <f>D273</f>
        <v>0</v>
      </c>
      <c r="L273" s="466">
        <v>0</v>
      </c>
    </row>
    <row r="274" spans="1:12" ht="12" customHeight="1" x14ac:dyDescent="0.2">
      <c r="A274" s="1502" t="s">
        <v>1061</v>
      </c>
      <c r="B274" s="614">
        <v>2630</v>
      </c>
      <c r="C274" s="616"/>
      <c r="D274" s="466"/>
      <c r="E274" s="616"/>
      <c r="F274" s="616"/>
      <c r="G274" s="616"/>
      <c r="H274" s="616"/>
      <c r="I274" s="616"/>
      <c r="J274" s="616"/>
      <c r="K274" s="1670">
        <f>D274</f>
        <v>0</v>
      </c>
      <c r="L274" s="466">
        <v>0</v>
      </c>
    </row>
    <row r="275" spans="1:12" x14ac:dyDescent="0.2">
      <c r="A275" s="1502" t="s">
        <v>403</v>
      </c>
      <c r="B275" s="614">
        <v>2640</v>
      </c>
      <c r="C275" s="616"/>
      <c r="D275" s="466"/>
      <c r="E275" s="616"/>
      <c r="F275" s="616"/>
      <c r="G275" s="616"/>
      <c r="H275" s="616"/>
      <c r="I275" s="616"/>
      <c r="J275" s="616"/>
      <c r="K275" s="1670">
        <f>D275</f>
        <v>0</v>
      </c>
      <c r="L275" s="466">
        <v>0</v>
      </c>
    </row>
    <row r="276" spans="1:12" x14ac:dyDescent="0.2">
      <c r="A276" s="1502" t="s">
        <v>404</v>
      </c>
      <c r="B276" s="614">
        <v>2660</v>
      </c>
      <c r="C276" s="616"/>
      <c r="D276" s="466"/>
      <c r="E276" s="616"/>
      <c r="F276" s="616"/>
      <c r="G276" s="616"/>
      <c r="H276" s="616"/>
      <c r="I276" s="616"/>
      <c r="J276" s="616"/>
      <c r="K276" s="1670">
        <f>D276</f>
        <v>0</v>
      </c>
      <c r="L276" s="466">
        <v>0</v>
      </c>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980</v>
      </c>
      <c r="B278" s="655" t="s">
        <v>574</v>
      </c>
      <c r="C278" s="616"/>
      <c r="D278" s="656"/>
      <c r="E278" s="616"/>
      <c r="F278" s="616"/>
      <c r="G278" s="616"/>
      <c r="H278" s="616"/>
      <c r="I278" s="616"/>
      <c r="J278" s="616"/>
      <c r="K278" s="1683">
        <f>D278</f>
        <v>0</v>
      </c>
      <c r="L278" s="656">
        <v>0</v>
      </c>
    </row>
    <row r="279" spans="1:12" ht="12.75" customHeight="1" thickBot="1" x14ac:dyDescent="0.25">
      <c r="A279" s="1696" t="s">
        <v>811</v>
      </c>
      <c r="B279" s="1679">
        <v>2000</v>
      </c>
      <c r="C279" s="616"/>
      <c r="D279" s="1675">
        <f>SUM(D238,D243,D257,D261,D270,D277,D278)</f>
        <v>158358</v>
      </c>
      <c r="E279" s="616"/>
      <c r="F279" s="616"/>
      <c r="G279" s="616"/>
      <c r="H279" s="616"/>
      <c r="I279" s="616"/>
      <c r="J279" s="616"/>
      <c r="K279" s="1675">
        <f>SUM(K238,K243,K257,K261,K270,K277,K278)</f>
        <v>158358</v>
      </c>
      <c r="L279" s="1675">
        <f>SUM(L238,L243,L257,L261,L270,L277,L278)</f>
        <v>161135</v>
      </c>
    </row>
    <row r="280" spans="1:12" ht="15.75" customHeight="1" thickTop="1" thickBot="1" x14ac:dyDescent="0.25">
      <c r="A280" s="1622" t="s">
        <v>875</v>
      </c>
      <c r="B280" s="1611">
        <v>3000</v>
      </c>
      <c r="C280" s="616"/>
      <c r="D280" s="576"/>
      <c r="E280" s="616"/>
      <c r="F280" s="616"/>
      <c r="G280" s="616"/>
      <c r="H280" s="616"/>
      <c r="I280" s="616"/>
      <c r="J280" s="616"/>
      <c r="K280" s="1677">
        <f>D280</f>
        <v>0</v>
      </c>
      <c r="L280" s="576">
        <v>0</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1845</v>
      </c>
      <c r="C282" s="616"/>
      <c r="D282" s="467"/>
      <c r="E282" s="616"/>
      <c r="F282" s="616"/>
      <c r="G282" s="616"/>
      <c r="H282" s="616"/>
      <c r="I282" s="616"/>
      <c r="J282" s="616"/>
      <c r="K282" s="1669">
        <f>D282</f>
        <v>0</v>
      </c>
      <c r="L282" s="467">
        <v>0</v>
      </c>
    </row>
    <row r="283" spans="1:12" x14ac:dyDescent="0.2">
      <c r="A283" s="1502" t="s">
        <v>304</v>
      </c>
      <c r="B283" s="614">
        <v>4120</v>
      </c>
      <c r="C283" s="616"/>
      <c r="D283" s="466"/>
      <c r="E283" s="616"/>
      <c r="F283" s="616"/>
      <c r="G283" s="616"/>
      <c r="H283" s="616"/>
      <c r="I283" s="616"/>
      <c r="J283" s="616"/>
      <c r="K283" s="1669">
        <f>D283</f>
        <v>0</v>
      </c>
      <c r="L283" s="466">
        <v>0</v>
      </c>
    </row>
    <row r="284" spans="1:12" x14ac:dyDescent="0.2">
      <c r="A284" s="1502" t="s">
        <v>697</v>
      </c>
      <c r="B284" s="614">
        <v>4140</v>
      </c>
      <c r="C284" s="616"/>
      <c r="D284" s="467"/>
      <c r="E284" s="616"/>
      <c r="F284" s="616"/>
      <c r="G284" s="616"/>
      <c r="H284" s="616"/>
      <c r="I284" s="616"/>
      <c r="J284" s="616"/>
      <c r="K284" s="1669">
        <f>D284</f>
        <v>0</v>
      </c>
      <c r="L284" s="466">
        <v>0</v>
      </c>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v>0</v>
      </c>
    </row>
    <row r="289" spans="1:14" x14ac:dyDescent="0.2">
      <c r="A289" s="1502" t="s">
        <v>88</v>
      </c>
      <c r="B289" s="614">
        <v>5120</v>
      </c>
      <c r="C289" s="616"/>
      <c r="D289" s="616"/>
      <c r="E289" s="616"/>
      <c r="F289" s="616"/>
      <c r="G289" s="616"/>
      <c r="H289" s="466"/>
      <c r="I289" s="616"/>
      <c r="J289" s="616"/>
      <c r="K289" s="1669">
        <f>H289</f>
        <v>0</v>
      </c>
      <c r="L289" s="466">
        <v>0</v>
      </c>
    </row>
    <row r="290" spans="1:14" ht="12.75" customHeight="1" x14ac:dyDescent="0.2">
      <c r="A290" s="1502" t="s">
        <v>1170</v>
      </c>
      <c r="B290" s="628" t="s">
        <v>617</v>
      </c>
      <c r="C290" s="616"/>
      <c r="D290" s="616"/>
      <c r="E290" s="616"/>
      <c r="F290" s="616"/>
      <c r="G290" s="616"/>
      <c r="H290" s="466"/>
      <c r="I290" s="616"/>
      <c r="J290" s="616"/>
      <c r="K290" s="1669">
        <f>H290</f>
        <v>0</v>
      </c>
      <c r="L290" s="466">
        <v>0</v>
      </c>
    </row>
    <row r="291" spans="1:14" x14ac:dyDescent="0.2">
      <c r="A291" s="1502" t="s">
        <v>89</v>
      </c>
      <c r="B291" s="614" t="s">
        <v>589</v>
      </c>
      <c r="C291" s="616"/>
      <c r="D291" s="616"/>
      <c r="E291" s="616"/>
      <c r="F291" s="616"/>
      <c r="G291" s="616"/>
      <c r="H291" s="466"/>
      <c r="I291" s="616"/>
      <c r="J291" s="616"/>
      <c r="K291" s="1669">
        <f>H291</f>
        <v>0</v>
      </c>
      <c r="L291" s="466">
        <v>0</v>
      </c>
    </row>
    <row r="292" spans="1:14" x14ac:dyDescent="0.2">
      <c r="A292" s="1502" t="s">
        <v>762</v>
      </c>
      <c r="B292" s="614" t="s">
        <v>618</v>
      </c>
      <c r="C292" s="616"/>
      <c r="D292" s="616"/>
      <c r="E292" s="616"/>
      <c r="F292" s="616"/>
      <c r="G292" s="616"/>
      <c r="H292" s="466"/>
      <c r="I292" s="616"/>
      <c r="J292" s="616"/>
      <c r="K292" s="1669">
        <f>H292</f>
        <v>0</v>
      </c>
      <c r="L292" s="466">
        <v>0</v>
      </c>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v>0</v>
      </c>
    </row>
    <row r="295" spans="1:14" ht="12.75" customHeight="1" thickTop="1" thickBot="1" x14ac:dyDescent="0.25">
      <c r="A295" s="2178" t="s">
        <v>505</v>
      </c>
      <c r="B295" s="2179"/>
      <c r="C295" s="616"/>
      <c r="D295" s="1668">
        <f>SUM(D229,D279,D280,D285)</f>
        <v>276672</v>
      </c>
      <c r="E295" s="616"/>
      <c r="F295" s="616"/>
      <c r="G295" s="616"/>
      <c r="H295" s="1668">
        <f>H293</f>
        <v>0</v>
      </c>
      <c r="I295" s="616"/>
      <c r="J295" s="616"/>
      <c r="K295" s="1668">
        <f>SUM(K229,K279,K280,K285,K293,K294)</f>
        <v>276672</v>
      </c>
      <c r="L295" s="1668">
        <f>SUM(L229,L279,L280,L285,L293,L294)</f>
        <v>286985</v>
      </c>
    </row>
    <row r="296" spans="1:14" ht="13.5" thickTop="1" x14ac:dyDescent="0.2">
      <c r="A296" s="2160" t="s">
        <v>996</v>
      </c>
      <c r="B296" s="2161"/>
      <c r="C296" s="616"/>
      <c r="D296" s="618"/>
      <c r="E296" s="616"/>
      <c r="F296" s="616"/>
      <c r="G296" s="616"/>
      <c r="H296" s="687"/>
      <c r="I296" s="616"/>
      <c r="J296" s="616"/>
      <c r="K296" s="1682">
        <f>'Revenues 9-14'!G268-'Expenditures 15-22'!K295</f>
        <v>25233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v>191527</v>
      </c>
      <c r="H301" s="466"/>
      <c r="I301" s="467"/>
      <c r="J301" s="467"/>
      <c r="K301" s="1669">
        <f>SUM(C301:J301)</f>
        <v>191527</v>
      </c>
      <c r="L301" s="467">
        <v>257000</v>
      </c>
    </row>
    <row r="302" spans="1:14" ht="13.5" customHeight="1" x14ac:dyDescent="0.2">
      <c r="A302" s="1515" t="s">
        <v>980</v>
      </c>
      <c r="B302" s="614" t="s">
        <v>574</v>
      </c>
      <c r="C302" s="466"/>
      <c r="D302" s="466"/>
      <c r="E302" s="466">
        <v>64757</v>
      </c>
      <c r="F302" s="466"/>
      <c r="G302" s="466"/>
      <c r="H302" s="466"/>
      <c r="I302" s="467"/>
      <c r="J302" s="467"/>
      <c r="K302" s="1669">
        <f>SUM(C302:J302)</f>
        <v>64757</v>
      </c>
      <c r="L302" s="466">
        <v>0</v>
      </c>
    </row>
    <row r="303" spans="1:14" ht="12.75" customHeight="1" thickBot="1" x14ac:dyDescent="0.25">
      <c r="A303" s="1666" t="s">
        <v>811</v>
      </c>
      <c r="B303" s="1667" t="s">
        <v>569</v>
      </c>
      <c r="C303" s="1675">
        <f>SUM(C301:C302)</f>
        <v>0</v>
      </c>
      <c r="D303" s="1675">
        <f t="shared" ref="D303:L303" si="23">SUM(D301:D302)</f>
        <v>0</v>
      </c>
      <c r="E303" s="1675">
        <f t="shared" si="23"/>
        <v>64757</v>
      </c>
      <c r="F303" s="1675">
        <f t="shared" si="23"/>
        <v>0</v>
      </c>
      <c r="G303" s="1675">
        <f t="shared" si="23"/>
        <v>191527</v>
      </c>
      <c r="H303" s="1675">
        <f t="shared" si="23"/>
        <v>0</v>
      </c>
      <c r="I303" s="1675">
        <f t="shared" si="23"/>
        <v>0</v>
      </c>
      <c r="J303" s="1675">
        <f t="shared" si="23"/>
        <v>0</v>
      </c>
      <c r="K303" s="1675">
        <f t="shared" si="23"/>
        <v>256284</v>
      </c>
      <c r="L303" s="1675">
        <f t="shared" si="23"/>
        <v>257000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1850</v>
      </c>
      <c r="B306" s="690" t="s">
        <v>1845</v>
      </c>
      <c r="C306" s="616"/>
      <c r="D306" s="616"/>
      <c r="E306" s="467"/>
      <c r="F306" s="616"/>
      <c r="G306" s="616"/>
      <c r="H306" s="467"/>
      <c r="I306" s="616"/>
      <c r="J306" s="616"/>
      <c r="K306" s="1669">
        <f>SUM(E306,H306)</f>
        <v>0</v>
      </c>
      <c r="L306" s="467">
        <v>0</v>
      </c>
    </row>
    <row r="307" spans="1:14" x14ac:dyDescent="0.2">
      <c r="A307" s="1502" t="s">
        <v>304</v>
      </c>
      <c r="B307" s="614">
        <v>4120</v>
      </c>
      <c r="C307" s="616"/>
      <c r="D307" s="616"/>
      <c r="E307" s="467"/>
      <c r="F307" s="616"/>
      <c r="G307" s="616"/>
      <c r="H307" s="467"/>
      <c r="I307" s="477"/>
      <c r="J307" s="616"/>
      <c r="K307" s="1669">
        <f>SUM(E307,H307)</f>
        <v>0</v>
      </c>
      <c r="L307" s="466">
        <v>0</v>
      </c>
    </row>
    <row r="308" spans="1:14" x14ac:dyDescent="0.2">
      <c r="A308" s="1502" t="s">
        <v>697</v>
      </c>
      <c r="B308" s="614">
        <v>4140</v>
      </c>
      <c r="C308" s="616"/>
      <c r="D308" s="616"/>
      <c r="E308" s="467"/>
      <c r="F308" s="616"/>
      <c r="G308" s="616"/>
      <c r="H308" s="467"/>
      <c r="I308" s="477"/>
      <c r="J308" s="616"/>
      <c r="K308" s="1669">
        <f>SUM(E308,H308)</f>
        <v>0</v>
      </c>
      <c r="L308" s="466">
        <v>0</v>
      </c>
    </row>
    <row r="309" spans="1:14" ht="12.75" customHeight="1" x14ac:dyDescent="0.2">
      <c r="A309" s="1506" t="s">
        <v>698</v>
      </c>
      <c r="B309" s="628">
        <v>4190</v>
      </c>
      <c r="C309" s="616"/>
      <c r="D309" s="616"/>
      <c r="E309" s="467"/>
      <c r="F309" s="616"/>
      <c r="G309" s="616"/>
      <c r="H309" s="467"/>
      <c r="I309" s="477"/>
      <c r="J309" s="616"/>
      <c r="K309" s="1669">
        <f>SUM(E309,H309)</f>
        <v>0</v>
      </c>
      <c r="L309" s="466">
        <v>0</v>
      </c>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v>0</v>
      </c>
    </row>
    <row r="312" spans="1:14" s="674" customFormat="1" ht="12.75" customHeight="1" thickTop="1" thickBot="1" x14ac:dyDescent="0.25">
      <c r="A312" s="2175" t="s">
        <v>277</v>
      </c>
      <c r="B312" s="2176"/>
      <c r="C312" s="1668">
        <f>SUM(C303)</f>
        <v>0</v>
      </c>
      <c r="D312" s="1668">
        <f>SUM(D303)</f>
        <v>0</v>
      </c>
      <c r="E312" s="1668">
        <f>SUM(E303,E310)</f>
        <v>64757</v>
      </c>
      <c r="F312" s="1668">
        <f>SUM(F303)</f>
        <v>0</v>
      </c>
      <c r="G312" s="1668">
        <f>SUM(G303)</f>
        <v>191527</v>
      </c>
      <c r="H312" s="1668">
        <f>SUM(H303,H310)</f>
        <v>0</v>
      </c>
      <c r="I312" s="1668">
        <f>SUM(I303)</f>
        <v>0</v>
      </c>
      <c r="J312" s="1668">
        <f>SUM(J303)</f>
        <v>0</v>
      </c>
      <c r="K312" s="1668">
        <f>SUM(K303,K310,K311)</f>
        <v>256284</v>
      </c>
      <c r="L312" s="1668">
        <f>SUM(L303,L310,L311)</f>
        <v>257000</v>
      </c>
      <c r="M312" s="665"/>
      <c r="N312" s="665"/>
    </row>
    <row r="313" spans="1:14" ht="13.5" thickTop="1" x14ac:dyDescent="0.2">
      <c r="A313" s="2171" t="s">
        <v>996</v>
      </c>
      <c r="B313" s="2172"/>
      <c r="C313" s="626"/>
      <c r="D313" s="626"/>
      <c r="E313" s="626"/>
      <c r="F313" s="626"/>
      <c r="G313" s="626"/>
      <c r="H313" s="626"/>
      <c r="I313" s="626"/>
      <c r="J313" s="626"/>
      <c r="K313" s="1683">
        <f>'Revenues 9-14'!H268-'Expenditures 15-22'!K312</f>
        <v>-215008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v>0</v>
      </c>
      <c r="M319" s="665"/>
      <c r="N319" s="665"/>
    </row>
    <row r="320" spans="1:14" s="674" customFormat="1" x14ac:dyDescent="0.2">
      <c r="A320" s="1521" t="s">
        <v>1805</v>
      </c>
      <c r="B320" s="698" t="s">
        <v>282</v>
      </c>
      <c r="C320" s="467"/>
      <c r="D320" s="467"/>
      <c r="E320" s="467">
        <f>36371</f>
        <v>36371</v>
      </c>
      <c r="F320" s="467"/>
      <c r="G320" s="467"/>
      <c r="H320" s="467"/>
      <c r="I320" s="467"/>
      <c r="J320" s="467"/>
      <c r="K320" s="1669">
        <f t="shared" ref="K320:K327" si="24">SUM(C320:J320)</f>
        <v>36371</v>
      </c>
      <c r="L320" s="467">
        <v>36370</v>
      </c>
      <c r="M320" s="665"/>
      <c r="N320" s="665"/>
    </row>
    <row r="321" spans="1:14" s="674" customFormat="1" x14ac:dyDescent="0.2">
      <c r="A321" s="1517" t="s">
        <v>300</v>
      </c>
      <c r="B321" s="697" t="s">
        <v>283</v>
      </c>
      <c r="C321" s="467"/>
      <c r="D321" s="467"/>
      <c r="E321" s="467"/>
      <c r="F321" s="467"/>
      <c r="G321" s="467"/>
      <c r="H321" s="467"/>
      <c r="I321" s="467"/>
      <c r="J321" s="467"/>
      <c r="K321" s="1669">
        <f t="shared" si="24"/>
        <v>0</v>
      </c>
      <c r="L321" s="467">
        <v>0</v>
      </c>
      <c r="M321" s="665"/>
      <c r="N321" s="665"/>
    </row>
    <row r="322" spans="1:14" s="674" customFormat="1" x14ac:dyDescent="0.2">
      <c r="A322" s="1517" t="s">
        <v>238</v>
      </c>
      <c r="B322" s="697" t="s">
        <v>284</v>
      </c>
      <c r="C322" s="467"/>
      <c r="D322" s="467"/>
      <c r="E322" s="467">
        <v>62693</v>
      </c>
      <c r="F322" s="467"/>
      <c r="G322" s="467"/>
      <c r="H322" s="467"/>
      <c r="I322" s="467"/>
      <c r="J322" s="467"/>
      <c r="K322" s="1669">
        <f t="shared" si="24"/>
        <v>62693</v>
      </c>
      <c r="L322" s="467">
        <v>62700</v>
      </c>
      <c r="M322" s="665"/>
      <c r="N322" s="665"/>
    </row>
    <row r="323" spans="1:14" s="674" customFormat="1" x14ac:dyDescent="0.2">
      <c r="A323" s="1517" t="s">
        <v>702</v>
      </c>
      <c r="B323" s="697" t="s">
        <v>285</v>
      </c>
      <c r="C323" s="467"/>
      <c r="D323" s="467"/>
      <c r="E323" s="467"/>
      <c r="F323" s="467"/>
      <c r="G323" s="467"/>
      <c r="H323" s="467"/>
      <c r="I323" s="467"/>
      <c r="J323" s="467"/>
      <c r="K323" s="1669">
        <f t="shared" si="24"/>
        <v>0</v>
      </c>
      <c r="L323" s="467">
        <v>0</v>
      </c>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v>0</v>
      </c>
      <c r="M324" s="665"/>
      <c r="N324" s="665"/>
    </row>
    <row r="325" spans="1:14" s="674" customFormat="1" ht="22.5" x14ac:dyDescent="0.2">
      <c r="A325" s="1517" t="s">
        <v>1029</v>
      </c>
      <c r="B325" s="698" t="s">
        <v>287</v>
      </c>
      <c r="C325" s="467">
        <v>158000</v>
      </c>
      <c r="D325" s="467"/>
      <c r="E325" s="467">
        <v>78497</v>
      </c>
      <c r="F325" s="467">
        <v>3601</v>
      </c>
      <c r="G325" s="467"/>
      <c r="H325" s="467"/>
      <c r="I325" s="467"/>
      <c r="J325" s="467"/>
      <c r="K325" s="1669">
        <f t="shared" si="24"/>
        <v>240098</v>
      </c>
      <c r="L325" s="467">
        <v>242000</v>
      </c>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v>0</v>
      </c>
      <c r="M326" s="665"/>
      <c r="N326" s="665"/>
    </row>
    <row r="327" spans="1:14" s="674" customFormat="1" x14ac:dyDescent="0.2">
      <c r="A327" s="1517" t="s">
        <v>971</v>
      </c>
      <c r="B327" s="697" t="s">
        <v>289</v>
      </c>
      <c r="C327" s="467"/>
      <c r="D327" s="467"/>
      <c r="E327" s="467">
        <v>15742</v>
      </c>
      <c r="F327" s="467"/>
      <c r="G327" s="467"/>
      <c r="H327" s="467"/>
      <c r="I327" s="467"/>
      <c r="J327" s="467"/>
      <c r="K327" s="1669">
        <f t="shared" si="24"/>
        <v>15742</v>
      </c>
      <c r="L327" s="467">
        <v>16000</v>
      </c>
      <c r="M327" s="665"/>
      <c r="N327" s="665"/>
    </row>
    <row r="328" spans="1:14" s="674" customFormat="1" x14ac:dyDescent="0.2">
      <c r="A328" s="1518" t="s">
        <v>472</v>
      </c>
      <c r="B328" s="690" t="s">
        <v>1132</v>
      </c>
      <c r="C328" s="474"/>
      <c r="D328" s="474"/>
      <c r="E328" s="474"/>
      <c r="F328" s="474"/>
      <c r="G328" s="474"/>
      <c r="H328" s="474"/>
      <c r="I328" s="474"/>
      <c r="J328" s="474"/>
      <c r="K328" s="1697">
        <f>SUM(C328:J328)</f>
        <v>0</v>
      </c>
      <c r="L328" s="474">
        <v>0</v>
      </c>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717</v>
      </c>
      <c r="B330" s="1667" t="s">
        <v>569</v>
      </c>
      <c r="C330" s="1668">
        <f>SUM(C319:C329)</f>
        <v>158000</v>
      </c>
      <c r="D330" s="1668">
        <f t="shared" ref="D330:J330" si="25">SUM(D319:D329)</f>
        <v>0</v>
      </c>
      <c r="E330" s="1668">
        <f t="shared" si="25"/>
        <v>193303</v>
      </c>
      <c r="F330" s="1668">
        <f t="shared" si="25"/>
        <v>3601</v>
      </c>
      <c r="G330" s="1668">
        <f t="shared" si="25"/>
        <v>0</v>
      </c>
      <c r="H330" s="1668">
        <f t="shared" si="25"/>
        <v>0</v>
      </c>
      <c r="I330" s="1668">
        <f t="shared" si="25"/>
        <v>0</v>
      </c>
      <c r="J330" s="1668">
        <f t="shared" si="25"/>
        <v>0</v>
      </c>
      <c r="K330" s="1668">
        <f>SUM(K319:K329)</f>
        <v>354904</v>
      </c>
      <c r="L330" s="1668">
        <f>SUM(L319:L329)</f>
        <v>357070</v>
      </c>
      <c r="M330" s="665"/>
      <c r="N330" s="665"/>
    </row>
    <row r="331" spans="1:14" s="674" customFormat="1" ht="12.75" customHeight="1" thickTop="1" x14ac:dyDescent="0.2">
      <c r="A331" s="1829" t="s">
        <v>1851</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1845</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304</v>
      </c>
      <c r="B333" s="1825" t="s">
        <v>1847</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1852</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v>0</v>
      </c>
    </row>
    <row r="338" spans="1:14" ht="12.75" customHeight="1" x14ac:dyDescent="0.2">
      <c r="A338" s="1516" t="s">
        <v>1170</v>
      </c>
      <c r="B338" s="690" t="s">
        <v>617</v>
      </c>
      <c r="C338" s="638"/>
      <c r="D338" s="638"/>
      <c r="E338" s="638"/>
      <c r="F338" s="638"/>
      <c r="G338" s="638"/>
      <c r="H338" s="478"/>
      <c r="I338" s="638"/>
      <c r="J338" s="638"/>
      <c r="K338" s="1669">
        <f>H338</f>
        <v>0</v>
      </c>
      <c r="L338" s="478">
        <v>0</v>
      </c>
    </row>
    <row r="339" spans="1:14" x14ac:dyDescent="0.2">
      <c r="A339" s="1502" t="s">
        <v>901</v>
      </c>
      <c r="B339" s="628">
        <v>5150</v>
      </c>
      <c r="C339" s="638"/>
      <c r="D339" s="638"/>
      <c r="E339" s="638"/>
      <c r="F339" s="638"/>
      <c r="G339" s="638"/>
      <c r="H339" s="467"/>
      <c r="I339" s="638"/>
      <c r="J339" s="638"/>
      <c r="K339" s="1669">
        <f>H339</f>
        <v>0</v>
      </c>
      <c r="L339" s="467">
        <v>0</v>
      </c>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v>0</v>
      </c>
    </row>
    <row r="342" spans="1:14" ht="12.75" customHeight="1" thickTop="1" thickBot="1" x14ac:dyDescent="0.25">
      <c r="A342" s="1684" t="s">
        <v>505</v>
      </c>
      <c r="B342" s="1699"/>
      <c r="C342" s="1668">
        <f>SUM(C330)</f>
        <v>158000</v>
      </c>
      <c r="D342" s="1668">
        <f>SUM(D330)</f>
        <v>0</v>
      </c>
      <c r="E342" s="1668">
        <f>SUM(E330)</f>
        <v>193303</v>
      </c>
      <c r="F342" s="1668">
        <f>SUM(F330)</f>
        <v>3601</v>
      </c>
      <c r="G342" s="1668">
        <f>SUM(G330)</f>
        <v>0</v>
      </c>
      <c r="H342" s="1668">
        <f>SUM(H330,H334,H340)</f>
        <v>0</v>
      </c>
      <c r="I342" s="1668">
        <f>SUM(I330)</f>
        <v>0</v>
      </c>
      <c r="J342" s="1668">
        <f>SUM(J330)</f>
        <v>0</v>
      </c>
      <c r="K342" s="1668">
        <f>SUM(K330,K334,K340)</f>
        <v>354904</v>
      </c>
      <c r="L342" s="1675">
        <f>SUM(L330,L340,L341)</f>
        <v>357070</v>
      </c>
    </row>
    <row r="343" spans="1:14" ht="12.75" customHeight="1" thickTop="1" x14ac:dyDescent="0.2">
      <c r="A343" s="2173" t="s">
        <v>996</v>
      </c>
      <c r="B343" s="2174"/>
      <c r="C343" s="616"/>
      <c r="D343" s="616"/>
      <c r="E343" s="616"/>
      <c r="F343" s="616"/>
      <c r="G343" s="616"/>
      <c r="H343" s="616"/>
      <c r="I343" s="616"/>
      <c r="J343" s="616"/>
      <c r="K343" s="1682">
        <f>'Revenues 9-14'!J268-'Expenditures 15-22'!K342</f>
        <v>10862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v>11778</v>
      </c>
      <c r="H348" s="466"/>
      <c r="I348" s="467"/>
      <c r="J348" s="467"/>
      <c r="K348" s="1669">
        <f>SUM(C348:J348)</f>
        <v>11778</v>
      </c>
      <c r="L348" s="466">
        <v>0</v>
      </c>
    </row>
    <row r="349" spans="1:14" x14ac:dyDescent="0.2">
      <c r="A349" s="1502" t="s">
        <v>197</v>
      </c>
      <c r="B349" s="614">
        <v>2540</v>
      </c>
      <c r="C349" s="466"/>
      <c r="D349" s="466"/>
      <c r="E349" s="466">
        <v>5377</v>
      </c>
      <c r="F349" s="466"/>
      <c r="G349" s="466"/>
      <c r="H349" s="466"/>
      <c r="I349" s="467"/>
      <c r="J349" s="467"/>
      <c r="K349" s="1669">
        <f>SUM(C349:J349)</f>
        <v>5377</v>
      </c>
      <c r="L349" s="466">
        <v>23500</v>
      </c>
    </row>
    <row r="350" spans="1:14" ht="12.75" customHeight="1" thickBot="1" x14ac:dyDescent="0.25">
      <c r="A350" s="1666" t="s">
        <v>719</v>
      </c>
      <c r="B350" s="1667" t="s">
        <v>35</v>
      </c>
      <c r="C350" s="1668">
        <f>SUM(C348:C349)</f>
        <v>0</v>
      </c>
      <c r="D350" s="1668">
        <f t="shared" ref="D350:L350" si="26">SUM(D348:D349)</f>
        <v>0</v>
      </c>
      <c r="E350" s="1668">
        <f t="shared" si="26"/>
        <v>5377</v>
      </c>
      <c r="F350" s="1668">
        <f t="shared" si="26"/>
        <v>0</v>
      </c>
      <c r="G350" s="1668">
        <f t="shared" si="26"/>
        <v>11778</v>
      </c>
      <c r="H350" s="1668">
        <f t="shared" si="26"/>
        <v>0</v>
      </c>
      <c r="I350" s="1668">
        <f t="shared" si="26"/>
        <v>0</v>
      </c>
      <c r="J350" s="1668">
        <f t="shared" si="26"/>
        <v>0</v>
      </c>
      <c r="K350" s="1668">
        <f t="shared" si="26"/>
        <v>17155</v>
      </c>
      <c r="L350" s="1668">
        <f t="shared" si="26"/>
        <v>23500</v>
      </c>
    </row>
    <row r="351" spans="1:14" ht="12.75" customHeight="1" thickTop="1" x14ac:dyDescent="0.2">
      <c r="A351" s="1508" t="s">
        <v>980</v>
      </c>
      <c r="B351" s="643" t="s">
        <v>574</v>
      </c>
      <c r="C351" s="481"/>
      <c r="D351" s="481"/>
      <c r="E351" s="481"/>
      <c r="F351" s="481"/>
      <c r="G351" s="481"/>
      <c r="H351" s="481"/>
      <c r="I351" s="478"/>
      <c r="J351" s="478"/>
      <c r="K351" s="615">
        <f>SUM(C351:J351)</f>
        <v>0</v>
      </c>
      <c r="L351" s="481">
        <v>0</v>
      </c>
    </row>
    <row r="352" spans="1:14" ht="12.75" customHeight="1" thickBot="1" x14ac:dyDescent="0.25">
      <c r="A352" s="1666" t="s">
        <v>624</v>
      </c>
      <c r="B352" s="1673" t="s">
        <v>569</v>
      </c>
      <c r="C352" s="1668">
        <f>SUM(C350:C351)</f>
        <v>0</v>
      </c>
      <c r="D352" s="1668">
        <f t="shared" ref="D352:L352" si="27">SUM(D350:D351)</f>
        <v>0</v>
      </c>
      <c r="E352" s="1668">
        <f t="shared" si="27"/>
        <v>5377</v>
      </c>
      <c r="F352" s="1668">
        <f t="shared" si="27"/>
        <v>0</v>
      </c>
      <c r="G352" s="1668">
        <f t="shared" si="27"/>
        <v>11778</v>
      </c>
      <c r="H352" s="1668">
        <f t="shared" si="27"/>
        <v>0</v>
      </c>
      <c r="I352" s="1668">
        <f t="shared" si="27"/>
        <v>0</v>
      </c>
      <c r="J352" s="1668">
        <f t="shared" si="27"/>
        <v>0</v>
      </c>
      <c r="K352" s="1668">
        <f t="shared" si="27"/>
        <v>17155</v>
      </c>
      <c r="L352" s="1668">
        <f t="shared" si="27"/>
        <v>23500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1853</v>
      </c>
      <c r="B354" s="683" t="s">
        <v>1845</v>
      </c>
      <c r="C354" s="616"/>
      <c r="D354" s="616"/>
      <c r="E354" s="616"/>
      <c r="F354" s="616"/>
      <c r="G354" s="616"/>
      <c r="H354" s="474"/>
      <c r="I354" s="701"/>
      <c r="J354" s="616"/>
      <c r="K354" s="1697">
        <f>H354</f>
        <v>0</v>
      </c>
      <c r="L354" s="471">
        <v>0</v>
      </c>
    </row>
    <row r="355" spans="1:14" ht="12.75" customHeight="1" x14ac:dyDescent="0.2">
      <c r="A355" s="1511" t="s">
        <v>1854</v>
      </c>
      <c r="B355" s="690" t="s">
        <v>1847</v>
      </c>
      <c r="C355" s="616"/>
      <c r="D355" s="616"/>
      <c r="E355" s="616"/>
      <c r="F355" s="616"/>
      <c r="G355" s="616"/>
      <c r="H355" s="467"/>
      <c r="I355" s="701"/>
      <c r="J355" s="616"/>
      <c r="K355" s="1741">
        <f>H355</f>
        <v>0</v>
      </c>
      <c r="L355" s="467">
        <v>0</v>
      </c>
    </row>
    <row r="356" spans="1:14" ht="12.75" customHeight="1" x14ac:dyDescent="0.2">
      <c r="A356" s="1832" t="s">
        <v>698</v>
      </c>
      <c r="B356" s="683" t="s">
        <v>558</v>
      </c>
      <c r="C356" s="616"/>
      <c r="D356" s="616"/>
      <c r="E356" s="616"/>
      <c r="F356" s="616"/>
      <c r="G356" s="616"/>
      <c r="H356" s="479"/>
      <c r="I356" s="701"/>
      <c r="J356" s="616"/>
      <c r="K356" s="1738">
        <f>H356</f>
        <v>0</v>
      </c>
      <c r="L356" s="479">
        <v>0</v>
      </c>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v>0</v>
      </c>
    </row>
    <row r="361" spans="1:14" ht="12.75" customHeight="1" x14ac:dyDescent="0.2">
      <c r="A361" s="1503" t="s">
        <v>619</v>
      </c>
      <c r="B361" s="602" t="s">
        <v>618</v>
      </c>
      <c r="C361" s="616"/>
      <c r="D361" s="616"/>
      <c r="E361" s="616"/>
      <c r="F361" s="616"/>
      <c r="G361" s="616"/>
      <c r="H361" s="467"/>
      <c r="I361" s="616"/>
      <c r="J361" s="616"/>
      <c r="K361" s="1669">
        <f>SUM(C361:J361)</f>
        <v>0</v>
      </c>
      <c r="L361" s="466">
        <v>0</v>
      </c>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v>0</v>
      </c>
      <c r="M366" s="609"/>
      <c r="N366" s="609"/>
    </row>
    <row r="367" spans="1:14" ht="12.75" customHeight="1" thickTop="1" thickBot="1" x14ac:dyDescent="0.25">
      <c r="A367" s="1690" t="s">
        <v>505</v>
      </c>
      <c r="B367" s="1702"/>
      <c r="C367" s="1668">
        <f t="shared" ref="C367:L367" si="28">SUM(C352,C357,C365,C366)</f>
        <v>0</v>
      </c>
      <c r="D367" s="1668">
        <f t="shared" si="28"/>
        <v>0</v>
      </c>
      <c r="E367" s="1668">
        <f t="shared" si="28"/>
        <v>5377</v>
      </c>
      <c r="F367" s="1668">
        <f t="shared" si="28"/>
        <v>0</v>
      </c>
      <c r="G367" s="1668">
        <f t="shared" si="28"/>
        <v>11778</v>
      </c>
      <c r="H367" s="1668">
        <f t="shared" si="28"/>
        <v>0</v>
      </c>
      <c r="I367" s="1668">
        <f t="shared" si="28"/>
        <v>0</v>
      </c>
      <c r="J367" s="1668">
        <f t="shared" si="28"/>
        <v>0</v>
      </c>
      <c r="K367" s="1668">
        <f t="shared" si="28"/>
        <v>17155</v>
      </c>
      <c r="L367" s="1668">
        <f t="shared" si="28"/>
        <v>23500</v>
      </c>
    </row>
    <row r="368" spans="1:14" ht="13.5" thickTop="1" x14ac:dyDescent="0.2">
      <c r="A368" s="2160" t="s">
        <v>996</v>
      </c>
      <c r="B368" s="2161"/>
      <c r="C368" s="654"/>
      <c r="D368" s="654"/>
      <c r="E368" s="626"/>
      <c r="F368" s="626"/>
      <c r="G368" s="626"/>
      <c r="H368" s="626"/>
      <c r="I368" s="626"/>
      <c r="J368" s="623"/>
      <c r="K368" s="1669">
        <f>'Revenues 9-14'!K268-'Expenditures 15-22'!K367</f>
        <v>58776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elements/1.1/"/>
    <ds:schemaRef ds:uri="d21dc803-237d-4c68-8692-8d731fd29118"/>
    <ds:schemaRef ds:uri="http://schemas.microsoft.com/office/2006/metadata/properties"/>
    <ds:schemaRef ds:uri="6ce3111e-7420-4802-b50a-75d4e9a0b980"/>
    <ds:schemaRef ds:uri="http://schemas.microsoft.com/sharepoint/v3"/>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4d435f69-8686-490b-bd6d-b153bf22ab50"/>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2019-09-11T20:12:53Z</cp:lastPrinted>
  <dcterms:created xsi:type="dcterms:W3CDTF">2003-10-29T19:06:34Z</dcterms:created>
  <dcterms:modified xsi:type="dcterms:W3CDTF">2019-11-06T15:59:39Z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1cdde2a4-a054-4b09-a101-74a4cd1e16a9</vt:lpwstr>
  </property>
</Properties>
</file>