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SD_ToLoad\"/>
    </mc:Choice>
  </mc:AlternateContent>
  <xr:revisionPtr revIDLastSave="0" documentId="13_ncr:1_{A7121FBE-EE7A-41CD-B46A-EE50293E3AF9}" xr6:coauthVersionLast="36" xr6:coauthVersionMax="36" xr10:uidLastSave="{00000000-0000-0000-0000-000000000000}"/>
  <bookViews>
    <workbookView xWindow="0" yWindow="0" windowWidth="23040" windowHeight="8805"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32" i="8" l="1"/>
  <c r="C9" i="4" l="1"/>
  <c r="C39" i="3" l="1"/>
  <c r="G39" i="3"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D7766" i="106" s="1"/>
  <c r="B7765" i="106"/>
  <c r="D7765" i="106" s="1"/>
  <c r="B7764" i="106"/>
  <c r="D7764" i="106" s="1"/>
  <c r="J85" i="28"/>
  <c r="B7758" i="106" s="1"/>
  <c r="D7758" i="106" s="1"/>
  <c r="J88" i="28"/>
  <c r="K6" i="29"/>
  <c r="B7763" i="106" s="1"/>
  <c r="D7763" i="106" s="1"/>
  <c r="B7762" i="106"/>
  <c r="K12" i="12"/>
  <c r="K23" i="12"/>
  <c r="J12" i="12"/>
  <c r="J21" i="12"/>
  <c r="B7727" i="106" s="1"/>
  <c r="D7727" i="106" s="1"/>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C221" i="5"/>
  <c r="B5304" i="106" s="1"/>
  <c r="D5304" i="106" s="1"/>
  <c r="C252" i="5"/>
  <c r="B7761" i="106"/>
  <c r="D7761" i="106" s="1"/>
  <c r="L127" i="29"/>
  <c r="L129" i="29" s="1"/>
  <c r="L139" i="29"/>
  <c r="L149" i="29"/>
  <c r="I7" i="145"/>
  <c r="I6" i="145"/>
  <c r="D78" i="36"/>
  <c r="K75" i="29"/>
  <c r="K130" i="29"/>
  <c r="B2805" i="106" s="1"/>
  <c r="D2805" i="106" s="1"/>
  <c r="K185" i="29"/>
  <c r="B2836" i="106" s="1"/>
  <c r="D2836" i="106" s="1"/>
  <c r="K122" i="29"/>
  <c r="F15" i="145" s="1"/>
  <c r="F19" i="145" s="1"/>
  <c r="K67" i="29"/>
  <c r="E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D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B2977" i="106" s="1"/>
  <c r="D2977" i="106" s="1"/>
  <c r="K83" i="29"/>
  <c r="K93" i="29"/>
  <c r="B6997" i="106" s="1"/>
  <c r="D6997" i="106" s="1"/>
  <c r="K94" i="29"/>
  <c r="K95" i="29"/>
  <c r="B7001" i="106" s="1"/>
  <c r="D7001" i="106" s="1"/>
  <c r="K96" i="29"/>
  <c r="B7003" i="106" s="1"/>
  <c r="D7003" i="106" s="1"/>
  <c r="K97" i="29"/>
  <c r="K98" i="29"/>
  <c r="K99" i="29"/>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B7076" i="106" s="1"/>
  <c r="D7076" i="106"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K250" i="29"/>
  <c r="K251" i="29"/>
  <c r="K252" i="29"/>
  <c r="B7090" i="106" s="1"/>
  <c r="D7090" i="106" s="1"/>
  <c r="K253" i="29"/>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4" i="106"/>
  <c r="D7004" i="106" s="1"/>
  <c r="B7005" i="106"/>
  <c r="D7005" i="106" s="1"/>
  <c r="B7006" i="106"/>
  <c r="D7006" i="106" s="1"/>
  <c r="B7007" i="106"/>
  <c r="D7007" i="106" s="1"/>
  <c r="B7008" i="106"/>
  <c r="D7008" i="106" s="1"/>
  <c r="B7009" i="106"/>
  <c r="D7009" i="106" s="1"/>
  <c r="B7010" i="106"/>
  <c r="D7010"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B7073" i="106"/>
  <c r="D7073" i="106" s="1"/>
  <c r="B7074" i="106"/>
  <c r="D7074" i="106" s="1"/>
  <c r="B7075" i="106"/>
  <c r="D7075" i="106" s="1"/>
  <c r="B7077" i="106"/>
  <c r="D7077" i="106" s="1"/>
  <c r="B7078" i="106"/>
  <c r="D7078" i="106" s="1"/>
  <c r="B7079" i="106"/>
  <c r="D7079"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1" i="106"/>
  <c r="D7091" i="106" s="1"/>
  <c r="B7092" i="106"/>
  <c r="D7092"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F26" i="108"/>
  <c r="E27" i="108"/>
  <c r="G27" i="108"/>
  <c r="F31" i="108"/>
  <c r="F36" i="108"/>
  <c r="G28" i="108"/>
  <c r="D31" i="108"/>
  <c r="D36"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F64" i="34"/>
  <c r="C67" i="34"/>
  <c r="D67" i="34"/>
  <c r="F67" i="34"/>
  <c r="C68" i="34"/>
  <c r="D68" i="34"/>
  <c r="C69" i="34"/>
  <c r="D69" i="34"/>
  <c r="F69" i="34"/>
  <c r="C70" i="34"/>
  <c r="D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D14" i="4"/>
  <c r="B2570" i="106" s="1"/>
  <c r="D2570" i="106" s="1"/>
  <c r="B2633" i="106"/>
  <c r="D2633" i="106" s="1"/>
  <c r="N22" i="3"/>
  <c r="B283" i="106" s="1"/>
  <c r="D283" i="106" s="1"/>
  <c r="D7" i="118"/>
  <c r="D8" i="118"/>
  <c r="D9" i="118"/>
  <c r="H14" i="118"/>
  <c r="H19" i="118"/>
  <c r="H24" i="118"/>
  <c r="D22" i="37"/>
  <c r="J22" i="37"/>
  <c r="F27" i="108" l="1"/>
  <c r="F46" i="34"/>
  <c r="D24" i="37"/>
  <c r="B4270" i="106" s="1"/>
  <c r="D4270" i="106" s="1"/>
  <c r="G26" i="108"/>
  <c r="D6103" i="106"/>
  <c r="F44" i="34"/>
  <c r="D9" i="7"/>
  <c r="B1767" i="106" s="1"/>
  <c r="D1767" i="106" s="1"/>
  <c r="F72" i="34"/>
  <c r="E26" i="108"/>
  <c r="F38" i="34"/>
  <c r="L22" i="37"/>
  <c r="D69" i="36"/>
  <c r="L13" i="11"/>
  <c r="B2060" i="106" s="1"/>
  <c r="D2060" i="106" s="1"/>
  <c r="D17" i="7"/>
  <c r="B4104" i="106" s="1"/>
  <c r="D4104" i="106" s="1"/>
  <c r="B7047" i="106"/>
  <c r="D7047" i="106" s="1"/>
  <c r="H29" i="118"/>
  <c r="D31" i="36"/>
  <c r="D11" i="37"/>
  <c r="G29" i="108"/>
  <c r="E29" i="108"/>
  <c r="G33" i="108"/>
  <c r="F68" i="34"/>
  <c r="G34" i="108"/>
  <c r="B1274" i="106"/>
  <c r="D1274" i="106" s="1"/>
  <c r="G15" i="145"/>
  <c r="F34" i="34"/>
  <c r="F19" i="7"/>
  <c r="B1807" i="106" s="1"/>
  <c r="D1807" i="106" s="1"/>
  <c r="H28" i="118"/>
  <c r="D68" i="36"/>
  <c r="J23" i="12"/>
  <c r="J24" i="12" s="1"/>
  <c r="I24" i="12"/>
  <c r="L15" i="11"/>
  <c r="B3459" i="106" s="1"/>
  <c r="D3459" i="106" s="1"/>
  <c r="L5" i="11"/>
  <c r="B2056" i="106" s="1"/>
  <c r="D2056" i="106" s="1"/>
  <c r="F14" i="4"/>
  <c r="B2597" i="106" s="1"/>
  <c r="D2597" i="106" s="1"/>
  <c r="H112" i="29"/>
  <c r="B7018" i="106" s="1"/>
  <c r="D7018" i="106" s="1"/>
  <c r="L367" i="29"/>
  <c r="H76" i="4"/>
  <c r="B3298" i="106" s="1"/>
  <c r="D3298" i="106" s="1"/>
  <c r="K41" i="3"/>
  <c r="I129" i="29"/>
  <c r="B7037" i="106" s="1"/>
  <c r="D7037" i="106" s="1"/>
  <c r="G39" i="108"/>
  <c r="G38" i="108"/>
  <c r="G30" i="108"/>
  <c r="C342" i="29"/>
  <c r="B7216" i="106" s="1"/>
  <c r="D7216" i="106" s="1"/>
  <c r="F62" i="34"/>
  <c r="E38" i="108"/>
  <c r="E30" i="108"/>
  <c r="D54" i="36"/>
  <c r="K76" i="4"/>
  <c r="B3586" i="106" s="1"/>
  <c r="D3586" i="106" s="1"/>
  <c r="L342" i="29"/>
  <c r="J210" i="29"/>
  <c r="B7072" i="106" s="1"/>
  <c r="D7072" i="106" s="1"/>
  <c r="B6289" i="106"/>
  <c r="D6289" i="106" s="1"/>
  <c r="J77" i="4"/>
  <c r="B6262" i="106" s="1"/>
  <c r="D6262" i="106" s="1"/>
  <c r="E28" i="108"/>
  <c r="K184" i="29"/>
  <c r="F13" i="4" s="1"/>
  <c r="B2596" i="106" s="1"/>
  <c r="D2596" i="106" s="1"/>
  <c r="D37" i="108"/>
  <c r="D41" i="108" s="1"/>
  <c r="E43" i="108" s="1"/>
  <c r="F37" i="108"/>
  <c r="J352" i="29"/>
  <c r="H342" i="29"/>
  <c r="B7221" i="106" s="1"/>
  <c r="D7221" i="106" s="1"/>
  <c r="F70" i="34"/>
  <c r="F28" i="108"/>
  <c r="J41" i="3"/>
  <c r="B6216" i="106" s="1"/>
  <c r="D6216" i="106" s="1"/>
  <c r="H33" i="118"/>
  <c r="B3647" i="106"/>
  <c r="D3647" i="106" s="1"/>
  <c r="H365" i="29"/>
  <c r="B7242" i="106" s="1"/>
  <c r="D7242" i="106" s="1"/>
  <c r="I210" i="29"/>
  <c r="B7071" i="106" s="1"/>
  <c r="D7071" i="106" s="1"/>
  <c r="B1308" i="106"/>
  <c r="D1308" i="106" s="1"/>
  <c r="E174" i="29"/>
  <c r="B1309" i="106" s="1"/>
  <c r="D1309" i="106" s="1"/>
  <c r="J129" i="29"/>
  <c r="B7038" i="106" s="1"/>
  <c r="D7038" i="106" s="1"/>
  <c r="C352" i="29"/>
  <c r="C367" i="29" s="1"/>
  <c r="B3622" i="106" s="1"/>
  <c r="D3622" i="106" s="1"/>
  <c r="C129" i="29"/>
  <c r="C151" i="29" s="1"/>
  <c r="B1226" i="106" s="1"/>
  <c r="D1226" i="106" s="1"/>
  <c r="G210" i="29"/>
  <c r="F77" i="4"/>
  <c r="B3255" i="106" s="1"/>
  <c r="D3255"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B7730" i="106" l="1"/>
  <c r="D7730" i="106" s="1"/>
  <c r="B1328" i="106"/>
  <c r="D1328" i="106" s="1"/>
  <c r="D7251" i="106"/>
  <c r="D7256" i="106"/>
  <c r="D7253" i="106"/>
  <c r="D7252" i="106"/>
  <c r="D7255" i="106"/>
  <c r="D7250" i="106"/>
  <c r="D7254" i="106"/>
  <c r="K28" i="118"/>
  <c r="O27" i="118" s="1"/>
  <c r="O29" i="118" s="1"/>
  <c r="H151" i="29"/>
  <c r="B1273" i="106" s="1"/>
  <c r="D1273" i="106" s="1"/>
  <c r="I151" i="29"/>
  <c r="F59" i="34" s="1"/>
  <c r="J151" i="29"/>
  <c r="B7052" i="106" s="1"/>
  <c r="D7052" i="106" s="1"/>
  <c r="F66" i="34"/>
  <c r="B1996" i="106"/>
  <c r="D1996" i="106" s="1"/>
  <c r="I26" i="12"/>
  <c r="B7741" i="106" s="1"/>
  <c r="D7741" i="106" s="1"/>
  <c r="L16" i="11"/>
  <c r="B2061" i="106" s="1"/>
  <c r="D2061" i="106" s="1"/>
  <c r="K77" i="4"/>
  <c r="B3587" i="106" s="1"/>
  <c r="D3587" i="106" s="1"/>
  <c r="H77" i="4"/>
  <c r="B3299" i="106" s="1"/>
  <c r="D3299" i="106" s="1"/>
  <c r="F41" i="108"/>
  <c r="G43" i="108" s="1"/>
  <c r="F174" i="34"/>
  <c r="B3568" i="106"/>
  <c r="D3568" i="106" s="1"/>
  <c r="D52" i="36"/>
  <c r="B1225" i="106"/>
  <c r="D1225" i="106" s="1"/>
  <c r="B1381" i="106"/>
  <c r="D1381" i="106" s="1"/>
  <c r="L114" i="29"/>
  <c r="B3621" i="106"/>
  <c r="D3621" i="106" s="1"/>
  <c r="D44" i="36"/>
  <c r="K342" i="29"/>
  <c r="F13" i="34" s="1"/>
  <c r="G6" i="4"/>
  <c r="B2604" i="106" s="1"/>
  <c r="D2604" i="106" s="1"/>
  <c r="D51" i="36"/>
  <c r="B1317" i="106"/>
  <c r="D1317" i="106" s="1"/>
  <c r="K365" i="29"/>
  <c r="K16" i="4" s="1"/>
  <c r="J367" i="29"/>
  <c r="B7245" i="106" s="1"/>
  <c r="D7245" i="106" s="1"/>
  <c r="B7235" i="106"/>
  <c r="D7235" i="106" s="1"/>
  <c r="B7215" i="106"/>
  <c r="D7215" i="106" s="1"/>
  <c r="B1365" i="106"/>
  <c r="D1365" i="106" s="1"/>
  <c r="F65" i="34"/>
  <c r="C114" i="29"/>
  <c r="B757" i="106" s="1"/>
  <c r="D757" i="106" s="1"/>
  <c r="B5527" i="106"/>
  <c r="D5527" i="106" s="1"/>
  <c r="B5770" i="106"/>
  <c r="D5770" i="106" s="1"/>
  <c r="I7" i="4"/>
  <c r="B4444" i="106" s="1"/>
  <c r="D4444" i="106" s="1"/>
  <c r="J16" i="4"/>
  <c r="B6226" i="106" s="1"/>
  <c r="D6226"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24" i="106" l="1"/>
  <c r="D7224" i="106" s="1"/>
  <c r="B7051" i="106"/>
  <c r="D7051" i="106" s="1"/>
  <c r="B1145" i="106"/>
  <c r="D1145" i="106" s="1"/>
  <c r="F24" i="37"/>
  <c r="B7243" i="106"/>
  <c r="D7243" i="106" s="1"/>
  <c r="K367" i="29"/>
  <c r="B3678" i="106" s="1"/>
  <c r="D3678"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B6227" i="106"/>
  <c r="D6227" i="106" s="1"/>
  <c r="J20" i="4"/>
  <c r="B6230" i="106" s="1"/>
  <c r="D6230" i="106" s="1"/>
  <c r="B6223" i="106"/>
  <c r="D6223" i="106" s="1"/>
  <c r="J10" i="4"/>
  <c r="B6225" i="106" s="1"/>
  <c r="D6225" i="106" s="1"/>
  <c r="K17" i="4"/>
  <c r="K19" i="4" s="1"/>
  <c r="B4144" i="106" s="1"/>
  <c r="D4144" i="106" s="1"/>
  <c r="F8" i="4"/>
  <c r="B2595" i="106" s="1"/>
  <c r="D259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B6263" i="106" s="1"/>
  <c r="D6263" i="106" s="1"/>
  <c r="B3575" i="106"/>
  <c r="D3575" i="106" s="1"/>
  <c r="K20" i="4"/>
  <c r="B3576" i="106" s="1"/>
  <c r="D3576" i="106" s="1"/>
  <c r="F10" i="4"/>
  <c r="B4125" i="106" s="1"/>
  <c r="D4125" i="106" s="1"/>
  <c r="D8" i="146"/>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F8" i="146" l="1"/>
  <c r="F175" i="34"/>
  <c r="F79" i="34"/>
  <c r="J81" i="4"/>
  <c r="B6266" i="106" s="1"/>
  <c r="D6266" i="106" s="1"/>
  <c r="K78" i="4"/>
  <c r="B3588" i="106" s="1"/>
  <c r="D3588" i="106" s="1"/>
  <c r="D78" i="4"/>
  <c r="D81" i="4" s="1"/>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F10" i="146" l="1"/>
  <c r="F177" i="34"/>
  <c r="F179" i="34" s="1"/>
  <c r="D64" i="36"/>
  <c r="J82" i="4"/>
  <c r="J83" i="4" s="1"/>
  <c r="B6283" i="106" s="1"/>
  <c r="D6283" i="106" s="1"/>
  <c r="K81" i="4"/>
  <c r="D65" i="36"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D82" i="4"/>
  <c r="B1644" i="106"/>
  <c r="D1644" i="106" s="1"/>
  <c r="D58" i="36"/>
  <c r="C11" i="146"/>
  <c r="B3591" i="106" l="1"/>
  <c r="D3591" i="106" s="1"/>
  <c r="K82" i="4"/>
  <c r="B6275" i="106" s="1"/>
  <c r="D6275" i="106" s="1"/>
  <c r="B6274" i="106"/>
  <c r="D6274" i="106" s="1"/>
  <c r="J16" i="37"/>
  <c r="B4269" i="106" s="1"/>
  <c r="D4269" i="106" s="1"/>
  <c r="H12" i="118"/>
  <c r="K12" i="118"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K83" i="4"/>
  <c r="B6284" i="106" s="1"/>
  <c r="D6284"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<sst xmlns="http://schemas.openxmlformats.org/spreadsheetml/2006/main" count="5084" uniqueCount="2111">
  <si>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</si>
  <si>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</si>
  <si>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</si>
  <si>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</si>
  <si>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</si>
  <si>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</si>
  <si>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</si>
  <si>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</si>
  <si>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</si>
  <si>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</si>
  <si>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</si>
  <si>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</si>
  <si>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</si>
  <si>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</si>
  <si>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</si>
  <si>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</si>
  <si>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</si>
  <si>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</si>
  <si>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</si>
  <si>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</si>
  <si>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</si>
  <si>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</si>
  <si>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</si>
  <si>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</si>
  <si>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</si>
  <si>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</si>
  <si>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</si>
  <si>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</si>
  <si>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</si>
  <si>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</si>
  <si>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</si>
  <si>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</si>
  <si>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</si>
  <si>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</si>
  <si>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</si>
  <si>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</si>
  <si>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</si>
  <si>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</si>
  <si>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</si>
  <si>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</si>
  <si>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</si>
  <si>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</si>
  <si>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</si>
  <si>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</si>
  <si>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</si>
  <si>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</si>
  <si>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</si>
  <si>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</si>
  <si>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</si>
  <si>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</si>
  <si>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</si>
  <si>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</si>
  <si>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</si>
  <si>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</si>
  <si>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</si>
  <si>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</si>
  <si>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</si>
  <si>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</si>
  <si>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</si>
  <si>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</si>
  <si>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</si>
  <si>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</si>
  <si>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</si>
  <si>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</si>
  <si>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</si>
  <si>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</si>
  <si>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</si>
  <si>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</si>
  <si>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</si>
  <si>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</si>
  <si>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</si>
  <si>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</si>
  <si>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</si>
  <si>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</si>
  <si>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</si>
  <si>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</si>
  <si>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</si>
  <si>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</si>
  <si>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</si>
  <si>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</si>
  <si>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</si>
  <si>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</si>
  <si>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</si>
  <si>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</si>
  <si>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</si>
  <si>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</si>
  <si>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</si>
  <si>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</si>
  <si>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</si>
  <si>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</si>
  <si>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</si>
  <si>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</si>
  <si>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</si>
  <si>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</si>
  <si>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</si>
  <si>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</si>
  <si>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</si>
  <si>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</si>
  <si>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</si>
  <si>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</si>
  <si>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</si>
  <si>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</si>
  <si>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</si>
  <si>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</si>
  <si>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</si>
  <si>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</si>
  <si>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</si>
  <si>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</si>
  <si>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</si>
  <si>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</si>
  <si>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</si>
  <si>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</si>
  <si>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</si>
  <si>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</si>
  <si>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</si>
  <si>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</si>
  <si>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</si>
  <si>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</si>
  <si>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</si>
  <si>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</si>
  <si>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</si>
  <si>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</si>
  <si>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</si>
  <si>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</si>
  <si>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</si>
  <si>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</si>
  <si>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</si>
  <si>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</si>
  <si>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</si>
  <si>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</si>
  <si>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</si>
  <si>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</si>
  <si>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</si>
  <si>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</si>
  <si>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</si>
  <si>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</si>
  <si>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</si>
  <si>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</si>
  <si>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</si>
  <si>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</si>
  <si>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</si>
  <si>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</si>
  <si>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</si>
  <si>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</si>
  <si>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</si>
  <si>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</si>
  <si>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</si>
  <si>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</si>
  <si>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</si>
  <si>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</si>
  <si>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</si>
  <si>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</si>
  <si>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</si>
  <si>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</si>
  <si>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</si>
  <si>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</si>
  <si>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</si>
  <si>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</si>
  <si>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</si>
  <si>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</si>
  <si>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</si>
  <si>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</si>
  <si>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</si>
  <si>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</si>
  <si>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</si>
  <si>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</si>
  <si>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</si>
  <si>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</si>
  <si>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</si>
  <si>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</si>
  <si>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</si>
  <si>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</si>
  <si>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</si>
  <si>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</si>
  <si>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</si>
  <si>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</si>
  <si>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</si>
  <si>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</si>
  <si>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</si>
  <si>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</si>
  <si>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</si>
  <si>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</si>
  <si>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</si>
  <si>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</si>
  <si>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</si>
  <si>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</si>
  <si>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</si>
  <si>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</si>
  <si>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</si>
  <si>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</si>
  <si>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</si>
  <si>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</si>
  <si>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</si>
  <si>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</si>
  <si>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</si>
  <si>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</si>
  <si>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</si>
  <si>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</si>
  <si>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</si>
  <si>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</si>
  <si>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</si>
  <si>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</si>
  <si>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</si>
  <si>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</si>
  <si>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</si>
  <si>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</si>
  <si>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</si>
  <si>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</si>
  <si>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</si>
  <si>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</si>
  <si>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</si>
  <si>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</si>
  <si>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</si>
  <si>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</si>
  <si>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</si>
  <si>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</si>
  <si>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</si>
  <si>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</si>
  <si>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</si>
  <si>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</si>
  <si>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</si>
  <si>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</si>
  <si>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</si>
  <si>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</si>
  <si>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</si>
  <si>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</si>
  <si>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</si>
  <si>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</si>
  <si>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</si>
  <si>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</si>
  <si>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</si>
  <si>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</si>
  <si>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</si>
  <si>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</si>
  <si>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</si>
  <si>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</si>
  <si>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</si>
  <si>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</si>
  <si>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</si>
  <si>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</si>
  <si>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</si>
  <si>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</si>
  <si>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</si>
  <si>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</si>
  <si>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</si>
  <si>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</si>
  <si>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</si>
  <si>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</si>
  <si>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</si>
  <si>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</si>
  <si>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</si>
  <si>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</si>
  <si>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</si>
  <si>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</si>
  <si>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</si>
  <si>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</si>
  <si>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</si>
  <si>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</si>
  <si>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</si>
  <si>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</si>
  <si>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</si>
  <si>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</si>
  <si>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</si>
  <si>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</si>
  <si>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</si>
  <si>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</si>
  <si>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</si>
  <si>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</si>
  <si>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</si>
  <si>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</si>
  <si>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</si>
  <si>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</si>
  <si>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</si>
  <si>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</si>
  <si>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</si>
  <si>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</si>
  <si>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</si>
  <si>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</si>
  <si>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</si>
  <si>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</si>
  <si>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</si>
  <si>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</si>
  <si>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</si>
  <si>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</si>
  <si>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</si>
  <si>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</si>
  <si>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</si>
  <si>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</si>
  <si>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</si>
  <si>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</si>
  <si>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</si>
  <si>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</si>
  <si>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</si>
  <si>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</si>
  <si>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</si>
  <si>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</si>
  <si>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</si>
  <si>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</si>
  <si>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</si>
  <si>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</si>
  <si>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</si>
  <si>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</si>
  <si>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</si>
  <si>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</si>
  <si>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</si>
  <si>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</si>
  <si>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</si>
  <si>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</si>
  <si>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</si>
  <si>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</si>
  <si>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</si>
  <si>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</si>
  <si>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</si>
  <si>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</si>
  <si>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</si>
  <si>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</si>
  <si>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</si>
  <si>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</si>
  <si>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</si>
  <si>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</si>
  <si>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</si>
  <si>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</si>
  <si>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</si>
  <si>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</si>
  <si>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</si>
  <si>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</si>
  <si>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</si>
  <si>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</si>
  <si>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</si>
  <si>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</si>
  <si>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</si>
  <si>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</si>
  <si>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</si>
  <si>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</si>
  <si>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</si>
  <si>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</si>
  <si>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</si>
  <si>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</si>
  <si>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</si>
  <si>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</si>
  <si>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</si>
  <si>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</si>
  <si>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</si>
  <si>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</si>
  <si>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</si>
  <si>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</si>
  <si>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</si>
  <si>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</si>
  <si>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</si>
  <si>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</si>
  <si>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</si>
  <si>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</si>
  <si>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</si>
  <si>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</si>
  <si>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</si>
  <si>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</si>
  <si>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</si>
  <si>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</si>
  <si>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</si>
  <si>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</si>
  <si>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</si>
  <si>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</si>
  <si>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</si>
  <si>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</si>
  <si>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</si>
  <si>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</si>
  <si>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</si>
  <si>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</si>
  <si>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</si>
  <si>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</si>
  <si>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</si>
  <si>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</si>
  <si>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</si>
  <si>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</si>
  <si>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</si>
  <si>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</si>
  <si>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</si>
  <si>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</si>
  <si>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</si>
  <si>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</si>
  <si>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</si>
  <si>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</si>
  <si>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</si>
  <si>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</si>
  <si>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</si>
  <si>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</si>
  <si>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</si>
  <si>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</si>
  <si>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</si>
  <si>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</si>
  <si>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</si>
  <si>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</si>
  <si>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</si>
  <si>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</si>
  <si>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</si>
  <si>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</si>
  <si>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</si>
  <si>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</si>
  <si>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</si>
  <si>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</si>
  <si>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</si>
  <si>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</si>
  <si>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</si>
  <si>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</si>
  <si>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</si>
  <si>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</si>
  <si>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</si>
  <si>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</si>
  <si>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</si>
  <si>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</si>
  <si>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</si>
  <si>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</si>
  <si>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</si>
  <si>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</si>
  <si>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</si>
  <si>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</si>
  <si>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</si>
  <si>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</si>
  <si>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</si>
  <si>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</si>
  <si>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</si>
  <si>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</si>
  <si>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</si>
  <si>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</si>
  <si>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</si>
  <si>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</si>
  <si>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</si>
  <si>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</si>
  <si>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</si>
  <si>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</si>
  <si>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</si>
  <si>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</si>
  <si>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</si>
  <si>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</si>
  <si>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</si>
  <si>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</si>
  <si>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</si>
  <si>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</si>
  <si>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</si>
  <si>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</si>
  <si>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</si>
  <si>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</si>
  <si>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</si>
  <si>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</si>
  <si>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</si>
  <si>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</si>
  <si>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</si>
  <si>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</si>
  <si>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</si>
  <si>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</si>
  <si>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</si>
  <si>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</si>
  <si>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</si>
  <si>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</si>
  <si>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</si>
  <si>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</si>
  <si>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</si>
  <si>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</si>
  <si>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</si>
  <si>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</si>
  <si>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</si>
  <si>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</si>
  <si>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</si>
  <si>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</si>
  <si>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</si>
  <si>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</si>
  <si>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</si>
  <si>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</si>
  <si>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</si>
  <si>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</si>
  <si>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</si>
  <si>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</si>
  <si>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</si>
  <si>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</si>
  <si>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</si>
  <si>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</si>
  <si>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</si>
  <si>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</si>
  <si>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</si>
  <si>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</si>
  <si>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</si>
  <si>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</si>
  <si>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</si>
  <si>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</si>
  <si>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</si>
  <si>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</si>
  <si>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</si>
  <si>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</si>
  <si>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</si>
  <si>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</si>
  <si>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</si>
  <si>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</si>
  <si>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</si>
  <si>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</si>
  <si>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</si>
  <si>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</si>
  <si>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</si>
  <si>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</si>
  <si>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</si>
  <si>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</si>
  <si>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</si>
  <si>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</si>
  <si>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</si>
  <si>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</si>
  <si>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</si>
  <si>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</si>
  <si>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</si>
  <si>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</si>
  <si>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</si>
  <si>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</si>
  <si>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</si>
  <si>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</si>
  <si>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</si>
  <si>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</si>
  <si>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</si>
  <si>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</si>
  <si>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</si>
  <si>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</si>
  <si>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</si>
  <si>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</si>
  <si>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</si>
  <si>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</si>
  <si>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</si>
  <si>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</si>
  <si>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</si>
  <si>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</si>
  <si>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</si>
  <si>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</si>
  <si>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</si>
  <si>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</si>
  <si>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</si>
  <si>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</si>
  <si>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</si>
  <si>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</si>
  <si>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</si>
  <si>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</si>
  <si>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</si>
  <si>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</si>
  <si>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</si>
  <si>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</si>
  <si>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</si>
  <si>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</si>
  <si>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</si>
  <si>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</si>
  <si>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</si>
  <si>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</si>
  <si>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</si>
  <si>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</si>
  <si>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</si>
  <si>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</si>
  <si>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</si>
  <si>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</si>
  <si>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</si>
  <si>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</si>
  <si>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</si>
  <si>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</si>
  <si>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</si>
  <si>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</si>
  <si>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</si>
  <si>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</si>
  <si>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</si>
  <si>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</si>
  <si>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</si>
  <si>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</si>
  <si>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</si>
  <si>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</si>
  <si>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</si>
  <si>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</si>
  <si>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</si>
  <si>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</si>
  <si>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</si>
  <si>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</si>
  <si>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</si>
  <si>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</si>
  <si>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</si>
  <si>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</si>
  <si>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</si>
  <si>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</si>
  <si>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</si>
  <si>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</si>
  <si>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</si>
  <si>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</si>
  <si>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</si>
  <si>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</si>
  <si>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</si>
  <si>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</si>
  <si>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</si>
  <si>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</si>
  <si>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</si>
  <si>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</si>
  <si>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</si>
  <si>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</si>
  <si>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</si>
  <si>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</si>
  <si>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</si>
  <si>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</si>
  <si>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</si>
  <si>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</si>
  <si>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</si>
  <si>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</si>
  <si>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</si>
  <si>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</si>
  <si>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</si>
  <si>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</si>
  <si>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</si>
  <si>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</si>
  <si>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</si>
  <si>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</si>
  <si>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</si>
  <si>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</si>
  <si>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</si>
  <si>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</si>
  <si>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</si>
  <si>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</si>
  <si>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</si>
  <si>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</si>
  <si>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</si>
  <si>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</si>
  <si>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</si>
  <si>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</si>
  <si>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</si>
  <si>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</si>
  <si>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</si>
  <si>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</si>
  <si>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</si>
  <si>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</si>
  <si>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</si>
  <si>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</si>
  <si>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</si>
  <si>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</si>
  <si>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</si>
  <si>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</si>
  <si>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</si>
  <si>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</si>
  <si>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</si>
  <si>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</si>
  <si>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</si>
  <si>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</si>
  <si>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</si>
  <si>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</si>
  <si>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</si>
  <si>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</si>
  <si>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</si>
  <si>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</si>
  <si>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</si>
  <si>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</si>
  <si>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</si>
  <si>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</si>
  <si>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</si>
  <si>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</si>
  <si>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</si>
  <si>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</si>
  <si>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</si>
  <si>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</si>
  <si>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</si>
  <si>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</si>
  <si>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</si>
  <si>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</si>
  <si>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</si>
  <si>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</si>
  <si>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</si>
  <si>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</si>
  <si>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</si>
  <si>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</si>
  <si>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</si>
  <si>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</si>
  <si>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</si>
  <si>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</si>
  <si>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</si>
  <si>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</si>
  <si>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</si>
  <si>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</si>
  <si>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</si>
  <si>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</si>
  <si>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</si>
  <si>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</si>
  <si>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</si>
  <si>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</si>
  <si>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</si>
  <si>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</si>
  <si>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</si>
  <si>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</si>
  <si>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</si>
  <si>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</si>
  <si>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</si>
  <si>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</si>
  <si>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</si>
  <si>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</si>
  <si>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</si>
  <si>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</si>
  <si>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</si>
  <si>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</si>
  <si>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</si>
  <si>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</si>
  <si>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</si>
  <si>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</si>
  <si>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</si>
  <si>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</si>
  <si>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</si>
  <si>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</si>
  <si>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</si>
  <si>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</si>
  <si>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</si>
  <si>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</si>
  <si>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</si>
  <si>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</si>
  <si>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</si>
  <si>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</si>
  <si>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</si>
  <si>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</si>
  <si>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</si>
  <si>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</si>
  <si>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</si>
  <si>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</si>
  <si>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</si>
  <si>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</si>
  <si>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</si>
  <si>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</si>
  <si>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</si>
  <si>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</si>
  <si>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</si>
  <si>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</si>
  <si>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</si>
  <si>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</si>
  <si>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</si>
  <si>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</si>
  <si>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</si>
  <si>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</si>
  <si>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</si>
  <si>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</si>
  <si>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</si>
  <si>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</si>
  <si>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</si>
  <si>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</si>
  <si>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</si>
  <si>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</si>
  <si>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</si>
  <si>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</si>
  <si>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</si>
  <si>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</si>
  <si>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</si>
  <si>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</si>
  <si>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</si>
  <si>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</si>
  <si>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</si>
  <si>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</si>
  <si>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</si>
  <si>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</si>
  <si>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</si>
  <si>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</si>
  <si>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</si>
  <si>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</si>
  <si>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</si>
  <si>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</si>
  <si>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</si>
  <si>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</si>
  <si>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</si>
  <si>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</si>
  <si>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</si>
  <si>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</si>
  <si>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</si>
  <si>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</si>
  <si>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</si>
  <si>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</si>
  <si>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</si>
  <si>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</si>
  <si>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</si>
  <si>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</si>
  <si>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</si>
  <si>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</si>
  <si>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</si>
  <si>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</si>
  <si>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</si>
  <si>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</si>
  <si>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</si>
  <si>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</si>
  <si>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</si>
  <si>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</si>
  <si>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</si>
  <si>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</si>
  <si>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</si>
  <si>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</si>
  <si>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</si>
  <si>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</si>
  <si>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</si>
  <si>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</si>
  <si>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</si>
  <si>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</si>
  <si>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</si>
  <si>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</si>
  <si>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</si>
  <si>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</si>
  <si>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</si>
  <si>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</si>
  <si>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</si>
  <si>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</si>
  <si>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</si>
  <si>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</si>
  <si>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</si>
  <si>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</si>
  <si>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</si>
  <si>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</si>
  <si>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</si>
  <si>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</si>
  <si>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</si>
  <si>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</si>
  <si>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</si>
  <si>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</si>
  <si>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</si>
  <si>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</si>
  <si>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</si>
  <si>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</si>
  <si>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</si>
  <si>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</si>
  <si>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</si>
  <si>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</si>
  <si>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</si>
  <si>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</si>
  <si>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</si>
  <si>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</si>
  <si>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</si>
  <si>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</si>
  <si>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</si>
  <si>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</si>
  <si>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</si>
  <si>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</si>
  <si>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</si>
  <si>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</si>
  <si>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</si>
  <si>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</si>
  <si>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</si>
  <si>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</si>
  <si>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</si>
  <si>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</si>
  <si>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</si>
  <si>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</si>
  <si>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</si>
  <si>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</si>
  <si>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</si>
  <si>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</si>
  <si>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</si>
  <si>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</si>
  <si>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</si>
  <si>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</si>
  <si>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</si>
  <si>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</si>
  <si>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</si>
  <si>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</si>
  <si>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</si>
  <si>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</si>
  <si>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</si>
  <si>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</si>
  <si>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</si>
  <si>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</si>
  <si>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</si>
  <si>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</si>
  <si>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</si>
  <si>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</si>
  <si>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</si>
  <si>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</si>
  <si>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</si>
  <si>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</si>
  <si>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</si>
  <si>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</si>
  <si>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</si>
  <si>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</si>
  <si>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</si>
  <si>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</si>
  <si>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</si>
  <si>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</si>
  <si>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</si>
  <si>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</si>
  <si>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</si>
  <si>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</si>
  <si>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</si>
  <si>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</si>
  <si>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</si>
  <si>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</si>
  <si>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</si>
  <si>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</si>
  <si>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</si>
  <si>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</si>
  <si>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</si>
  <si>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</si>
  <si>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</si>
  <si>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</si>
  <si>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</si>
  <si>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</si>
  <si>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</si>
  <si>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</si>
  <si>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</si>
  <si>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</si>
  <si>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</si>
  <si>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</si>
  <si>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</si>
  <si>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</si>
  <si>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</si>
  <si>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</si>
  <si>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</si>
  <si>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</si>
  <si>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</si>
  <si>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</si>
  <si>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</si>
  <si>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</si>
  <si>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</si>
  <si>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</si>
  <si>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</si>
  <si>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</si>
  <si>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</si>
  <si>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</si>
  <si>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</si>
  <si>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</si>
  <si>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</si>
  <si>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</si>
  <si>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</si>
  <si>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</si>
  <si>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</si>
  <si>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</si>
  <si>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</si>
  <si>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</si>
  <si>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</si>
  <si>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</si>
  <si>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</si>
  <si>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</si>
  <si>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</si>
  <si>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</si>
  <si>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</si>
  <si>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</si>
  <si>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</si>
  <si>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</si>
  <si>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</si>
  <si>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</si>
  <si>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</si>
  <si>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</si>
  <si>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</si>
  <si>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</si>
  <si>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</si>
  <si>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</si>
  <si>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</si>
  <si>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</si>
  <si>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</si>
  <si>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</si>
  <si>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</si>
  <si>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</si>
  <si>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</si>
  <si>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</si>
  <si>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</si>
  <si>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</si>
  <si>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</si>
  <si>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</si>
  <si>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</si>
  <si>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</si>
  <si>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</si>
  <si>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</si>
  <si>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</si>
  <si>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</si>
  <si>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</si>
  <si>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</si>
  <si>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</si>
  <si>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</si>
  <si>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</si>
  <si>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</si>
  <si>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</si>
  <si>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</si>
  <si>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</si>
  <si>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</si>
  <si>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</si>
  <si>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</si>
  <si>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</si>
  <si>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</si>
  <si>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</si>
  <si>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</si>
  <si>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</si>
  <si>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</si>
  <si>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</si>
  <si>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</si>
  <si>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</si>
  <si>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</si>
  <si>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</si>
  <si>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</si>
  <si>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</si>
  <si>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</si>
  <si>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</si>
  <si>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</si>
  <si>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</si>
  <si>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</si>
  <si>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</si>
  <si>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</si>
  <si>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</si>
  <si>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</si>
  <si>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</si>
  <si>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</si>
  <si>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</si>
  <si>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</si>
  <si>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</si>
  <si>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</si>
  <si>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</si>
  <si>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</si>
  <si>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</si>
  <si>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</si>
  <si>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</si>
  <si>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</si>
  <si>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</si>
  <si>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</si>
  <si>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</si>
  <si>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</si>
  <si>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</si>
  <si>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</si>
  <si>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</si>
  <si>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</si>
  <si>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</si>
  <si>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</si>
  <si>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</si>
  <si>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</si>
  <si>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</si>
  <si>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</si>
  <si>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</si>
  <si>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</si>
  <si>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</si>
  <si>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</si>
  <si>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</si>
  <si>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</si>
  <si>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</si>
  <si>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</si>
  <si>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</si>
  <si>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</si>
  <si>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</si>
  <si>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</si>
  <si>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</si>
  <si>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</si>
  <si>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</si>
  <si>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</si>
  <si>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</si>
  <si>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</si>
  <si>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</si>
  <si>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</si>
  <si>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</si>
  <si>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</si>
  <si>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</si>
  <si>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</si>
  <si>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</si>
  <si>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</si>
  <si>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</si>
  <si>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</si>
  <si>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</si>
  <si>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</si>
  <si>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</si>
  <si>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</si>
  <si>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</si>
  <si>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</si>
  <si>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</si>
  <si>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</si>
  <si>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</si>
  <si>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</si>
  <si>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</si>
  <si>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</si>
  <si>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</si>
  <si>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</si>
  <si>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</si>
  <si>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</si>
  <si>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</si>
  <si>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</si>
  <si>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</si>
  <si>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</si>
  <si>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</si>
  <si>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</si>
  <si>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</si>
  <si>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</si>
  <si>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</si>
  <si>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</si>
  <si>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</si>
  <si>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</si>
  <si>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</si>
  <si>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</si>
  <si>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</si>
  <si>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</si>
  <si>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</si>
  <si>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</si>
  <si>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</si>
  <si>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</si>
  <si>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</si>
  <si>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</si>
  <si>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</si>
  <si>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</si>
  <si>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</si>
  <si>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</si>
  <si>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</si>
  <si>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</si>
  <si>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</si>
  <si>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</si>
  <si>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</si>
  <si>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</si>
  <si>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</si>
  <si>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</si>
  <si>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</si>
  <si>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</si>
  <si>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</si>
  <si>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</si>
  <si>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</si>
  <si>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</si>
  <si>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</si>
  <si>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</si>
  <si>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</si>
  <si>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</si>
  <si>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</si>
  <si>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</si>
  <si>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</si>
  <si>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</si>
  <si>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</si>
  <si>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</si>
  <si>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</si>
  <si>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</si>
  <si>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</si>
  <si>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</si>
  <si>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</si>
  <si>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</si>
  <si>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</si>
  <si>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</si>
  <si>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</si>
  <si>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</si>
  <si>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</si>
  <si>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</si>
  <si>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</si>
  <si>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</si>
  <si>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</si>
  <si>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</si>
  <si>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</si>
  <si>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</si>
  <si>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</si>
  <si>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</si>
  <si>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</si>
  <si>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</si>
  <si>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</si>
  <si>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</si>
  <si>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</si>
  <si>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</si>
  <si>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</si>
  <si>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</si>
  <si>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</si>
  <si>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</si>
  <si>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</si>
  <si>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</si>
  <si>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</si>
  <si>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</si>
  <si>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</si>
  <si>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</si>
  <si>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</si>
  <si>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</si>
  <si>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</si>
  <si>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</si>
  <si>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</si>
  <si>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</si>
  <si>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</si>
  <si>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</si>
  <si>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</si>
  <si>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</si>
  <si>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</si>
  <si>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</si>
  <si>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</si>
  <si>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</si>
  <si>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</si>
  <si>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</si>
  <si>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</si>
  <si>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</si>
  <si>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</si>
  <si>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</si>
  <si>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</si>
  <si>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</si>
  <si>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</si>
  <si>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</si>
  <si>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</si>
  <si>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</si>
  <si>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</si>
  <si>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</si>
  <si>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</si>
  <si>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</si>
  <si>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</si>
  <si>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</si>
  <si>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</si>
  <si>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</si>
  <si>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</si>
  <si>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</si>
  <si>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</si>
  <si>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</si>
  <si>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</si>
  <si>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</si>
  <si>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</si>
  <si>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</si>
  <si>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</si>
  <si>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</si>
  <si>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</si>
  <si>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</si>
  <si>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</si>
  <si>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</si>
  <si>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</si>
  <si>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</si>
  <si>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</si>
  <si>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</si>
  <si>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</si>
  <si>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</si>
  <si>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</si>
  <si>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</si>
  <si>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</si>
  <si>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</si>
  <si>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</si>
  <si>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</si>
  <si>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</si>
  <si>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</si>
  <si>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</si>
  <si>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</si>
  <si>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</si>
  <si>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</si>
  <si>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</si>
  <si>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</si>
  <si>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</si>
  <si>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</si>
  <si>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</si>
  <si>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</si>
  <si>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</si>
  <si>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</si>
  <si>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</si>
  <si>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</si>
  <si>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</si>
  <si>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</si>
  <si>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</si>
  <si>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</si>
  <si>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</si>
  <si>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</si>
  <si>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</si>
  <si>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</si>
  <si>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</si>
  <si>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</si>
  <si>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</si>
  <si>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</si>
  <si>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</si>
  <si>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</si>
  <si>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</si>
  <si>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</si>
  <si>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</si>
  <si>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</si>
  <si>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</si>
  <si>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</si>
  <si>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</si>
  <si>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</si>
  <si>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</si>
  <si>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</si>
  <si>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</si>
  <si>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</si>
  <si>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</si>
  <si>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</si>
  <si>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</si>
  <si>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</si>
  <si>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</si>
  <si>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</si>
  <si>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</si>
  <si>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</si>
  <si>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</si>
  <si>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</si>
  <si>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</si>
  <si>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</si>
  <si>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</si>
  <si>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</si>
  <si>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</si>
  <si>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</si>
  <si>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</si>
  <si>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</si>
  <si>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</si>
  <si>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</si>
  <si>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</si>
  <si>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</si>
  <si>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</si>
  <si>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</si>
  <si>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</si>
  <si>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</si>
  <si>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</si>
  <si>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</si>
  <si>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</si>
  <si>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</si>
  <si>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</si>
  <si>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</si>
  <si>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</si>
  <si>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</si>
  <si>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</si>
  <si>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</si>
  <si>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</si>
  <si>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</si>
  <si>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</si>
  <si>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</si>
  <si>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</si>
  <si>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</si>
  <si>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</si>
  <si>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</si>
  <si>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</si>
  <si>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</si>
  <si>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</si>
  <si>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</si>
  <si>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</si>
  <si>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</si>
  <si>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</si>
  <si>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</si>
  <si>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</si>
  <si>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</si>
  <si>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</si>
  <si>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</si>
  <si>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</si>
  <si>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</si>
  <si>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</si>
  <si>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</si>
  <si>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</si>
  <si>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</si>
  <si>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</si>
  <si>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</si>
  <si>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</si>
  <si>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</si>
  <si>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</si>
  <si>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</si>
  <si>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</si>
  <si>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</si>
  <si>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</si>
  <si>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</si>
  <si>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</si>
  <si>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</si>
  <si>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</si>
  <si>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</si>
  <si>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</si>
  <si>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</si>
  <si>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</si>
  <si>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</si>
  <si>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</si>
  <si>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</si>
  <si>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</si>
  <si>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</si>
  <si>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</si>
  <si>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</si>
  <si>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</si>
  <si>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</si>
  <si>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</si>
  <si>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</si>
  <si>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</si>
  <si>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</si>
  <si>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</si>
  <si>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</si>
  <si>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</si>
  <si>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</si>
  <si>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</si>
  <si>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</si>
  <si>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</si>
  <si>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</si>
  <si>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</si>
  <si>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</si>
  <si>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</si>
  <si>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</si>
  <si>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</si>
  <si>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</si>
  <si>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</si>
  <si>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</si>
  <si>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</si>
  <si>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</si>
  <si>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</si>
  <si>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</si>
  <si>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</si>
  <si>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</si>
  <si>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</si>
  <si>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</si>
  <si>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</si>
  <si>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</si>
  <si>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</si>
  <si>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</si>
  <si>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</si>
  <si>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</si>
  <si>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</si>
  <si>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</si>
  <si>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</si>
  <si>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</si>
  <si>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</si>
  <si>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</si>
  <si>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</si>
  <si>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</si>
  <si>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</si>
  <si>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</si>
  <si>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</si>
  <si>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</si>
  <si>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</si>
  <si>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</si>
  <si>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</si>
  <si>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</si>
  <si>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</si>
  <si>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</si>
  <si>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</si>
  <si>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</si>
  <si>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</si>
  <si>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</si>
  <si>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</si>
  <si>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</si>
  <si>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</si>
  <si>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</si>
  <si>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</si>
  <si>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</si>
  <si>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</si>
  <si>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</si>
  <si>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</si>
  <si>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</si>
  <si>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</si>
  <si>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</si>
  <si>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</si>
  <si>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</si>
  <si>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</si>
  <si>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</si>
  <si>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</si>
  <si>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</si>
  <si>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</si>
  <si>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</si>
  <si>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</si>
  <si>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</si>
  <si>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</si>
  <si>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</si>
  <si>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</si>
  <si>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</si>
  <si>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</si>
  <si>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</si>
  <si>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</si>
  <si>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</si>
  <si>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</si>
  <si>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</si>
  <si>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</si>
  <si>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</si>
  <si>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</si>
  <si>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</si>
  <si>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</si>
  <si>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</si>
  <si>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</si>
  <si>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</si>
  <si>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</si>
  <si>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</si>
  <si>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</si>
  <si>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</si>
  <si>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</si>
  <si>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</si>
  <si>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</si>
  <si>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</si>
  <si>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</si>
  <si>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</si>
  <si>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</si>
  <si>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</si>
  <si>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</si>
  <si>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</si>
  <si>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</si>
  <si>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</si>
  <si>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</si>
  <si>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</si>
  <si>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</si>
  <si>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</si>
  <si>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</si>
  <si>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</si>
  <si>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</si>
  <si>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</si>
  <si>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</si>
  <si>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</si>
  <si>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</si>
  <si>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</si>
  <si>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</si>
  <si>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</si>
  <si>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</si>
  <si>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</si>
  <si>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</si>
  <si>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</si>
  <si>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</si>
  <si>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</si>
  <si>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</si>
  <si>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</si>
  <si>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</si>
  <si>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</si>
  <si>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</si>
  <si>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</si>
  <si>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</si>
  <si>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</si>
  <si>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</si>
  <si>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</si>
  <si>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</si>
  <si>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</si>
  <si>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</si>
  <si>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</si>
  <si>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</si>
  <si>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</si>
  <si>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</si>
  <si>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</si>
  <si>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</si>
  <si>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</si>
  <si>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</si>
  <si>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</si>
  <si>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</si>
  <si>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</si>
  <si>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</si>
  <si>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</si>
  <si>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</si>
  <si>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</si>
  <si>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</si>
  <si>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</si>
  <si>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</si>
  <si>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</si>
  <si>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</si>
  <si>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</si>
  <si>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</si>
  <si>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</si>
  <si>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</si>
  <si>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</si>
  <si>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</si>
  <si>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</si>
  <si>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</si>
  <si>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</si>
  <si>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</si>
  <si>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</si>
  <si>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</si>
  <si>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</si>
  <si>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</si>
  <si>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</si>
  <si>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</si>
  <si>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</si>
  <si>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</si>
  <si>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</si>
  <si>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</si>
  <si>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</si>
  <si>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</si>
  <si>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</si>
  <si>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</si>
  <si>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</si>
  <si>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</si>
  <si>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</si>
  <si>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</si>
  <si>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</si>
  <si>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</si>
  <si>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</si>
  <si>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</si>
  <si>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</si>
  <si>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</si>
  <si>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</si>
  <si>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</si>
  <si>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</si>
  <si>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</si>
  <si>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</si>
  <si>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</si>
  <si>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</si>
  <si>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</si>
  <si>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</si>
  <si>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</si>
  <si>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</si>
  <si>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</si>
  <si>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</si>
  <si>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</si>
  <si>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</si>
  <si>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</si>
  <si>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</si>
  <si>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</si>
  <si>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</si>
  <si>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</si>
  <si>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</si>
  <si>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</si>
  <si>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</si>
  <si>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</si>
  <si>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</si>
  <si>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</si>
  <si>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</si>
  <si>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</si>
  <si>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</si>
  <si>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</si>
  <si>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</si>
  <si>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</si>
  <si>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</si>
  <si>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</si>
  <si>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</si>
  <si>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</si>
  <si>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</si>
  <si>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</si>
  <si>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</si>
  <si>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</si>
  <si>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</si>
  <si>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</si>
  <si>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</si>
  <si>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</si>
  <si>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</si>
  <si>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</si>
  <si>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</si>
  <si>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</si>
  <si>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</si>
  <si>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</si>
  <si>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</si>
  <si>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</si>
  <si>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</si>
  <si>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</si>
  <si>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</si>
  <si>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</si>
  <si>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</si>
  <si>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</si>
  <si>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</si>
  <si>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</si>
  <si>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</si>
  <si>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</si>
  <si>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</si>
  <si>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</si>
  <si>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</si>
  <si>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</si>
  <si>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</si>
  <si>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</si>
  <si>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</si>
  <si>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</si>
  <si>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</si>
  <si>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</si>
  <si>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</si>
  <si>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</si>
  <si>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</si>
  <si>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</si>
  <si>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</si>
  <si>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</si>
  <si>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</si>
  <si>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</si>
  <si>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</si>
  <si>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</si>
  <si>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</si>
  <si>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</si>
  <si>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</si>
  <si>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</si>
  <si>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</si>
  <si>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</si>
  <si>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</si>
  <si>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</si>
  <si>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</si>
  <si>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</si>
  <si>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</si>
  <si>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</si>
  <si>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</si>
  <si>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</si>
  <si>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</si>
  <si>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</si>
  <si>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</si>
  <si>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</si>
  <si>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</si>
  <si>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</si>
  <si>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</si>
  <si>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</si>
  <si>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</si>
  <si>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</si>
  <si>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</si>
  <si>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</si>
  <si>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</si>
  <si>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</si>
  <si>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</si>
  <si>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</si>
  <si>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</si>
  <si>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</si>
  <si>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</si>
  <si>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</si>
  <si>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</si>
  <si>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</si>
  <si>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</si>
  <si>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</si>
  <si>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</si>
  <si>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</si>
  <si>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</si>
  <si>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</si>
  <si>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</si>
  <si>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</si>
  <si>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</si>
  <si>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</si>
  <si>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</si>
  <si>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</si>
  <si>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</si>
  <si>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</si>
  <si>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</si>
  <si>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</si>
  <si>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</si>
  <si>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</si>
  <si>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</si>
  <si>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</si>
  <si>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</si>
  <si>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</si>
  <si>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</si>
  <si>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</si>
  <si>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</si>
  <si>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</si>
  <si>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</si>
  <si>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</si>
  <si>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</si>
  <si>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</si>
  <si>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</si>
  <si>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</si>
  <si>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</si>
  <si>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</si>
  <si>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</si>
  <si>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</si>
  <si>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</si>
  <si>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</si>
  <si>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</si>
  <si>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</si>
  <si>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</si>
  <si>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</si>
  <si>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</si>
  <si>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</si>
  <si>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</si>
  <si>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</si>
  <si>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</si>
  <si>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</si>
  <si>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</si>
  <si>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</si>
  <si>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</si>
  <si>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</si>
  <si>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</si>
  <si>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</si>
  <si>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</si>
  <si>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</si>
  <si>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</si>
  <si>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</si>
  <si>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</si>
  <si>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</si>
  <si>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</si>
  <si>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</si>
  <si>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</si>
  <si>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</si>
  <si>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</si>
  <si>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</si>
  <si>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</si>
  <si>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</si>
  <si>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</si>
  <si>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</si>
  <si>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</si>
  <si>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</si>
  <si>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</si>
  <si>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</si>
  <si>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</si>
  <si>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</si>
  <si>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</si>
  <si>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</si>
  <si>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</si>
  <si>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</si>
  <si>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</si>
  <si>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</si>
  <si>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</si>
  <si>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</si>
  <si>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</si>
  <si>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</si>
  <si>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</si>
  <si>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</si>
  <si>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</si>
  <si>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</si>
  <si>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</si>
  <si>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</si>
  <si>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</si>
  <si>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</si>
  <si>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</si>
  <si>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</si>
  <si>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</si>
  <si>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</si>
  <si>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</si>
  <si>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</si>
  <si>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</si>
  <si>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</si>
  <si>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</si>
  <si>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</si>
  <si>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</si>
  <si>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</si>
  <si>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</si>
  <si>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</si>
  <si>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</si>
  <si>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</si>
  <si>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</si>
  <si>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</si>
  <si>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</si>
  <si>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</si>
  <si>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</si>
  <si>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</si>
  <si>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</si>
  <si>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</si>
  <si>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</si>
  <si>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</si>
  <si>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</si>
  <si>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</si>
  <si>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</si>
  <si>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</si>
  <si>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</si>
  <si>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</si>
  <si>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</si>
  <si>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</si>
  <si>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</si>
  <si>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</si>
  <si>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</si>
  <si>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</si>
  <si>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</si>
  <si>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</si>
  <si>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</si>
  <si>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</si>
  <si>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</si>
  <si>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</si>
  <si>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</si>
  <si>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</si>
  <si>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</si>
  <si>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</si>
  <si>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</si>
  <si>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</si>
  <si>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</si>
  <si>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</si>
  <si>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</si>
  <si>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</si>
  <si>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</si>
  <si>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</si>
  <si>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</si>
  <si>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</si>
  <si>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</si>
  <si>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</si>
  <si>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</si>
  <si>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</si>
  <si>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</si>
  <si>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</si>
  <si>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</si>
  <si>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</si>
  <si>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</si>
  <si>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</si>
  <si>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</si>
  <si>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</si>
  <si>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</si>
  <si>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</si>
  <si>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</si>
  <si>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</si>
  <si>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</si>
  <si>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</si>
  <si>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</si>
  <si>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</si>
  <si>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</si>
  <si>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</si>
  <si>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</si>
  <si>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</si>
  <si>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</si>
  <si>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</si>
  <si>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</si>
  <si>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</si>
  <si>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</si>
  <si>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</si>
  <si>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</si>
  <si>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</si>
  <si>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</si>
  <si>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</si>
  <si>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</si>
  <si>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</si>
  <si>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</si>
  <si>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</si>
  <si>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</si>
  <si>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</si>
  <si>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</si>
  <si>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</si>
  <si>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</si>
  <si>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</si>
  <si>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</si>
  <si>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</si>
  <si>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</si>
  <si>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</si>
  <si>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</si>
  <si>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</si>
  <si>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</si>
  <si>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</si>
  <si>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</si>
  <si>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</si>
  <si>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</si>
  <si>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</si>
  <si>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</si>
  <si>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</si>
  <si>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</si>
  <si>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</si>
  <si>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</si>
  <si>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</si>
  <si>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</si>
  <si>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</si>
  <si>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</si>
  <si>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</si>
  <si>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</si>
  <si>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</si>
  <si>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</si>
  <si>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</si>
  <si>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</si>
  <si>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</si>
  <si>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</si>
  <si>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</si>
  <si>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</si>
  <si>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</si>
  <si>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</si>
  <si>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</si>
  <si>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</si>
  <si>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</si>
  <si>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</si>
  <si>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</si>
  <si>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</si>
  <si>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</si>
  <si>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</si>
  <si>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</si>
  <si>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</si>
  <si>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</si>
  <si>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</si>
  <si>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</si>
  <si>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</si>
  <si>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</si>
  <si>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</si>
  <si>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</si>
  <si>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</si>
  <si>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</si>
  <si>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</si>
  <si>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</si>
  <si>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</si>
  <si>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</si>
  <si>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</si>
  <si>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</si>
  <si>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</si>
  <si>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</si>
  <si>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</si>
  <si>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</si>
  <si>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</si>
  <si>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</si>
  <si>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</si>
  <si>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</si>
  <si>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</si>
  <si>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</si>
  <si>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</si>
  <si>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</si>
  <si>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</si>
  <si>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</si>
  <si>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</si>
  <si>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</si>
  <si>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</si>
  <si>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</si>
  <si>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</si>
  <si>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</si>
  <si>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</si>
  <si>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</si>
  <si>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</si>
  <si>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</si>
  <si>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</si>
  <si>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</si>
  <si>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</si>
  <si>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</si>
  <si>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</si>
  <si>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</si>
  <si>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</si>
  <si>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</si>
  <si>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</si>
  <si>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</si>
  <si>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</si>
  <si>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</si>
  <si>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</si>
  <si>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</si>
  <si>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</si>
  <si>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</si>
  <si>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</si>
  <si>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</si>
  <si>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</si>
  <si>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</si>
  <si>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</si>
  <si>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</si>
  <si>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</si>
  <si>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</si>
  <si>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</si>
  <si>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</si>
  <si>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</si>
  <si>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</si>
  <si>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</si>
  <si>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</si>
  <si>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</si>
  <si>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</si>
  <si>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</si>
  <si>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</si>
  <si>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</si>
  <si>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</si>
  <si>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</si>
  <si>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</si>
  <si>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</si>
  <si>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</si>
  <si>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</si>
  <si>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</si>
  <si>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</si>
  <si>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</si>
  <si>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</si>
  <si>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</si>
  <si>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</si>
  <si>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</si>
  <si>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</si>
  <si>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</si>
  <si>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</si>
  <si>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</si>
  <si>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</si>
  <si>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</si>
  <si>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</si>
  <si>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</si>
  <si>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</si>
  <si>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</si>
  <si>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</si>
  <si>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</si>
  <si>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</si>
  <si>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</si>
  <si>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</si>
  <si>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</si>
  <si>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</si>
  <si>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</si>
  <si>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</si>
  <si>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</si>
  <si>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</si>
  <si>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</si>
  <si>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</si>
  <si>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</si>
  <si>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</si>
  <si>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</si>
  <si>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</si>
  <si>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</si>
  <si>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</si>
  <si>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</si>
  <si>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</si>
  <si>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</si>
  <si>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</si>
  <si>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</si>
  <si>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</si>
  <si>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</si>
  <si>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</si>
  <si>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</si>
  <si>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</si>
  <si>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</si>
  <si>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</si>
  <si>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</si>
  <si>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</si>
  <si>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</si>
  <si>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</si>
  <si>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</si>
  <si>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</si>
  <si>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</si>
  <si>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</si>
  <si>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</si>
  <si>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</si>
  <si>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</si>
  <si>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</si>
  <si>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</si>
  <si>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</si>
  <si>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</si>
  <si>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</si>
  <si>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</si>
  <si>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</si>
  <si>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</si>
  <si>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</si>
  <si>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</si>
  <si>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</si>
  <si>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</si>
  <si>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</si>
  <si>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</si>
  <si>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</si>
  <si>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</si>
  <si>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</si>
  <si>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</si>
  <si>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</si>
  <si>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</si>
  <si>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</si>
  <si>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</si>
  <si>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</si>
  <si>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</si>
  <si>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</si>
  <si>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</si>
  <si>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</si>
  <si>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</si>
  <si>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</si>
  <si>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</si>
  <si>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</si>
  <si>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</si>
  <si>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</si>
  <si>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</si>
  <si>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#14 - Amended Budget was approved by the board and filed with Pike County prior to 6/30/19 but was not filed with ISBE until 7/16/19</t>
  </si>
  <si>
    <t>Pike, Adams</t>
  </si>
  <si>
    <t>P.O. Box 439</t>
  </si>
  <si>
    <t xml:space="preserve">Griggsville   </t>
  </si>
  <si>
    <t>magelitzc@griggsvilleperry.org</t>
  </si>
  <si>
    <t>Kent Hawley</t>
  </si>
  <si>
    <t>hawleyk@griggsvilleperry.org</t>
  </si>
  <si>
    <t>217-833-2352</t>
  </si>
  <si>
    <t>217-833-2354</t>
  </si>
  <si>
    <t>Zumbahlen, Eyth, Surratt, Foote &amp; Flynn, Ltd.</t>
  </si>
  <si>
    <t>Suzanne Steckel</t>
  </si>
  <si>
    <t>1395 Lincoln Ave</t>
  </si>
  <si>
    <t>Jacksonville</t>
  </si>
  <si>
    <t xml:space="preserve">IL </t>
  </si>
  <si>
    <t>217-245-5121</t>
  </si>
  <si>
    <t>217-243-3356</t>
  </si>
  <si>
    <t>ssteckel@zescpa.com</t>
  </si>
  <si>
    <t>Four Rivers Special Education</t>
  </si>
  <si>
    <t>Athletics - Pikeland CUSD #10 &amp; Western School District</t>
  </si>
  <si>
    <t>O'Donnell's Pest Control</t>
  </si>
  <si>
    <t>20-2540-300</t>
  </si>
  <si>
    <t>O&amp;M-Support Service-Purchase Service</t>
  </si>
  <si>
    <t>LB Landscapes</t>
  </si>
  <si>
    <t>Griggsville Bus Service</t>
  </si>
  <si>
    <t>40-2550-300</t>
  </si>
  <si>
    <t>TR-Support Service-Purchase Service</t>
  </si>
  <si>
    <t>Wendelin Consulting Group</t>
  </si>
  <si>
    <t>10-2660-300</t>
  </si>
  <si>
    <t>ED-Support Service-Purchase Service</t>
  </si>
  <si>
    <t>2004 Qualified Zone Bond</t>
  </si>
  <si>
    <t>2010 Life Safety/Refunding Bond</t>
  </si>
  <si>
    <t>4,3</t>
  </si>
  <si>
    <t>2015 General Obligation Bond</t>
  </si>
  <si>
    <t>2016 General Obligation Bond</t>
  </si>
  <si>
    <t>2017 Working Cash Bond</t>
  </si>
  <si>
    <t>Revenues, Line 72 - Educational Fund - Extra Milk/Juice</t>
  </si>
  <si>
    <t>Revenues, Line 91 - Educational Fund - P.E. Uniforms</t>
  </si>
  <si>
    <t>Revenues, Line 106 - Educational Fund - Sale of Items</t>
  </si>
  <si>
    <t>Revenues, Line 107 - Educational Fund - Credit Card Rebate, Etc.</t>
  </si>
  <si>
    <t>Revenues, Line 168 - Educational Fund - Library Grant</t>
  </si>
  <si>
    <t>Revenues, Line 203 - Educational Fund - School Improvements</t>
  </si>
  <si>
    <t>Revenues, Line 265 - Educational Fund - REAP Grant</t>
  </si>
  <si>
    <t>Expenditures, Line 171 - Other Objects - Agent and Wire Fee</t>
  </si>
  <si>
    <t>066-004993</t>
  </si>
  <si>
    <t>Zumbahlen, Eyth, Surratt, Foote, &amp; Flynn LTD</t>
  </si>
  <si>
    <t>Griggsville-Perry CUSD 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</si>
</sst>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911802</xdr:colOff>
          <xdr:row>9</xdr:row>
          <xdr:rowOff>61480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1540452</xdr:colOff>
          <xdr:row>4</xdr:row>
          <xdr:rowOff>153266</xdr:rowOff>
        </xdr:from>
        <xdr:to>
          <xdr:col>1</xdr:col>
          <xdr:colOff>2454852</xdr:colOff>
          <xdr:row>9</xdr:row>
          <xdr:rowOff>42430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2" t="s">
        <v>405</v>
      </c>
      <c r="J1" s="1983"/>
      <c r="K1" s="1983"/>
      <c r="L1" s="1983"/>
      <c r="M1" s="1983"/>
      <c r="N1" s="1983"/>
      <c r="O1" s="1983"/>
      <c r="P1" s="1983"/>
      <c r="Q1" s="1983"/>
      <c r="R1" s="1983"/>
      <c r="S1" s="1983"/>
    </row>
    <row r="2" spans="1:28" ht="12" customHeight="1" x14ac:dyDescent="0.2">
      <c r="A2" s="47" t="s">
        <v>1993</v>
      </c>
      <c r="D2" s="48"/>
      <c r="I2" s="1984" t="s">
        <v>979</v>
      </c>
      <c r="J2" s="1983"/>
      <c r="K2" s="1983"/>
      <c r="L2" s="1983"/>
      <c r="M2" s="1983"/>
      <c r="N2" s="1983"/>
      <c r="O2" s="1983"/>
      <c r="P2" s="1983"/>
      <c r="Q2" s="1983"/>
      <c r="R2" s="1983"/>
      <c r="S2" s="1983"/>
    </row>
    <row r="3" spans="1:28" ht="12" customHeight="1" x14ac:dyDescent="0.2">
      <c r="A3" s="155" t="s">
        <v>1945</v>
      </c>
      <c r="B3" s="156"/>
      <c r="C3" s="156"/>
      <c r="D3" s="157"/>
      <c r="I3" s="1984" t="s">
        <v>52</v>
      </c>
      <c r="J3" s="1983"/>
      <c r="K3" s="1983"/>
      <c r="L3" s="1983"/>
      <c r="M3" s="1983"/>
      <c r="N3" s="1983"/>
      <c r="O3" s="1983"/>
      <c r="P3" s="1983"/>
      <c r="Q3" s="1983"/>
      <c r="R3" s="1983"/>
      <c r="S3" s="1983"/>
    </row>
    <row r="4" spans="1:28" ht="12" customHeight="1" x14ac:dyDescent="0.2">
      <c r="A4" s="37"/>
      <c r="I4" s="1984" t="s">
        <v>524</v>
      </c>
      <c r="J4" s="1983"/>
      <c r="K4" s="1983"/>
      <c r="L4" s="1983"/>
      <c r="M4" s="1983"/>
      <c r="N4" s="1983"/>
      <c r="O4" s="1983"/>
      <c r="P4" s="1983"/>
      <c r="Q4" s="1983"/>
      <c r="R4" s="1983"/>
      <c r="S4" s="1983"/>
    </row>
    <row r="5" spans="1:28" ht="14.1" customHeight="1" x14ac:dyDescent="0.2">
      <c r="B5" s="104" t="s">
        <v>2064</v>
      </c>
      <c r="C5" s="26" t="s">
        <v>910</v>
      </c>
      <c r="D5" s="84"/>
      <c r="E5" s="84"/>
      <c r="H5" s="38"/>
      <c r="I5" s="1992" t="s">
        <v>680</v>
      </c>
      <c r="J5" s="1991"/>
      <c r="K5" s="1991"/>
      <c r="L5" s="1991"/>
      <c r="M5" s="1991"/>
      <c r="N5" s="1991"/>
      <c r="O5" s="1991"/>
      <c r="P5" s="1991"/>
      <c r="Q5" s="1991"/>
      <c r="R5" s="1991"/>
      <c r="S5" s="1991"/>
    </row>
    <row r="6" spans="1:28" ht="14.1" customHeight="1" x14ac:dyDescent="0.2">
      <c r="B6" s="104"/>
      <c r="C6" s="26" t="s">
        <v>911</v>
      </c>
      <c r="D6" s="84"/>
      <c r="E6" s="84"/>
      <c r="I6" s="1990" t="s">
        <v>883</v>
      </c>
      <c r="J6" s="1991"/>
      <c r="K6" s="1991"/>
      <c r="L6" s="1991"/>
      <c r="M6" s="1991"/>
      <c r="N6" s="1991"/>
      <c r="O6" s="1991"/>
      <c r="P6" s="1991"/>
      <c r="Q6" s="1991"/>
      <c r="R6" s="1991"/>
      <c r="S6" s="1991"/>
    </row>
    <row r="7" spans="1:28" ht="12.2" customHeight="1" x14ac:dyDescent="0.2">
      <c r="I7" s="1985">
        <v>43646</v>
      </c>
      <c r="J7" s="1986"/>
      <c r="K7" s="1986"/>
      <c r="L7" s="1986"/>
      <c r="M7" s="1986"/>
      <c r="N7" s="1986"/>
      <c r="O7" s="1986"/>
      <c r="P7" s="1986"/>
      <c r="Q7" s="1986"/>
      <c r="R7" s="1986"/>
      <c r="S7" s="198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7" t="s">
        <v>674</v>
      </c>
      <c r="J9" s="1988"/>
      <c r="K9" s="1988"/>
      <c r="L9" s="1988"/>
      <c r="M9" s="1988"/>
      <c r="N9" s="1988"/>
      <c r="O9" s="1988"/>
      <c r="P9" s="1988"/>
      <c r="Q9" s="1988"/>
      <c r="R9" s="1988"/>
      <c r="S9" s="1989"/>
      <c r="T9" s="2003" t="s">
        <v>533</v>
      </c>
      <c r="U9" s="2004"/>
      <c r="V9" s="2004"/>
      <c r="W9" s="2004"/>
      <c r="X9" s="2004"/>
      <c r="Y9" s="2004"/>
      <c r="Z9" s="2004"/>
      <c r="AA9" s="2005"/>
    </row>
    <row r="10" spans="1:28" ht="13.5" customHeight="1" x14ac:dyDescent="0.2">
      <c r="A10" s="2010" t="s">
        <v>675</v>
      </c>
      <c r="B10" s="2011"/>
      <c r="C10" s="2011"/>
      <c r="D10" s="2011"/>
      <c r="E10" s="2011"/>
      <c r="F10" s="2011"/>
      <c r="G10" s="2011"/>
      <c r="H10" s="2012"/>
      <c r="I10" s="29"/>
      <c r="J10" s="30"/>
      <c r="K10" s="28"/>
      <c r="R10" s="30"/>
      <c r="S10" s="30"/>
      <c r="T10" s="2006"/>
      <c r="U10" s="1991"/>
      <c r="V10" s="1991"/>
      <c r="W10" s="1991"/>
      <c r="X10" s="1991"/>
      <c r="Y10" s="1991"/>
      <c r="Z10" s="1991"/>
      <c r="AA10" s="1997"/>
    </row>
    <row r="11" spans="1:28" ht="14.25" customHeight="1" x14ac:dyDescent="0.2">
      <c r="A11" s="2013" t="s">
        <v>955</v>
      </c>
      <c r="B11" s="2014"/>
      <c r="C11" s="2014"/>
      <c r="D11" s="2014"/>
      <c r="E11" s="2014"/>
      <c r="F11" s="2014"/>
      <c r="G11" s="2014"/>
      <c r="H11" s="2015"/>
      <c r="I11" s="27"/>
      <c r="J11" s="74"/>
      <c r="K11" s="27"/>
      <c r="O11" s="148" t="s">
        <v>2064</v>
      </c>
      <c r="P11" s="100" t="s">
        <v>201</v>
      </c>
      <c r="Q11" s="30"/>
      <c r="R11" s="28"/>
      <c r="S11" s="27"/>
      <c r="T11" s="2007"/>
      <c r="U11" s="2008"/>
      <c r="V11" s="2008"/>
      <c r="W11" s="2008"/>
      <c r="X11" s="2008"/>
      <c r="Y11" s="2008"/>
      <c r="Z11" s="2008"/>
      <c r="AA11" s="2009"/>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7">
        <v>1075004026</v>
      </c>
      <c r="B13" s="2018"/>
      <c r="C13" s="2018"/>
      <c r="D13" s="2018"/>
      <c r="E13" s="2018"/>
      <c r="F13" s="2018"/>
      <c r="G13" s="2018"/>
      <c r="H13" s="2019"/>
      <c r="I13" s="31"/>
      <c r="J13" s="30"/>
      <c r="K13" s="28"/>
      <c r="L13" s="30"/>
      <c r="M13" s="30"/>
      <c r="N13" s="30"/>
      <c r="O13" s="30"/>
      <c r="P13" s="30"/>
      <c r="Q13" s="30"/>
      <c r="R13" s="30"/>
      <c r="S13" s="30"/>
      <c r="T13" s="2022" t="s">
        <v>2074</v>
      </c>
      <c r="U13" s="2023"/>
      <c r="V13" s="2023"/>
      <c r="W13" s="2023"/>
      <c r="X13" s="2023"/>
      <c r="Y13" s="2024"/>
      <c r="Z13" s="2024"/>
      <c r="AA13" s="202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6" t="s">
        <v>2066</v>
      </c>
      <c r="B15" s="2020"/>
      <c r="C15" s="2020"/>
      <c r="D15" s="2020"/>
      <c r="E15" s="2020"/>
      <c r="F15" s="2020"/>
      <c r="G15" s="2020"/>
      <c r="H15" s="2021"/>
      <c r="T15" s="2026" t="s">
        <v>2075</v>
      </c>
      <c r="U15" s="1970"/>
      <c r="V15" s="1970"/>
      <c r="W15" s="1970"/>
      <c r="X15" s="1970"/>
      <c r="Y15" s="2027"/>
      <c r="Z15" s="2027"/>
      <c r="AA15" s="202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6" t="s">
        <v>2110</v>
      </c>
      <c r="B17" s="1977"/>
      <c r="C17" s="1977"/>
      <c r="D17" s="1977"/>
      <c r="E17" s="1977"/>
      <c r="F17" s="1977"/>
      <c r="G17" s="1977"/>
      <c r="H17" s="2002"/>
      <c r="T17" s="2033" t="s">
        <v>2076</v>
      </c>
      <c r="U17" s="2034"/>
      <c r="V17" s="2034"/>
      <c r="W17" s="2034"/>
      <c r="X17" s="2034"/>
      <c r="Y17" s="2034"/>
      <c r="Z17" s="2034"/>
      <c r="AA17" s="2035"/>
    </row>
    <row r="18" spans="1:27" ht="13.5" customHeight="1" x14ac:dyDescent="0.2">
      <c r="A18" s="85" t="s">
        <v>530</v>
      </c>
      <c r="B18" s="76"/>
      <c r="C18" s="72"/>
      <c r="D18" s="76"/>
      <c r="E18" s="76"/>
      <c r="F18" s="76"/>
      <c r="G18" s="76"/>
      <c r="H18" s="56"/>
      <c r="I18" s="2001" t="s">
        <v>676</v>
      </c>
      <c r="J18" s="1952"/>
      <c r="K18" s="1952"/>
      <c r="L18" s="1952"/>
      <c r="M18" s="1952"/>
      <c r="N18" s="1952"/>
      <c r="O18" s="1952"/>
      <c r="P18" s="1952"/>
      <c r="Q18" s="1952"/>
      <c r="R18" s="1952"/>
      <c r="S18" s="1953"/>
      <c r="T18" s="85" t="s">
        <v>711</v>
      </c>
      <c r="U18" s="51"/>
      <c r="V18" s="72"/>
      <c r="W18" s="50"/>
      <c r="X18" s="85" t="s">
        <v>266</v>
      </c>
      <c r="Y18" s="81"/>
      <c r="Z18" s="159" t="s">
        <v>677</v>
      </c>
      <c r="AA18" s="46"/>
    </row>
    <row r="19" spans="1:27" ht="13.5" customHeight="1" x14ac:dyDescent="0.2">
      <c r="A19" s="2016" t="s">
        <v>2067</v>
      </c>
      <c r="B19" s="1962"/>
      <c r="C19" s="1962"/>
      <c r="D19" s="1962"/>
      <c r="E19" s="1962"/>
      <c r="F19" s="1962"/>
      <c r="G19" s="1962"/>
      <c r="H19" s="1942"/>
      <c r="I19" s="30"/>
      <c r="J19" s="99"/>
      <c r="K19" s="40"/>
      <c r="L19" s="38"/>
      <c r="M19" s="112" t="s">
        <v>315</v>
      </c>
      <c r="P19" s="27"/>
      <c r="Q19" s="27"/>
      <c r="R19" s="27"/>
      <c r="S19" s="31"/>
      <c r="T19" s="2016" t="s">
        <v>2077</v>
      </c>
      <c r="U19" s="1941"/>
      <c r="V19" s="1941"/>
      <c r="W19" s="1942"/>
      <c r="X19" s="2031" t="s">
        <v>2078</v>
      </c>
      <c r="Y19" s="2032"/>
      <c r="Z19" s="2029">
        <v>62650</v>
      </c>
      <c r="AA19" s="203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0" t="s">
        <v>2068</v>
      </c>
      <c r="B21" s="1941"/>
      <c r="C21" s="1941"/>
      <c r="D21" s="1941"/>
      <c r="E21" s="1941"/>
      <c r="F21" s="1941"/>
      <c r="G21" s="1941"/>
      <c r="H21" s="1942"/>
      <c r="I21" s="1996" t="s">
        <v>678</v>
      </c>
      <c r="J21" s="1991"/>
      <c r="K21" s="1991"/>
      <c r="L21" s="1991"/>
      <c r="M21" s="1991"/>
      <c r="N21" s="1991"/>
      <c r="O21" s="1991"/>
      <c r="P21" s="1991"/>
      <c r="Q21" s="1991"/>
      <c r="R21" s="1991"/>
      <c r="S21" s="1997"/>
      <c r="T21" s="2040" t="s">
        <v>2079</v>
      </c>
      <c r="U21" s="2041"/>
      <c r="V21" s="2041"/>
      <c r="W21" s="2041"/>
      <c r="X21" s="2046" t="s">
        <v>2080</v>
      </c>
      <c r="Y21" s="2047"/>
      <c r="Z21" s="2047"/>
      <c r="AA21" s="2048"/>
    </row>
    <row r="22" spans="1:27" ht="13.5" customHeight="1" x14ac:dyDescent="0.2">
      <c r="A22" s="87" t="s">
        <v>531</v>
      </c>
      <c r="B22" s="59"/>
      <c r="C22" s="59"/>
      <c r="D22" s="59"/>
      <c r="E22" s="59"/>
      <c r="F22" s="59"/>
      <c r="G22" s="59"/>
      <c r="H22" s="60"/>
      <c r="I22" s="1998" t="s">
        <v>1429</v>
      </c>
      <c r="J22" s="1999"/>
      <c r="K22" s="1999"/>
      <c r="L22" s="1999"/>
      <c r="M22" s="1999"/>
      <c r="N22" s="1999"/>
      <c r="O22" s="1999"/>
      <c r="P22" s="1999"/>
      <c r="Q22" s="1999"/>
      <c r="R22" s="1999"/>
      <c r="S22" s="2000"/>
      <c r="T22" s="85" t="s">
        <v>1516</v>
      </c>
      <c r="U22" s="51"/>
      <c r="V22" s="72"/>
      <c r="W22" s="51"/>
      <c r="X22" s="160" t="s">
        <v>1318</v>
      </c>
      <c r="Z22" s="45"/>
      <c r="AA22" s="46"/>
    </row>
    <row r="23" spans="1:27" ht="13.5" customHeight="1" x14ac:dyDescent="0.2">
      <c r="A23" s="1993" t="s">
        <v>2069</v>
      </c>
      <c r="B23" s="1994"/>
      <c r="C23" s="1994"/>
      <c r="D23" s="1994"/>
      <c r="E23" s="1994"/>
      <c r="F23" s="1994"/>
      <c r="G23" s="1994"/>
      <c r="H23" s="1995"/>
      <c r="T23" s="1976" t="s">
        <v>2108</v>
      </c>
      <c r="U23" s="2039"/>
      <c r="V23" s="2039"/>
      <c r="W23" s="2039"/>
      <c r="X23" s="2043">
        <v>44530</v>
      </c>
      <c r="Y23" s="2044"/>
      <c r="Z23" s="2044"/>
      <c r="AA23" s="2045"/>
    </row>
    <row r="24" spans="1:27" ht="14.1" customHeight="1" x14ac:dyDescent="0.2">
      <c r="A24" s="88" t="s">
        <v>677</v>
      </c>
      <c r="B24" s="49"/>
      <c r="C24" s="49"/>
      <c r="D24" s="49"/>
      <c r="E24" s="49"/>
      <c r="F24" s="49"/>
      <c r="G24" s="49"/>
      <c r="H24" s="61"/>
      <c r="J24" s="1963">
        <f>IF(B5="x",IF(AUDITCHECK!D29="AFR form Incomplete.","",IF(AUDITCHECK!D29="Deficit reduction plan is required.","School District must complete a deficit reduction plan in the 2019-2020 Budget",)),"")</f>
        <v>0</v>
      </c>
      <c r="K24" s="1963"/>
      <c r="L24" s="1963"/>
      <c r="M24" s="1963"/>
      <c r="N24" s="1963"/>
      <c r="O24" s="1963"/>
      <c r="P24" s="1963"/>
      <c r="Q24" s="1963"/>
      <c r="R24" s="1963"/>
      <c r="S24" s="1964"/>
      <c r="T24" s="105" t="s">
        <v>531</v>
      </c>
      <c r="U24" s="106"/>
      <c r="V24" s="106"/>
      <c r="W24" s="106"/>
      <c r="X24" s="107"/>
      <c r="Y24" s="107"/>
      <c r="Z24" s="107"/>
      <c r="AA24" s="108"/>
    </row>
    <row r="25" spans="1:27" ht="14.1" customHeight="1" x14ac:dyDescent="0.2">
      <c r="A25" s="1940">
        <v>62340</v>
      </c>
      <c r="B25" s="1941"/>
      <c r="C25" s="1941"/>
      <c r="D25" s="1941"/>
      <c r="E25" s="1941"/>
      <c r="F25" s="1941"/>
      <c r="G25" s="1941"/>
      <c r="H25" s="1942"/>
      <c r="I25" s="113"/>
      <c r="J25" s="1965"/>
      <c r="K25" s="1965"/>
      <c r="L25" s="1965"/>
      <c r="M25" s="1965"/>
      <c r="N25" s="1965"/>
      <c r="O25" s="1965"/>
      <c r="P25" s="1965"/>
      <c r="Q25" s="1965"/>
      <c r="R25" s="1965"/>
      <c r="S25" s="1966"/>
      <c r="T25" s="2036" t="s">
        <v>2081</v>
      </c>
      <c r="U25" s="2037"/>
      <c r="V25" s="2037"/>
      <c r="W25" s="2037"/>
      <c r="X25" s="2037"/>
      <c r="Y25" s="2037"/>
      <c r="Z25" s="2037"/>
      <c r="AA25" s="203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1" t="s">
        <v>1511</v>
      </c>
      <c r="J27" s="1952"/>
      <c r="K27" s="1952"/>
      <c r="L27" s="1952"/>
      <c r="M27" s="1952"/>
      <c r="N27" s="1952"/>
      <c r="O27" s="1952"/>
      <c r="P27" s="1952"/>
      <c r="Q27" s="1952"/>
      <c r="R27" s="1952"/>
      <c r="S27" s="195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2"/>
      <c r="Q35" s="1941"/>
      <c r="R35" s="194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6" t="s">
        <v>2070</v>
      </c>
      <c r="B38" s="1977"/>
      <c r="C38" s="1977"/>
      <c r="D38" s="1977"/>
      <c r="E38" s="1977"/>
      <c r="F38" s="1941"/>
      <c r="G38" s="1941"/>
      <c r="H38" s="1942"/>
      <c r="I38" s="1969"/>
      <c r="J38" s="1970"/>
      <c r="K38" s="1970"/>
      <c r="L38" s="1970"/>
      <c r="M38" s="1970"/>
      <c r="N38" s="1970"/>
      <c r="O38" s="1970"/>
      <c r="P38" s="1971"/>
      <c r="Q38" s="1971"/>
      <c r="R38" s="1971"/>
      <c r="S38" s="1972"/>
      <c r="T38" s="2026"/>
      <c r="U38" s="1970"/>
      <c r="V38" s="1970"/>
      <c r="W38" s="1970"/>
      <c r="X38" s="1971"/>
      <c r="Y38" s="1971"/>
      <c r="Z38" s="1971"/>
      <c r="AA38" s="1972"/>
    </row>
    <row r="39" spans="1:27" ht="12" customHeight="1" x14ac:dyDescent="0.2">
      <c r="A39" s="1946" t="s">
        <v>531</v>
      </c>
      <c r="B39" s="1947"/>
      <c r="C39" s="72"/>
      <c r="D39" s="69"/>
      <c r="E39" s="69"/>
      <c r="F39" s="79"/>
      <c r="G39" s="69"/>
      <c r="H39" s="56"/>
      <c r="I39" s="1946" t="s">
        <v>531</v>
      </c>
      <c r="J39" s="1947"/>
      <c r="K39" s="1947"/>
      <c r="L39" s="1947"/>
      <c r="M39" s="1947"/>
      <c r="N39" s="67"/>
      <c r="O39" s="72"/>
      <c r="P39" s="72"/>
      <c r="Q39" s="78"/>
      <c r="R39" s="72"/>
      <c r="S39" s="56"/>
      <c r="T39" s="72" t="s">
        <v>531</v>
      </c>
      <c r="U39" s="51"/>
      <c r="V39" s="72"/>
      <c r="W39" s="50"/>
      <c r="X39" s="78"/>
      <c r="Y39" s="45"/>
      <c r="Z39" s="45"/>
      <c r="AA39" s="46"/>
    </row>
    <row r="40" spans="1:27" ht="13.5" customHeight="1" x14ac:dyDescent="0.2">
      <c r="A40" s="1954" t="s">
        <v>2071</v>
      </c>
      <c r="B40" s="1955"/>
      <c r="C40" s="1956"/>
      <c r="D40" s="1956"/>
      <c r="E40" s="1956"/>
      <c r="F40" s="1957"/>
      <c r="G40" s="1957"/>
      <c r="H40" s="1958"/>
      <c r="I40" s="1979"/>
      <c r="J40" s="1980"/>
      <c r="K40" s="1980"/>
      <c r="L40" s="1980"/>
      <c r="M40" s="1980"/>
      <c r="N40" s="1980"/>
      <c r="O40" s="1980"/>
      <c r="P40" s="1980"/>
      <c r="Q40" s="1980"/>
      <c r="R40" s="1980"/>
      <c r="S40" s="1981"/>
      <c r="T40" s="1979"/>
      <c r="U40" s="2042"/>
      <c r="V40" s="1980"/>
      <c r="W40" s="1980"/>
      <c r="X40" s="1980"/>
      <c r="Y40" s="1980"/>
      <c r="Z40" s="1980"/>
      <c r="AA40" s="198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8" t="s">
        <v>2072</v>
      </c>
      <c r="B42" s="1960"/>
      <c r="C42" s="1961"/>
      <c r="D42" s="1959" t="s">
        <v>2073</v>
      </c>
      <c r="E42" s="1960"/>
      <c r="F42" s="1960"/>
      <c r="G42" s="1960"/>
      <c r="H42" s="1961"/>
      <c r="I42" s="1943"/>
      <c r="J42" s="1944"/>
      <c r="K42" s="1944"/>
      <c r="L42" s="1944"/>
      <c r="M42" s="1944"/>
      <c r="N42" s="1944"/>
      <c r="O42" s="1945"/>
      <c r="P42" s="1978"/>
      <c r="Q42" s="1944"/>
      <c r="R42" s="1944"/>
      <c r="S42" s="1945"/>
      <c r="T42" s="1943"/>
      <c r="U42" s="1944"/>
      <c r="V42" s="1944"/>
      <c r="W42" s="1945"/>
      <c r="X42" s="1978"/>
      <c r="Y42" s="1944"/>
      <c r="Z42" s="1944"/>
      <c r="AA42" s="194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3"/>
      <c r="B44" s="1974"/>
      <c r="C44" s="1974"/>
      <c r="D44" s="1974"/>
      <c r="E44" s="1974"/>
      <c r="F44" s="1974"/>
      <c r="G44" s="1974"/>
      <c r="H44" s="1975"/>
      <c r="I44" s="1948"/>
      <c r="J44" s="1949"/>
      <c r="K44" s="1949"/>
      <c r="L44" s="1949"/>
      <c r="M44" s="1949"/>
      <c r="N44" s="1949"/>
      <c r="O44" s="1949"/>
      <c r="P44" s="1949"/>
      <c r="Q44" s="1949"/>
      <c r="R44" s="1949"/>
      <c r="S44" s="1950"/>
      <c r="T44" s="1948"/>
      <c r="U44" s="1967"/>
      <c r="V44" s="1967"/>
      <c r="W44" s="1967"/>
      <c r="X44" s="1967"/>
      <c r="Y44" s="1967"/>
      <c r="Z44" s="1949"/>
      <c r="AA44" s="1950"/>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61" zoomScale="110" zoomScaleNormal="110" workbookViewId="0">
      <selection activeCell="X24" sqref="X2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3" colorId="8" zoomScale="110" zoomScaleNormal="110" workbookViewId="0">
      <selection activeCell="C115" sqref="C11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t="s">
        <v>2064</v>
      </c>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t="s">
        <v>2064</v>
      </c>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2064</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t="s">
        <v>2065</v>
      </c>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2109</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3" colorId="8" zoomScale="110" zoomScaleNormal="110" workbookViewId="0">
      <selection activeCell="J29" sqref="J2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44381846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1.7843600000000001E-2</v>
      </c>
      <c r="E10" s="356" t="s">
        <v>1005</v>
      </c>
      <c r="F10" s="355">
        <v>5.5760999999999996E-3</v>
      </c>
      <c r="G10" s="356" t="s">
        <v>1005</v>
      </c>
      <c r="H10" s="355">
        <v>1.9395E-3</v>
      </c>
      <c r="I10" s="356" t="s">
        <v>1006</v>
      </c>
      <c r="J10" s="1732">
        <f>ROUND(D10+F10+H10,5)</f>
        <v>2.5360000000000001E-2</v>
      </c>
      <c r="K10" s="222"/>
      <c r="L10" s="355">
        <v>4.8490000000000002E-4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3901811</v>
      </c>
      <c r="E16" s="356"/>
      <c r="F16" s="1733">
        <f>SUM('Acct Summary 7-8'!C17,'Acct Summary 7-8'!D17,'Acct Summary 7-8'!F17)</f>
        <v>3936704</v>
      </c>
      <c r="G16" s="356"/>
      <c r="H16" s="1733">
        <f>SUM(D16-F16)</f>
        <v>-34893</v>
      </c>
      <c r="I16" s="222"/>
      <c r="J16" s="1733">
        <f>SUM('Acct Summary 7-8'!C81,'Acct Summary 7-8'!D81,'Acct Summary 7-8'!F81,'Acct Summary 7-8'!I81)</f>
        <v>883790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6124694.7480000006</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2947300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3" zoomScale="110" zoomScaleNormal="110" workbookViewId="0">
      <selection activeCell="H18" sqref="H1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Griggsville-Perry CUSD 4</v>
      </c>
      <c r="E7" s="391"/>
      <c r="G7" s="252"/>
      <c r="H7" s="387"/>
      <c r="I7" s="387"/>
      <c r="J7" s="387"/>
      <c r="K7" s="387"/>
      <c r="L7" s="329"/>
      <c r="M7" s="329"/>
      <c r="N7" s="329"/>
      <c r="O7" s="329"/>
      <c r="P7" s="329"/>
    </row>
    <row r="8" spans="1:18" ht="12.75" x14ac:dyDescent="0.2">
      <c r="A8" s="329"/>
      <c r="B8" s="329"/>
      <c r="C8" s="389" t="s">
        <v>1125</v>
      </c>
      <c r="D8" s="392">
        <f>COVER!A13</f>
        <v>1075004026</v>
      </c>
      <c r="E8" s="393"/>
      <c r="G8" s="329"/>
      <c r="H8" s="329"/>
      <c r="I8" s="329"/>
      <c r="J8" s="329"/>
      <c r="K8" s="329"/>
      <c r="L8" s="329"/>
      <c r="M8" s="329"/>
      <c r="N8" s="329"/>
      <c r="O8" s="329"/>
      <c r="P8" s="329"/>
    </row>
    <row r="9" spans="1:18" ht="12.75" x14ac:dyDescent="0.2">
      <c r="A9" s="329"/>
      <c r="B9" s="329"/>
      <c r="C9" s="389" t="s">
        <v>713</v>
      </c>
      <c r="D9" s="394" t="str">
        <f>COVER!A15</f>
        <v>Pike, 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883790</v>
      </c>
      <c r="I12" s="404"/>
      <c r="J12" s="404"/>
      <c r="K12" s="405">
        <f>TRUNC((H12/H13*100000),5)/100000</f>
        <v>0.2265076396</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3901811</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3936704</v>
      </c>
      <c r="I17" s="404"/>
      <c r="J17" s="416"/>
      <c r="K17" s="405">
        <f>TRUNC((H17/H18*100000),5)/100000</f>
        <v>1.0089427704</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3901811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14.1463588</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883790</v>
      </c>
      <c r="I24" s="422"/>
      <c r="J24" s="422"/>
      <c r="K24" s="423">
        <f>TRUNC(((H24/H25*100000)/100000),2)</f>
        <v>80.81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10935.28889</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956695.07238000003</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2947300</v>
      </c>
      <c r="I32" s="420"/>
      <c r="J32" s="420"/>
      <c r="K32" s="423">
        <f>TRUNC(100-((((H32/H33*100))*100)/100),2)</f>
        <v>51.87</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6124694.7480000006</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2" activePane="bottomLeft" state="frozen"/>
      <selection pane="bottomLeft" activeCell="L34" sqref="L3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552912</v>
      </c>
      <c r="D4" s="466">
        <v>77278</v>
      </c>
      <c r="E4" s="466">
        <v>379</v>
      </c>
      <c r="F4" s="466">
        <v>250211</v>
      </c>
      <c r="G4" s="466">
        <v>201539</v>
      </c>
      <c r="H4" s="466">
        <v>261129</v>
      </c>
      <c r="I4" s="466">
        <v>3389</v>
      </c>
      <c r="J4" s="467">
        <v>265933</v>
      </c>
      <c r="K4" s="466">
        <v>90372</v>
      </c>
      <c r="L4" s="466">
        <v>178386</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552912</v>
      </c>
      <c r="D13" s="1737">
        <f t="shared" ref="D13:L13" si="0">SUM(D4:D12)</f>
        <v>77278</v>
      </c>
      <c r="E13" s="1737">
        <f t="shared" si="0"/>
        <v>379</v>
      </c>
      <c r="F13" s="1737">
        <f t="shared" si="0"/>
        <v>250211</v>
      </c>
      <c r="G13" s="1737">
        <f t="shared" si="0"/>
        <v>201539</v>
      </c>
      <c r="H13" s="1737">
        <f t="shared" si="0"/>
        <v>261129</v>
      </c>
      <c r="I13" s="1737">
        <f t="shared" si="0"/>
        <v>3389</v>
      </c>
      <c r="J13" s="1737">
        <f t="shared" si="0"/>
        <v>265933</v>
      </c>
      <c r="K13" s="1737">
        <f t="shared" si="0"/>
        <v>90372</v>
      </c>
      <c r="L13" s="1737">
        <f t="shared" si="0"/>
        <v>178386</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52535</v>
      </c>
      <c r="N16" s="484"/>
    </row>
    <row r="17" spans="1:14" s="485" customFormat="1" ht="12.75" customHeight="1" x14ac:dyDescent="0.2">
      <c r="A17" s="482" t="s">
        <v>1403</v>
      </c>
      <c r="B17" s="483">
        <v>230</v>
      </c>
      <c r="C17" s="477"/>
      <c r="D17" s="477"/>
      <c r="E17" s="477"/>
      <c r="F17" s="477"/>
      <c r="G17" s="477"/>
      <c r="H17" s="477"/>
      <c r="I17" s="477"/>
      <c r="J17" s="477"/>
      <c r="K17" s="477"/>
      <c r="L17" s="477"/>
      <c r="M17" s="467">
        <v>8795952</v>
      </c>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1111569</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379</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2946921</v>
      </c>
    </row>
    <row r="23" spans="1:14" ht="13.5" customHeight="1" thickBot="1" x14ac:dyDescent="0.25">
      <c r="A23" s="1736" t="s">
        <v>643</v>
      </c>
      <c r="B23" s="1741"/>
      <c r="C23" s="468"/>
      <c r="D23" s="468"/>
      <c r="E23" s="468"/>
      <c r="F23" s="468"/>
      <c r="G23" s="468"/>
      <c r="H23" s="468"/>
      <c r="I23" s="468"/>
      <c r="J23" s="468"/>
      <c r="K23" s="468"/>
      <c r="L23" s="468"/>
      <c r="M23" s="1688">
        <f>SUM(M15:M22)</f>
        <v>9960056</v>
      </c>
      <c r="N23" s="1688">
        <f>SUM(N21:N22)</f>
        <v>2947300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178386</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178386</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2947300</v>
      </c>
    </row>
    <row r="37" spans="1:14" ht="13.5" thickBot="1" x14ac:dyDescent="0.25">
      <c r="A37" s="1736" t="s">
        <v>653</v>
      </c>
      <c r="B37" s="1741"/>
      <c r="C37" s="477"/>
      <c r="D37" s="477"/>
      <c r="E37" s="477"/>
      <c r="F37" s="477"/>
      <c r="G37" s="477"/>
      <c r="H37" s="477"/>
      <c r="I37" s="477"/>
      <c r="J37" s="477"/>
      <c r="K37" s="477"/>
      <c r="L37" s="480"/>
      <c r="M37" s="468"/>
      <c r="N37" s="1688">
        <f>SUM(N36:N36)</f>
        <v>2947300</v>
      </c>
    </row>
    <row r="38" spans="1:14" s="329" customFormat="1" ht="13.5" customHeight="1" thickTop="1" x14ac:dyDescent="0.2">
      <c r="A38" s="496" t="s">
        <v>420</v>
      </c>
      <c r="B38" s="483">
        <v>714</v>
      </c>
      <c r="C38" s="466">
        <v>20979</v>
      </c>
      <c r="D38" s="466"/>
      <c r="E38" s="466"/>
      <c r="F38" s="466"/>
      <c r="G38" s="466">
        <v>48956</v>
      </c>
      <c r="H38" s="466">
        <v>261129</v>
      </c>
      <c r="I38" s="466"/>
      <c r="J38" s="467"/>
      <c r="K38" s="466"/>
      <c r="L38" s="481"/>
      <c r="M38" s="497"/>
      <c r="N38" s="497"/>
    </row>
    <row r="39" spans="1:14" s="329" customFormat="1" ht="13.5" customHeight="1" x14ac:dyDescent="0.2">
      <c r="A39" s="496" t="s">
        <v>342</v>
      </c>
      <c r="B39" s="483">
        <v>730</v>
      </c>
      <c r="C39" s="466">
        <f>552912-20979</f>
        <v>531933</v>
      </c>
      <c r="D39" s="466">
        <v>77278</v>
      </c>
      <c r="E39" s="466">
        <v>379</v>
      </c>
      <c r="F39" s="466">
        <v>250211</v>
      </c>
      <c r="G39" s="466">
        <f>201539-48956</f>
        <v>152583</v>
      </c>
      <c r="H39" s="466"/>
      <c r="I39" s="466">
        <v>3389</v>
      </c>
      <c r="J39" s="467">
        <v>265933</v>
      </c>
      <c r="K39" s="466">
        <v>90372</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9960056</v>
      </c>
      <c r="N40" s="497"/>
    </row>
    <row r="41" spans="1:14" ht="13.5" customHeight="1" thickBot="1" x14ac:dyDescent="0.25">
      <c r="A41" s="1736" t="s">
        <v>655</v>
      </c>
      <c r="B41" s="1706"/>
      <c r="C41" s="1688">
        <f>(SUM(C34,C37,C38,C39))</f>
        <v>552912</v>
      </c>
      <c r="D41" s="1688">
        <f t="shared" ref="D41:L41" si="2">SUM(D34,D37,D38:D39)</f>
        <v>77278</v>
      </c>
      <c r="E41" s="1688">
        <f t="shared" si="2"/>
        <v>379</v>
      </c>
      <c r="F41" s="1688">
        <f t="shared" si="2"/>
        <v>250211</v>
      </c>
      <c r="G41" s="1688">
        <f t="shared" si="2"/>
        <v>201539</v>
      </c>
      <c r="H41" s="1688">
        <f t="shared" si="2"/>
        <v>261129</v>
      </c>
      <c r="I41" s="1688">
        <f t="shared" si="2"/>
        <v>3389</v>
      </c>
      <c r="J41" s="1688">
        <f t="shared" si="2"/>
        <v>265933</v>
      </c>
      <c r="K41" s="1688">
        <f t="shared" si="2"/>
        <v>90372</v>
      </c>
      <c r="L41" s="1688">
        <f t="shared" si="2"/>
        <v>178386</v>
      </c>
      <c r="M41" s="1688">
        <f>SUM(M40)</f>
        <v>9960056</v>
      </c>
      <c r="N41" s="1688">
        <f>SUM(N37)</f>
        <v>2947300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78" activePane="bottomLeft" state="frozen"/>
      <selection pane="bottomLeft" activeCell="C17" sqref="C17:K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1065018</v>
      </c>
      <c r="D4" s="1742">
        <f>'Revenues 9-14'!D109</f>
        <v>278386</v>
      </c>
      <c r="E4" s="1742">
        <f>'Revenues 9-14'!E109</f>
        <v>432435</v>
      </c>
      <c r="F4" s="1742">
        <f>'Revenues 9-14'!F109</f>
        <v>103850</v>
      </c>
      <c r="G4" s="1742">
        <f>'Revenues 9-14'!G109</f>
        <v>147134</v>
      </c>
      <c r="H4" s="1742">
        <f>'Revenues 9-14'!H109</f>
        <v>53454</v>
      </c>
      <c r="I4" s="1742">
        <f>'Revenues 9-14'!I109</f>
        <v>20434</v>
      </c>
      <c r="J4" s="1742">
        <f>'Revenues 9-14'!J109</f>
        <v>514735</v>
      </c>
      <c r="K4" s="1742">
        <f>'Revenues 9-14'!K109</f>
        <v>20434</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1736483</v>
      </c>
      <c r="D6" s="1743">
        <f>'Revenues 9-14'!D170</f>
        <v>7522</v>
      </c>
      <c r="E6" s="1743">
        <f>'Revenues 9-14'!E170</f>
        <v>0</v>
      </c>
      <c r="F6" s="1743">
        <f>'Revenues 9-14'!F170</f>
        <v>252802</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437316</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3238817</v>
      </c>
      <c r="D8" s="1688">
        <f t="shared" ref="D8:K8" si="0">SUM(D4:D7)</f>
        <v>285908</v>
      </c>
      <c r="E8" s="1688">
        <f t="shared" si="0"/>
        <v>432435</v>
      </c>
      <c r="F8" s="1688">
        <f t="shared" si="0"/>
        <v>356652</v>
      </c>
      <c r="G8" s="1688">
        <f t="shared" si="0"/>
        <v>147134</v>
      </c>
      <c r="H8" s="1688">
        <f t="shared" si="0"/>
        <v>53454</v>
      </c>
      <c r="I8" s="1688">
        <f t="shared" si="0"/>
        <v>20434</v>
      </c>
      <c r="J8" s="1688">
        <f t="shared" si="0"/>
        <v>514735</v>
      </c>
      <c r="K8" s="1688">
        <f t="shared" si="0"/>
        <v>20434</v>
      </c>
      <c r="L8" s="347"/>
    </row>
    <row r="9" spans="1:13" ht="15.75" thickTop="1" x14ac:dyDescent="0.2">
      <c r="A9" s="514" t="s">
        <v>1653</v>
      </c>
      <c r="B9" s="515">
        <v>3998</v>
      </c>
      <c r="C9" s="481">
        <f>24128+1307293</f>
        <v>1331421</v>
      </c>
      <c r="D9" s="516"/>
      <c r="E9" s="481"/>
      <c r="F9" s="481"/>
      <c r="G9" s="517"/>
      <c r="H9" s="481"/>
      <c r="I9" s="509" t="s">
        <v>1169</v>
      </c>
      <c r="J9" s="478"/>
      <c r="K9" s="481"/>
      <c r="L9" s="347"/>
    </row>
    <row r="10" spans="1:13" s="519" customFormat="1" ht="13.5" thickBot="1" x14ac:dyDescent="0.25">
      <c r="A10" s="1736" t="s">
        <v>1173</v>
      </c>
      <c r="B10" s="1709"/>
      <c r="C10" s="1688">
        <f>SUM(C8:C9)</f>
        <v>4570238</v>
      </c>
      <c r="D10" s="1688">
        <f t="shared" ref="D10:K10" si="1">SUM(D8:D9)</f>
        <v>285908</v>
      </c>
      <c r="E10" s="1688">
        <f t="shared" si="1"/>
        <v>432435</v>
      </c>
      <c r="F10" s="1688">
        <f t="shared" si="1"/>
        <v>356652</v>
      </c>
      <c r="G10" s="1688">
        <f t="shared" si="1"/>
        <v>147134</v>
      </c>
      <c r="H10" s="1688">
        <f t="shared" si="1"/>
        <v>53454</v>
      </c>
      <c r="I10" s="1688">
        <f t="shared" si="1"/>
        <v>20434</v>
      </c>
      <c r="J10" s="1688">
        <f t="shared" si="1"/>
        <v>514735</v>
      </c>
      <c r="K10" s="1688">
        <f t="shared" si="1"/>
        <v>20434</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2129918</v>
      </c>
      <c r="D12" s="520" t="s">
        <v>1169</v>
      </c>
      <c r="E12" s="468" t="s">
        <v>1169</v>
      </c>
      <c r="F12" s="468" t="s">
        <v>1169</v>
      </c>
      <c r="G12" s="1742">
        <f>'Expenditures 15-22'!K229</f>
        <v>50227</v>
      </c>
      <c r="H12" s="521"/>
      <c r="I12" s="468" t="s">
        <v>1169</v>
      </c>
      <c r="J12" s="468" t="s">
        <v>1169</v>
      </c>
      <c r="K12" s="521" t="s">
        <v>1169</v>
      </c>
      <c r="L12" s="347"/>
    </row>
    <row r="13" spans="1:13" ht="15.75" customHeight="1" x14ac:dyDescent="0.2">
      <c r="A13" s="1576" t="s">
        <v>457</v>
      </c>
      <c r="B13" s="1578">
        <v>2000</v>
      </c>
      <c r="C13" s="1743">
        <f>'Expenditures 15-22'!K74</f>
        <v>850521</v>
      </c>
      <c r="D13" s="1743">
        <f>'Expenditures 15-22'!K129</f>
        <v>334585</v>
      </c>
      <c r="E13" s="469" t="s">
        <v>1169</v>
      </c>
      <c r="F13" s="1743">
        <f>'Expenditures 15-22'!K184</f>
        <v>424264</v>
      </c>
      <c r="G13" s="1743">
        <f>'Expenditures 15-22'!K279</f>
        <v>67298</v>
      </c>
      <c r="H13" s="1743">
        <f>'Expenditures 15-22'!K303</f>
        <v>12789</v>
      </c>
      <c r="I13" s="468" t="s">
        <v>1169</v>
      </c>
      <c r="J13" s="1743">
        <f>'Expenditures 15-22'!K330</f>
        <v>472929</v>
      </c>
      <c r="K13" s="1747">
        <f>'Expenditures 15-22'!K352</f>
        <v>1777</v>
      </c>
      <c r="L13" s="347"/>
    </row>
    <row r="14" spans="1:13" ht="15.75" customHeight="1" x14ac:dyDescent="0.2">
      <c r="A14" s="1576" t="s">
        <v>449</v>
      </c>
      <c r="B14" s="1578">
        <v>3000</v>
      </c>
      <c r="C14" s="1743">
        <f>'Expenditures 15-22'!K75</f>
        <v>20291</v>
      </c>
      <c r="D14" s="1743">
        <f>'Expenditures 15-22'!K130</f>
        <v>0</v>
      </c>
      <c r="E14" s="520" t="s">
        <v>1169</v>
      </c>
      <c r="F14" s="1743">
        <f>'Expenditures 15-22'!K185</f>
        <v>0</v>
      </c>
      <c r="G14" s="1743">
        <f>'Expenditures 15-22'!K280</f>
        <v>3043</v>
      </c>
      <c r="H14" s="512"/>
      <c r="I14" s="468" t="s">
        <v>1169</v>
      </c>
      <c r="J14" s="468" t="s">
        <v>1169</v>
      </c>
      <c r="K14" s="512" t="s">
        <v>1169</v>
      </c>
      <c r="L14" s="347"/>
    </row>
    <row r="15" spans="1:13" ht="15.75" customHeight="1" x14ac:dyDescent="0.2">
      <c r="A15" s="1576" t="s">
        <v>107</v>
      </c>
      <c r="B15" s="1578">
        <v>4000</v>
      </c>
      <c r="C15" s="1743">
        <f>'Expenditures 15-22'!K102</f>
        <v>177125</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1508474</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3177855</v>
      </c>
      <c r="D17" s="1688">
        <f t="shared" si="2"/>
        <v>334585</v>
      </c>
      <c r="E17" s="1688">
        <f t="shared" si="2"/>
        <v>1508474</v>
      </c>
      <c r="F17" s="1688">
        <f t="shared" si="2"/>
        <v>424264</v>
      </c>
      <c r="G17" s="1688">
        <f t="shared" si="2"/>
        <v>120568</v>
      </c>
      <c r="H17" s="1688">
        <f t="shared" si="2"/>
        <v>12789</v>
      </c>
      <c r="I17" s="468"/>
      <c r="J17" s="1688">
        <f>SUM(J12:J16)</f>
        <v>472929</v>
      </c>
      <c r="K17" s="1688">
        <f>SUM(K12:K16)</f>
        <v>1777</v>
      </c>
      <c r="L17" s="347"/>
    </row>
    <row r="18" spans="1:12" ht="15" customHeight="1" thickTop="1" x14ac:dyDescent="0.2">
      <c r="A18" s="1744" t="s">
        <v>1654</v>
      </c>
      <c r="B18" s="1745">
        <v>4180</v>
      </c>
      <c r="C18" s="1742">
        <f t="shared" ref="C18:H18" si="3">C9</f>
        <v>1331421</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4509276</v>
      </c>
      <c r="D19" s="1688">
        <f t="shared" si="4"/>
        <v>334585</v>
      </c>
      <c r="E19" s="1688">
        <f t="shared" si="4"/>
        <v>1508474</v>
      </c>
      <c r="F19" s="1688">
        <f t="shared" si="4"/>
        <v>424264</v>
      </c>
      <c r="G19" s="1688">
        <f t="shared" si="4"/>
        <v>120568</v>
      </c>
      <c r="H19" s="1688">
        <f t="shared" si="4"/>
        <v>12789</v>
      </c>
      <c r="I19" s="468"/>
      <c r="J19" s="1688">
        <f>SUM(J17:J18)</f>
        <v>472929</v>
      </c>
      <c r="K19" s="1688">
        <f>SUM(K17:K18)</f>
        <v>1777</v>
      </c>
      <c r="L19" s="347"/>
    </row>
    <row r="20" spans="1:12" ht="16.5" thickTop="1" thickBot="1" x14ac:dyDescent="0.25">
      <c r="A20" s="2125" t="s">
        <v>1655</v>
      </c>
      <c r="B20" s="2126"/>
      <c r="C20" s="1746">
        <f>C8-C17</f>
        <v>60962</v>
      </c>
      <c r="D20" s="1746">
        <f t="shared" ref="D20:K20" si="5">D8-D17</f>
        <v>-48677</v>
      </c>
      <c r="E20" s="1746">
        <f t="shared" si="5"/>
        <v>-1076039</v>
      </c>
      <c r="F20" s="1746">
        <f t="shared" si="5"/>
        <v>-67612</v>
      </c>
      <c r="G20" s="1746">
        <f t="shared" si="5"/>
        <v>26566</v>
      </c>
      <c r="H20" s="1746">
        <f t="shared" si="5"/>
        <v>40665</v>
      </c>
      <c r="I20" s="1746">
        <f t="shared" si="5"/>
        <v>20434</v>
      </c>
      <c r="J20" s="1746">
        <f t="shared" si="5"/>
        <v>41806</v>
      </c>
      <c r="K20" s="1746">
        <f t="shared" si="5"/>
        <v>18657</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v>19450</v>
      </c>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v>15000</v>
      </c>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15000</v>
      </c>
      <c r="E44" s="1703">
        <f t="shared" si="6"/>
        <v>19450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19450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v>15000</v>
      </c>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15000</v>
      </c>
      <c r="D76" s="1703">
        <f t="shared" si="7"/>
        <v>0</v>
      </c>
      <c r="E76" s="1703">
        <f t="shared" si="7"/>
        <v>0</v>
      </c>
      <c r="F76" s="1703">
        <f t="shared" si="7"/>
        <v>0</v>
      </c>
      <c r="G76" s="1703">
        <f t="shared" si="7"/>
        <v>0</v>
      </c>
      <c r="H76" s="1703">
        <f t="shared" si="7"/>
        <v>0</v>
      </c>
      <c r="I76" s="1703">
        <f t="shared" si="7"/>
        <v>19450</v>
      </c>
      <c r="J76" s="1703">
        <f t="shared" si="7"/>
        <v>0</v>
      </c>
      <c r="K76" s="1703">
        <f t="shared" si="7"/>
        <v>0</v>
      </c>
      <c r="L76" s="524"/>
    </row>
    <row r="77" spans="1:12" ht="14.25" thickTop="1" thickBot="1" x14ac:dyDescent="0.25">
      <c r="A77" s="2117" t="s">
        <v>1177</v>
      </c>
      <c r="B77" s="2118"/>
      <c r="C77" s="1703">
        <f t="shared" ref="C77:K77" si="8">C44-C76</f>
        <v>-15000</v>
      </c>
      <c r="D77" s="1703">
        <f t="shared" si="8"/>
        <v>15000</v>
      </c>
      <c r="E77" s="1703">
        <f t="shared" si="8"/>
        <v>19450</v>
      </c>
      <c r="F77" s="1703">
        <f t="shared" si="8"/>
        <v>0</v>
      </c>
      <c r="G77" s="1703">
        <f t="shared" si="8"/>
        <v>0</v>
      </c>
      <c r="H77" s="1703">
        <f t="shared" si="8"/>
        <v>0</v>
      </c>
      <c r="I77" s="1703">
        <f t="shared" si="8"/>
        <v>-19450</v>
      </c>
      <c r="J77" s="1703">
        <f t="shared" si="8"/>
        <v>0</v>
      </c>
      <c r="K77" s="1703">
        <f t="shared" si="8"/>
        <v>0</v>
      </c>
      <c r="L77" s="347"/>
    </row>
    <row r="78" spans="1:12" ht="21.75" customHeight="1" thickTop="1" thickBot="1" x14ac:dyDescent="0.25">
      <c r="A78" s="2121" t="s">
        <v>597</v>
      </c>
      <c r="B78" s="2122"/>
      <c r="C78" s="1702">
        <f t="shared" ref="C78:K78" si="9">C20+C77</f>
        <v>45962</v>
      </c>
      <c r="D78" s="1702">
        <f t="shared" si="9"/>
        <v>-33677</v>
      </c>
      <c r="E78" s="1702">
        <f t="shared" si="9"/>
        <v>-1056589</v>
      </c>
      <c r="F78" s="1702">
        <f t="shared" si="9"/>
        <v>-67612</v>
      </c>
      <c r="G78" s="1702">
        <f t="shared" si="9"/>
        <v>26566</v>
      </c>
      <c r="H78" s="1702">
        <f t="shared" si="9"/>
        <v>40665</v>
      </c>
      <c r="I78" s="1702">
        <f t="shared" si="9"/>
        <v>984</v>
      </c>
      <c r="J78" s="1702">
        <f t="shared" si="9"/>
        <v>41806</v>
      </c>
      <c r="K78" s="1702">
        <f t="shared" si="9"/>
        <v>18657</v>
      </c>
      <c r="L78" s="533"/>
    </row>
    <row r="79" spans="1:12" ht="13.5" thickTop="1" x14ac:dyDescent="0.2">
      <c r="A79" s="1494" t="s">
        <v>1949</v>
      </c>
      <c r="B79" s="534"/>
      <c r="C79" s="478">
        <v>506950</v>
      </c>
      <c r="D79" s="535">
        <v>110955</v>
      </c>
      <c r="E79" s="535">
        <v>1056968</v>
      </c>
      <c r="F79" s="535">
        <v>317823</v>
      </c>
      <c r="G79" s="535">
        <v>174973</v>
      </c>
      <c r="H79" s="535">
        <v>220464</v>
      </c>
      <c r="I79" s="535">
        <v>2405</v>
      </c>
      <c r="J79" s="535">
        <v>224127</v>
      </c>
      <c r="K79" s="535">
        <v>71715</v>
      </c>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552912</v>
      </c>
      <c r="D81" s="1688">
        <f>SUM(D78:D80)</f>
        <v>77278</v>
      </c>
      <c r="E81" s="1688">
        <f t="shared" ref="E81:K81" si="10">SUM(E78:E80)</f>
        <v>379</v>
      </c>
      <c r="F81" s="1688">
        <f t="shared" si="10"/>
        <v>250211</v>
      </c>
      <c r="G81" s="1688">
        <f t="shared" si="10"/>
        <v>201539</v>
      </c>
      <c r="H81" s="1688">
        <f t="shared" si="10"/>
        <v>261129</v>
      </c>
      <c r="I81" s="1688">
        <f t="shared" si="10"/>
        <v>3389</v>
      </c>
      <c r="J81" s="1688">
        <f t="shared" si="10"/>
        <v>265933</v>
      </c>
      <c r="K81" s="1688">
        <f t="shared" si="10"/>
        <v>90372</v>
      </c>
      <c r="L81" s="347"/>
    </row>
    <row r="82" spans="1:12" ht="0.75" customHeight="1" thickTop="1" thickBot="1" x14ac:dyDescent="0.25">
      <c r="A82" s="536" t="s">
        <v>343</v>
      </c>
      <c r="B82" s="537"/>
      <c r="C82" s="538">
        <f>(C81-C79)</f>
        <v>45962</v>
      </c>
      <c r="D82" s="538">
        <f t="shared" ref="D82:K82" si="11">(D81-D79)</f>
        <v>-33677</v>
      </c>
      <c r="E82" s="538">
        <f t="shared" si="11"/>
        <v>-1056589</v>
      </c>
      <c r="F82" s="538">
        <f t="shared" si="11"/>
        <v>-67612</v>
      </c>
      <c r="G82" s="538">
        <f t="shared" si="11"/>
        <v>26566</v>
      </c>
      <c r="H82" s="538">
        <f t="shared" si="11"/>
        <v>40665</v>
      </c>
      <c r="I82" s="538">
        <f t="shared" si="11"/>
        <v>984</v>
      </c>
      <c r="J82" s="538">
        <f t="shared" si="11"/>
        <v>41806</v>
      </c>
      <c r="K82" s="538">
        <f t="shared" si="11"/>
        <v>18657</v>
      </c>
    </row>
    <row r="83" spans="1:12" ht="14.25" hidden="1" thickTop="1" thickBot="1" x14ac:dyDescent="0.25">
      <c r="A83" s="539" t="s">
        <v>344</v>
      </c>
      <c r="B83" s="464"/>
      <c r="C83" s="540">
        <f>C82/C81</f>
        <v>8.3127152241224647E-2</v>
      </c>
      <c r="D83" s="540">
        <f t="shared" ref="D83:K83" si="12">D82/D81</f>
        <v>-0.43579026372318125</v>
      </c>
      <c r="E83" s="540">
        <f t="shared" si="12"/>
        <v>-2787.8337730870712</v>
      </c>
      <c r="F83" s="540">
        <f t="shared" si="12"/>
        <v>-0.27021993437538716</v>
      </c>
      <c r="G83" s="540">
        <f t="shared" si="12"/>
        <v>0.13181567835505784</v>
      </c>
      <c r="H83" s="540">
        <f t="shared" si="12"/>
        <v>0.15572762887308572</v>
      </c>
      <c r="I83" s="540">
        <f t="shared" si="12"/>
        <v>0.29035113602832696</v>
      </c>
      <c r="J83" s="540">
        <f t="shared" si="12"/>
        <v>0.15720501028454537</v>
      </c>
      <c r="K83" s="540">
        <f t="shared" si="12"/>
        <v>0.20644668702695526</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93" activePane="bottomLeft" state="frozen"/>
      <selection activeCell="D27" sqref="D27"/>
      <selection pane="bottomLeft" activeCell="C101" sqref="C101"/>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751995</v>
      </c>
      <c r="D5" s="481">
        <v>234996</v>
      </c>
      <c r="E5" s="466">
        <v>339835</v>
      </c>
      <c r="F5" s="548">
        <v>81738</v>
      </c>
      <c r="G5" s="466">
        <v>68455</v>
      </c>
      <c r="H5" s="466"/>
      <c r="I5" s="466">
        <v>20434</v>
      </c>
      <c r="J5" s="467">
        <v>514662</v>
      </c>
      <c r="K5" s="466">
        <v>20434</v>
      </c>
    </row>
    <row r="6" spans="1:12" ht="15" x14ac:dyDescent="0.2">
      <c r="A6" s="463" t="s">
        <v>1662</v>
      </c>
      <c r="B6" s="470">
        <v>1130</v>
      </c>
      <c r="C6" s="466">
        <v>20434</v>
      </c>
      <c r="D6" s="466"/>
      <c r="E6" s="475"/>
      <c r="F6" s="475"/>
      <c r="G6" s="468"/>
      <c r="H6" s="468"/>
      <c r="I6" s="468"/>
      <c r="J6" s="468"/>
      <c r="K6" s="468"/>
    </row>
    <row r="7" spans="1:12" x14ac:dyDescent="0.2">
      <c r="A7" s="463" t="s">
        <v>110</v>
      </c>
      <c r="B7" s="549">
        <v>1140</v>
      </c>
      <c r="C7" s="466">
        <v>16347</v>
      </c>
      <c r="D7" s="466"/>
      <c r="E7" s="468"/>
      <c r="F7" s="467"/>
      <c r="G7" s="467"/>
      <c r="H7" s="467"/>
      <c r="I7" s="468"/>
      <c r="J7" s="468"/>
      <c r="K7" s="468"/>
    </row>
    <row r="8" spans="1:12" x14ac:dyDescent="0.2">
      <c r="A8" s="463" t="s">
        <v>413</v>
      </c>
      <c r="B8" s="470">
        <v>1150</v>
      </c>
      <c r="C8" s="475"/>
      <c r="D8" s="475"/>
      <c r="E8" s="477"/>
      <c r="F8" s="477"/>
      <c r="G8" s="481">
        <v>68454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788776</v>
      </c>
      <c r="D12" s="1707">
        <f t="shared" si="0"/>
        <v>234996</v>
      </c>
      <c r="E12" s="1707">
        <f t="shared" si="0"/>
        <v>339835</v>
      </c>
      <c r="F12" s="1707">
        <f t="shared" si="0"/>
        <v>81738</v>
      </c>
      <c r="G12" s="1707">
        <f t="shared" si="0"/>
        <v>136909</v>
      </c>
      <c r="H12" s="1707">
        <f t="shared" si="0"/>
        <v>0</v>
      </c>
      <c r="I12" s="1707">
        <f t="shared" si="0"/>
        <v>20434</v>
      </c>
      <c r="J12" s="1707">
        <f t="shared" si="0"/>
        <v>514662</v>
      </c>
      <c r="K12" s="1688">
        <f t="shared" si="0"/>
        <v>20434</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84765</v>
      </c>
      <c r="D16" s="466"/>
      <c r="E16" s="466"/>
      <c r="F16" s="466"/>
      <c r="G16" s="466">
        <v>10225</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84765</v>
      </c>
      <c r="D18" s="1710">
        <f t="shared" ref="D18:K18" si="1">SUM(D14:D17)</f>
        <v>0</v>
      </c>
      <c r="E18" s="1710">
        <f t="shared" si="1"/>
        <v>0</v>
      </c>
      <c r="F18" s="1710">
        <f t="shared" si="1"/>
        <v>0</v>
      </c>
      <c r="G18" s="1710">
        <f t="shared" si="1"/>
        <v>10225</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v>20400</v>
      </c>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20400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4179</v>
      </c>
      <c r="D65" s="466"/>
      <c r="E65" s="466">
        <v>733</v>
      </c>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4179</v>
      </c>
      <c r="D67" s="1688">
        <f t="shared" ref="D67:K67" si="2">SUM(D65:D66)</f>
        <v>0</v>
      </c>
      <c r="E67" s="1688">
        <f t="shared" si="2"/>
        <v>733</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v>2</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v>1399</v>
      </c>
      <c r="D72" s="468"/>
      <c r="E72" s="468"/>
      <c r="F72" s="468"/>
      <c r="G72" s="468"/>
      <c r="H72" s="468"/>
      <c r="I72" s="468"/>
      <c r="J72" s="468"/>
      <c r="K72" s="468"/>
    </row>
    <row r="73" spans="1:11" ht="12.75" customHeight="1" x14ac:dyDescent="0.2">
      <c r="A73" s="463" t="s">
        <v>998</v>
      </c>
      <c r="B73" s="470">
        <v>1620</v>
      </c>
      <c r="C73" s="551">
        <v>6812</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8213</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23806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9250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33056</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7182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v>2560</v>
      </c>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9742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v>40550</v>
      </c>
      <c r="D95" s="551"/>
      <c r="E95" s="521"/>
      <c r="F95" s="521"/>
      <c r="G95" s="521"/>
      <c r="H95" s="521"/>
      <c r="I95" s="521"/>
      <c r="J95" s="521"/>
      <c r="K95" s="521"/>
    </row>
    <row r="96" spans="1:11" ht="12.75" customHeight="1" x14ac:dyDescent="0.2">
      <c r="A96" s="463" t="s">
        <v>391</v>
      </c>
      <c r="B96" s="470">
        <v>1920</v>
      </c>
      <c r="C96" s="551">
        <v>89038</v>
      </c>
      <c r="D96" s="551">
        <v>43000</v>
      </c>
      <c r="E96" s="479"/>
      <c r="F96" s="478">
        <v>1712</v>
      </c>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1378</v>
      </c>
      <c r="D99" s="466">
        <v>390</v>
      </c>
      <c r="E99" s="466"/>
      <c r="F99" s="466"/>
      <c r="G99" s="466"/>
      <c r="H99" s="466"/>
      <c r="I99" s="468"/>
      <c r="J99" s="467">
        <v>73</v>
      </c>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1100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91867</v>
      </c>
      <c r="F103" s="468"/>
      <c r="G103" s="468"/>
      <c r="H103" s="489">
        <v>53454</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100</v>
      </c>
      <c r="D106" s="489"/>
      <c r="E106" s="467"/>
      <c r="F106" s="467"/>
      <c r="G106" s="467"/>
      <c r="H106" s="467"/>
      <c r="I106" s="521"/>
      <c r="J106" s="467"/>
      <c r="K106" s="467"/>
    </row>
    <row r="107" spans="1:12" ht="12.75" customHeight="1" x14ac:dyDescent="0.2">
      <c r="A107" s="463" t="s">
        <v>78</v>
      </c>
      <c r="B107" s="470">
        <v>1999</v>
      </c>
      <c r="C107" s="551">
        <v>4121</v>
      </c>
      <c r="D107" s="466"/>
      <c r="E107" s="466"/>
      <c r="F107" s="466"/>
      <c r="G107" s="466"/>
      <c r="H107" s="466"/>
      <c r="I107" s="466"/>
      <c r="J107" s="467"/>
      <c r="K107" s="466"/>
    </row>
    <row r="108" spans="1:12" ht="12.75" customHeight="1" thickBot="1" x14ac:dyDescent="0.25">
      <c r="A108" s="1708" t="s">
        <v>487</v>
      </c>
      <c r="B108" s="1712"/>
      <c r="C108" s="1707">
        <f>SUM(C95:C107)</f>
        <v>136287</v>
      </c>
      <c r="D108" s="1707">
        <f t="shared" ref="D108:K108" si="3">SUM(D95:D107)</f>
        <v>43390</v>
      </c>
      <c r="E108" s="1707">
        <f t="shared" si="3"/>
        <v>91867</v>
      </c>
      <c r="F108" s="1707">
        <f t="shared" si="3"/>
        <v>1712</v>
      </c>
      <c r="G108" s="1707">
        <f t="shared" si="3"/>
        <v>0</v>
      </c>
      <c r="H108" s="1707">
        <f t="shared" si="3"/>
        <v>53454</v>
      </c>
      <c r="I108" s="1707">
        <f t="shared" si="3"/>
        <v>0</v>
      </c>
      <c r="J108" s="1707">
        <f t="shared" si="3"/>
        <v>73</v>
      </c>
      <c r="K108" s="1688">
        <f t="shared" si="3"/>
        <v>0</v>
      </c>
    </row>
    <row r="109" spans="1:12" ht="14.25" thickTop="1" thickBot="1" x14ac:dyDescent="0.25">
      <c r="A109" s="1713" t="s">
        <v>248</v>
      </c>
      <c r="B109" s="1714" t="s">
        <v>570</v>
      </c>
      <c r="C109" s="1715">
        <f t="shared" ref="C109:K109" si="4">SUM(C12,C18,C40,C63,C67,C75,C82,C93,C108,)</f>
        <v>1065018</v>
      </c>
      <c r="D109" s="1715">
        <f t="shared" si="4"/>
        <v>278386</v>
      </c>
      <c r="E109" s="1715">
        <f t="shared" si="4"/>
        <v>432435</v>
      </c>
      <c r="F109" s="1715">
        <f t="shared" si="4"/>
        <v>103850</v>
      </c>
      <c r="G109" s="1715">
        <f t="shared" si="4"/>
        <v>147134</v>
      </c>
      <c r="H109" s="1715">
        <f t="shared" si="4"/>
        <v>53454</v>
      </c>
      <c r="I109" s="1715">
        <f t="shared" si="4"/>
        <v>20434</v>
      </c>
      <c r="J109" s="1715">
        <f t="shared" si="4"/>
        <v>514735</v>
      </c>
      <c r="K109" s="1702">
        <f t="shared" si="4"/>
        <v>20434</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1643079</v>
      </c>
      <c r="D117" s="481">
        <v>7522</v>
      </c>
      <c r="E117" s="466"/>
      <c r="F117" s="481">
        <v>5</v>
      </c>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1643079</v>
      </c>
      <c r="D122" s="1707">
        <f t="shared" si="5"/>
        <v>7522</v>
      </c>
      <c r="E122" s="1707">
        <f t="shared" si="5"/>
        <v>0</v>
      </c>
      <c r="F122" s="1707">
        <f t="shared" si="5"/>
        <v>5</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22460</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16311</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38771</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6541</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12500</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19041</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5021</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4677</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151279</v>
      </c>
      <c r="G152" s="467"/>
      <c r="H152" s="468"/>
      <c r="I152" s="468"/>
      <c r="J152" s="468"/>
      <c r="K152" s="468"/>
    </row>
    <row r="153" spans="1:11" ht="12.75" customHeight="1" x14ac:dyDescent="0.2">
      <c r="A153" s="463" t="s">
        <v>1057</v>
      </c>
      <c r="B153" s="562">
        <v>3510</v>
      </c>
      <c r="C153" s="551"/>
      <c r="D153" s="466"/>
      <c r="E153" s="561"/>
      <c r="F153" s="466">
        <v>101518</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252797</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25144</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750</v>
      </c>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93404</v>
      </c>
      <c r="D169" s="1722">
        <f t="shared" si="6"/>
        <v>0</v>
      </c>
      <c r="E169" s="1722">
        <f t="shared" si="6"/>
        <v>0</v>
      </c>
      <c r="F169" s="1722">
        <f t="shared" si="6"/>
        <v>252797</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1736483</v>
      </c>
      <c r="D170" s="1715">
        <f t="shared" si="7"/>
        <v>7522</v>
      </c>
      <c r="E170" s="1715">
        <f t="shared" si="7"/>
        <v>0</v>
      </c>
      <c r="F170" s="1715">
        <f t="shared" si="7"/>
        <v>252802</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140875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83210</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224085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114096</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24332</v>
      </c>
      <c r="D203" s="466"/>
      <c r="E203" s="468"/>
      <c r="F203" s="466"/>
      <c r="G203" s="466"/>
      <c r="H203" s="468"/>
      <c r="I203" s="468"/>
      <c r="J203" s="468"/>
      <c r="K203" s="468"/>
    </row>
    <row r="204" spans="1:11" ht="12.75" customHeight="1" thickBot="1" x14ac:dyDescent="0.25">
      <c r="A204" s="1708" t="s">
        <v>400</v>
      </c>
      <c r="B204" s="1709"/>
      <c r="C204" s="1707">
        <f>SUM(C200:C203)</f>
        <v>138428</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v>19559</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19559</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11588</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10760</v>
      </c>
      <c r="D263" s="576"/>
      <c r="E263" s="468"/>
      <c r="F263" s="576"/>
      <c r="G263" s="576"/>
      <c r="H263" s="468"/>
      <c r="I263" s="468"/>
      <c r="J263" s="468"/>
      <c r="K263" s="468"/>
    </row>
    <row r="264" spans="1:11" ht="12.75" customHeight="1" thickTop="1" thickBot="1" x14ac:dyDescent="0.25">
      <c r="A264" s="463" t="s">
        <v>377</v>
      </c>
      <c r="B264" s="470">
        <v>4992</v>
      </c>
      <c r="C264" s="575">
        <v>26942</v>
      </c>
      <c r="D264" s="576"/>
      <c r="E264" s="468"/>
      <c r="F264" s="576"/>
      <c r="G264" s="576"/>
      <c r="H264" s="468"/>
      <c r="I264" s="468"/>
      <c r="J264" s="468"/>
      <c r="K264" s="468"/>
    </row>
    <row r="265" spans="1:11" s="593" customFormat="1" ht="12.75" customHeight="1" thickTop="1" thickBot="1" x14ac:dyDescent="0.25">
      <c r="A265" s="563" t="s">
        <v>75</v>
      </c>
      <c r="B265" s="557">
        <v>4999</v>
      </c>
      <c r="C265" s="575">
        <v>5954</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437316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437316</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3238817</v>
      </c>
      <c r="D268" s="1715">
        <f t="shared" si="12"/>
        <v>285908</v>
      </c>
      <c r="E268" s="1715">
        <f t="shared" si="12"/>
        <v>432435</v>
      </c>
      <c r="F268" s="1715">
        <f t="shared" si="12"/>
        <v>356652</v>
      </c>
      <c r="G268" s="1715">
        <f t="shared" si="12"/>
        <v>147134</v>
      </c>
      <c r="H268" s="1715">
        <f t="shared" si="12"/>
        <v>53454</v>
      </c>
      <c r="I268" s="1715">
        <f t="shared" si="12"/>
        <v>20434</v>
      </c>
      <c r="J268" s="1715">
        <f t="shared" si="12"/>
        <v>514735</v>
      </c>
      <c r="K268" s="1702">
        <f t="shared" si="12"/>
        <v>20434</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96" activePane="bottomLeft" state="frozen"/>
      <selection pane="bottomLeft" activeCell="H114" sqref="H11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7"/>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3" t="s">
        <v>297</v>
      </c>
      <c r="B3" s="2164"/>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1069654</v>
      </c>
      <c r="D5" s="466">
        <v>189308</v>
      </c>
      <c r="E5" s="466">
        <v>21813</v>
      </c>
      <c r="F5" s="466">
        <v>59695</v>
      </c>
      <c r="G5" s="466">
        <v>6355</v>
      </c>
      <c r="H5" s="466"/>
      <c r="I5" s="467"/>
      <c r="J5" s="467"/>
      <c r="K5" s="1671">
        <f>SUM(C5:J5)</f>
        <v>1346825</v>
      </c>
      <c r="L5" s="466">
        <v>1346912</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63824</v>
      </c>
      <c r="D7" s="467">
        <v>11421</v>
      </c>
      <c r="E7" s="467"/>
      <c r="F7" s="467">
        <v>131</v>
      </c>
      <c r="G7" s="467"/>
      <c r="H7" s="467"/>
      <c r="I7" s="467"/>
      <c r="J7" s="467"/>
      <c r="K7" s="1671">
        <f t="shared" ref="K7:K32" si="0">SUM(C7:J7)</f>
        <v>75376</v>
      </c>
      <c r="L7" s="466">
        <v>75414</v>
      </c>
    </row>
    <row r="8" spans="1:14" x14ac:dyDescent="0.2">
      <c r="A8" s="1504" t="s">
        <v>164</v>
      </c>
      <c r="B8" s="614">
        <v>1200</v>
      </c>
      <c r="C8" s="466">
        <v>385043</v>
      </c>
      <c r="D8" s="466">
        <v>44650</v>
      </c>
      <c r="E8" s="466">
        <v>17062</v>
      </c>
      <c r="F8" s="466">
        <v>12428</v>
      </c>
      <c r="G8" s="466">
        <v>1243</v>
      </c>
      <c r="H8" s="466"/>
      <c r="I8" s="467"/>
      <c r="J8" s="467"/>
      <c r="K8" s="1671">
        <f t="shared" si="0"/>
        <v>460426</v>
      </c>
      <c r="L8" s="466">
        <v>460533</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58276</v>
      </c>
      <c r="D10" s="466">
        <v>16601</v>
      </c>
      <c r="E10" s="466"/>
      <c r="F10" s="466">
        <v>36430</v>
      </c>
      <c r="G10" s="466"/>
      <c r="H10" s="466"/>
      <c r="I10" s="467"/>
      <c r="J10" s="467"/>
      <c r="K10" s="1671">
        <f t="shared" si="0"/>
        <v>111307</v>
      </c>
      <c r="L10" s="466">
        <v>111364</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49558</v>
      </c>
      <c r="D13" s="466">
        <v>7666</v>
      </c>
      <c r="E13" s="466"/>
      <c r="F13" s="466">
        <v>4570</v>
      </c>
      <c r="G13" s="466"/>
      <c r="H13" s="466"/>
      <c r="I13" s="467"/>
      <c r="J13" s="467"/>
      <c r="K13" s="1671">
        <f t="shared" si="0"/>
        <v>61794</v>
      </c>
      <c r="L13" s="466">
        <v>61853</v>
      </c>
    </row>
    <row r="14" spans="1:14" x14ac:dyDescent="0.2">
      <c r="A14" s="1504" t="s">
        <v>963</v>
      </c>
      <c r="B14" s="614">
        <v>1500</v>
      </c>
      <c r="C14" s="466">
        <v>30738</v>
      </c>
      <c r="D14" s="466">
        <v>286</v>
      </c>
      <c r="E14" s="466">
        <v>17078</v>
      </c>
      <c r="F14" s="466">
        <v>9792</v>
      </c>
      <c r="G14" s="466"/>
      <c r="H14" s="466">
        <v>4446</v>
      </c>
      <c r="I14" s="467"/>
      <c r="J14" s="467"/>
      <c r="K14" s="1671">
        <f t="shared" si="0"/>
        <v>62340</v>
      </c>
      <c r="L14" s="466">
        <v>62392</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9464</v>
      </c>
      <c r="D17" s="467">
        <v>1877</v>
      </c>
      <c r="E17" s="467">
        <v>195</v>
      </c>
      <c r="F17" s="467">
        <v>314</v>
      </c>
      <c r="G17" s="467"/>
      <c r="H17" s="467"/>
      <c r="I17" s="467"/>
      <c r="J17" s="467"/>
      <c r="K17" s="1671">
        <f t="shared" si="0"/>
        <v>11850</v>
      </c>
      <c r="L17" s="466">
        <v>11861</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1666557</v>
      </c>
      <c r="D33" s="1670">
        <f t="shared" ref="D33:L33" si="1">SUM(D5:D32)</f>
        <v>271809</v>
      </c>
      <c r="E33" s="1670">
        <f t="shared" si="1"/>
        <v>56148</v>
      </c>
      <c r="F33" s="1670">
        <f t="shared" si="1"/>
        <v>123360</v>
      </c>
      <c r="G33" s="1670">
        <f t="shared" si="1"/>
        <v>7598</v>
      </c>
      <c r="H33" s="1670">
        <f t="shared" si="1"/>
        <v>4446</v>
      </c>
      <c r="I33" s="1670">
        <f t="shared" si="1"/>
        <v>0</v>
      </c>
      <c r="J33" s="1670">
        <f t="shared" si="1"/>
        <v>0</v>
      </c>
      <c r="K33" s="1670">
        <f t="shared" si="1"/>
        <v>2129918</v>
      </c>
      <c r="L33" s="1670">
        <f t="shared" si="1"/>
        <v>2130329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68293</v>
      </c>
      <c r="D37" s="466">
        <v>15737</v>
      </c>
      <c r="E37" s="466">
        <v>378</v>
      </c>
      <c r="F37" s="466">
        <v>627</v>
      </c>
      <c r="G37" s="466"/>
      <c r="H37" s="466"/>
      <c r="I37" s="467"/>
      <c r="J37" s="467"/>
      <c r="K37" s="1671">
        <f t="shared" si="2"/>
        <v>85035</v>
      </c>
      <c r="L37" s="466">
        <v>85058</v>
      </c>
    </row>
    <row r="38" spans="1:14" x14ac:dyDescent="0.2">
      <c r="A38" s="1504" t="s">
        <v>198</v>
      </c>
      <c r="B38" s="614">
        <v>2130</v>
      </c>
      <c r="C38" s="466">
        <v>7189</v>
      </c>
      <c r="D38" s="466">
        <v>1572</v>
      </c>
      <c r="E38" s="466">
        <v>1047</v>
      </c>
      <c r="F38" s="466">
        <v>3777</v>
      </c>
      <c r="G38" s="466"/>
      <c r="H38" s="466"/>
      <c r="I38" s="467"/>
      <c r="J38" s="467"/>
      <c r="K38" s="1671">
        <f t="shared" si="2"/>
        <v>13585</v>
      </c>
      <c r="L38" s="466">
        <v>13596</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40769</v>
      </c>
      <c r="D40" s="466">
        <v>6921</v>
      </c>
      <c r="E40" s="466">
        <v>812</v>
      </c>
      <c r="F40" s="466">
        <v>408</v>
      </c>
      <c r="G40" s="466"/>
      <c r="H40" s="466"/>
      <c r="I40" s="467"/>
      <c r="J40" s="467"/>
      <c r="K40" s="1671">
        <f t="shared" si="2"/>
        <v>48910</v>
      </c>
      <c r="L40" s="466">
        <v>48926</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116251</v>
      </c>
      <c r="D42" s="1670">
        <f t="shared" ref="D42:L42" si="3">SUM(D36:D41)</f>
        <v>24230</v>
      </c>
      <c r="E42" s="1670">
        <f t="shared" si="3"/>
        <v>2237</v>
      </c>
      <c r="F42" s="1670">
        <f t="shared" si="3"/>
        <v>4812</v>
      </c>
      <c r="G42" s="1670">
        <f t="shared" si="3"/>
        <v>0</v>
      </c>
      <c r="H42" s="1670">
        <f t="shared" si="3"/>
        <v>0</v>
      </c>
      <c r="I42" s="1670">
        <f t="shared" si="3"/>
        <v>0</v>
      </c>
      <c r="J42" s="1670">
        <f t="shared" si="3"/>
        <v>0</v>
      </c>
      <c r="K42" s="1670">
        <f t="shared" si="3"/>
        <v>147530</v>
      </c>
      <c r="L42" s="1670">
        <f t="shared" si="3"/>
        <v>147580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2743</v>
      </c>
      <c r="D44" s="481">
        <v>29</v>
      </c>
      <c r="E44" s="481">
        <v>28347</v>
      </c>
      <c r="F44" s="481"/>
      <c r="G44" s="481"/>
      <c r="H44" s="481"/>
      <c r="I44" s="467"/>
      <c r="J44" s="467"/>
      <c r="K44" s="1672">
        <f>SUM(C44:J44)</f>
        <v>31119</v>
      </c>
      <c r="L44" s="481">
        <v>32215</v>
      </c>
    </row>
    <row r="45" spans="1:14" x14ac:dyDescent="0.2">
      <c r="A45" s="1504" t="s">
        <v>815</v>
      </c>
      <c r="B45" s="614">
        <v>2220</v>
      </c>
      <c r="C45" s="466">
        <v>28588</v>
      </c>
      <c r="D45" s="466">
        <v>19</v>
      </c>
      <c r="E45" s="466">
        <v>30</v>
      </c>
      <c r="F45" s="466">
        <v>946</v>
      </c>
      <c r="G45" s="466"/>
      <c r="H45" s="466"/>
      <c r="I45" s="467"/>
      <c r="J45" s="467"/>
      <c r="K45" s="1672">
        <f>SUM(C45:J45)</f>
        <v>29583</v>
      </c>
      <c r="L45" s="466">
        <v>29601</v>
      </c>
    </row>
    <row r="46" spans="1:14" x14ac:dyDescent="0.2">
      <c r="A46" s="1504" t="s">
        <v>816</v>
      </c>
      <c r="B46" s="614">
        <v>2230</v>
      </c>
      <c r="C46" s="466"/>
      <c r="D46" s="466"/>
      <c r="E46" s="466">
        <v>465</v>
      </c>
      <c r="F46" s="466"/>
      <c r="G46" s="466"/>
      <c r="H46" s="466"/>
      <c r="I46" s="467"/>
      <c r="J46" s="467"/>
      <c r="K46" s="1672">
        <f>SUM(C46:J46)</f>
        <v>465</v>
      </c>
      <c r="L46" s="466">
        <v>465</v>
      </c>
    </row>
    <row r="47" spans="1:14" ht="12.75" customHeight="1" thickBot="1" x14ac:dyDescent="0.25">
      <c r="A47" s="1668" t="s">
        <v>561</v>
      </c>
      <c r="B47" s="1669" t="s">
        <v>32</v>
      </c>
      <c r="C47" s="1670">
        <f>SUM(C44:C46)</f>
        <v>31331</v>
      </c>
      <c r="D47" s="1670">
        <f t="shared" ref="D47:K47" si="4">SUM(D44:D46)</f>
        <v>48</v>
      </c>
      <c r="E47" s="1670">
        <f t="shared" si="4"/>
        <v>28842</v>
      </c>
      <c r="F47" s="1670">
        <f t="shared" si="4"/>
        <v>946</v>
      </c>
      <c r="G47" s="1670">
        <f t="shared" si="4"/>
        <v>0</v>
      </c>
      <c r="H47" s="1670">
        <f t="shared" si="4"/>
        <v>0</v>
      </c>
      <c r="I47" s="1670">
        <f t="shared" si="4"/>
        <v>0</v>
      </c>
      <c r="J47" s="1670">
        <f t="shared" si="4"/>
        <v>0</v>
      </c>
      <c r="K47" s="1670">
        <f t="shared" si="4"/>
        <v>61167</v>
      </c>
      <c r="L47" s="1670">
        <f>SUM(L44:L46)</f>
        <v>62281</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3148</v>
      </c>
      <c r="D49" s="481"/>
      <c r="E49" s="481">
        <v>31720</v>
      </c>
      <c r="F49" s="481">
        <v>1247</v>
      </c>
      <c r="G49" s="481"/>
      <c r="H49" s="481"/>
      <c r="I49" s="467"/>
      <c r="J49" s="467"/>
      <c r="K49" s="1672">
        <f>SUM(C49:J49)</f>
        <v>36115</v>
      </c>
      <c r="L49" s="481">
        <v>36130</v>
      </c>
    </row>
    <row r="50" spans="1:14" x14ac:dyDescent="0.2">
      <c r="A50" s="1504" t="s">
        <v>818</v>
      </c>
      <c r="B50" s="614">
        <v>2320</v>
      </c>
      <c r="C50" s="466">
        <v>138145</v>
      </c>
      <c r="D50" s="466">
        <v>17384</v>
      </c>
      <c r="E50" s="466">
        <v>2312</v>
      </c>
      <c r="F50" s="466">
        <v>1024</v>
      </c>
      <c r="G50" s="466"/>
      <c r="H50" s="466">
        <v>715</v>
      </c>
      <c r="I50" s="467"/>
      <c r="J50" s="467"/>
      <c r="K50" s="1672">
        <f>SUM(C50:J50)</f>
        <v>159580</v>
      </c>
      <c r="L50" s="466">
        <v>159270</v>
      </c>
    </row>
    <row r="51" spans="1:14" x14ac:dyDescent="0.2">
      <c r="A51" s="1504" t="s">
        <v>42</v>
      </c>
      <c r="B51" s="614">
        <v>2330</v>
      </c>
      <c r="C51" s="466"/>
      <c r="D51" s="466"/>
      <c r="E51" s="466">
        <v>2466</v>
      </c>
      <c r="F51" s="466">
        <v>255</v>
      </c>
      <c r="G51" s="466"/>
      <c r="H51" s="466"/>
      <c r="I51" s="467"/>
      <c r="J51" s="467"/>
      <c r="K51" s="1672">
        <f>SUM(C51:J51)</f>
        <v>2721</v>
      </c>
      <c r="L51" s="466">
        <v>2728</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141293</v>
      </c>
      <c r="D53" s="1670">
        <f t="shared" ref="D53:L53" si="5">SUM(D49:D52)</f>
        <v>17384</v>
      </c>
      <c r="E53" s="1670">
        <f t="shared" si="5"/>
        <v>36498</v>
      </c>
      <c r="F53" s="1670">
        <f t="shared" si="5"/>
        <v>2526</v>
      </c>
      <c r="G53" s="1670">
        <f t="shared" si="5"/>
        <v>0</v>
      </c>
      <c r="H53" s="1670">
        <f t="shared" si="5"/>
        <v>715</v>
      </c>
      <c r="I53" s="1670">
        <f t="shared" si="5"/>
        <v>0</v>
      </c>
      <c r="J53" s="1670">
        <f t="shared" si="5"/>
        <v>0</v>
      </c>
      <c r="K53" s="1670">
        <f t="shared" si="5"/>
        <v>198416</v>
      </c>
      <c r="L53" s="1670">
        <f t="shared" si="5"/>
        <v>198128</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135452</v>
      </c>
      <c r="D55" s="481">
        <v>14976</v>
      </c>
      <c r="E55" s="481">
        <v>761</v>
      </c>
      <c r="F55" s="481">
        <v>3404</v>
      </c>
      <c r="G55" s="481"/>
      <c r="H55" s="481">
        <v>580</v>
      </c>
      <c r="I55" s="467"/>
      <c r="J55" s="467"/>
      <c r="K55" s="1672">
        <f>SUM(C55:J55)</f>
        <v>155173</v>
      </c>
      <c r="L55" s="481">
        <v>155272</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135452</v>
      </c>
      <c r="D57" s="1674">
        <f t="shared" ref="D57:K57" si="6">SUM(D55:D56)</f>
        <v>14976</v>
      </c>
      <c r="E57" s="1674">
        <f t="shared" si="6"/>
        <v>761</v>
      </c>
      <c r="F57" s="1674">
        <f t="shared" si="6"/>
        <v>3404</v>
      </c>
      <c r="G57" s="1674">
        <f t="shared" si="6"/>
        <v>0</v>
      </c>
      <c r="H57" s="1674">
        <f t="shared" si="6"/>
        <v>580</v>
      </c>
      <c r="I57" s="1674">
        <f t="shared" si="6"/>
        <v>0</v>
      </c>
      <c r="J57" s="1674">
        <f t="shared" si="6"/>
        <v>0</v>
      </c>
      <c r="K57" s="1674">
        <f t="shared" si="6"/>
        <v>155173</v>
      </c>
      <c r="L57" s="1670">
        <f>SUM(L55:L56)</f>
        <v>155272</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30405</v>
      </c>
      <c r="D60" s="466">
        <v>737</v>
      </c>
      <c r="E60" s="466">
        <v>10700</v>
      </c>
      <c r="F60" s="466">
        <v>1095</v>
      </c>
      <c r="G60" s="466"/>
      <c r="H60" s="466"/>
      <c r="I60" s="467"/>
      <c r="J60" s="467"/>
      <c r="K60" s="1672">
        <f t="shared" si="7"/>
        <v>42937</v>
      </c>
      <c r="L60" s="466">
        <v>42378</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54725</v>
      </c>
      <c r="D63" s="466">
        <v>109</v>
      </c>
      <c r="E63" s="466">
        <v>6470</v>
      </c>
      <c r="F63" s="466">
        <v>149179</v>
      </c>
      <c r="G63" s="466"/>
      <c r="H63" s="466"/>
      <c r="I63" s="467"/>
      <c r="J63" s="467"/>
      <c r="K63" s="1672">
        <f t="shared" si="7"/>
        <v>210483</v>
      </c>
      <c r="L63" s="466">
        <v>211064</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85130</v>
      </c>
      <c r="D65" s="1670">
        <f t="shared" ref="D65:L65" si="8">SUM(D59:D64)</f>
        <v>846</v>
      </c>
      <c r="E65" s="1670">
        <f t="shared" si="8"/>
        <v>17170</v>
      </c>
      <c r="F65" s="1670">
        <f t="shared" si="8"/>
        <v>150274</v>
      </c>
      <c r="G65" s="1670">
        <f t="shared" si="8"/>
        <v>0</v>
      </c>
      <c r="H65" s="1670">
        <f t="shared" si="8"/>
        <v>0</v>
      </c>
      <c r="I65" s="1670">
        <f t="shared" si="8"/>
        <v>0</v>
      </c>
      <c r="J65" s="1670">
        <f t="shared" si="8"/>
        <v>0</v>
      </c>
      <c r="K65" s="1670">
        <f t="shared" si="8"/>
        <v>253420</v>
      </c>
      <c r="L65" s="1670">
        <f t="shared" si="8"/>
        <v>253442</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v>32645</v>
      </c>
      <c r="F71" s="466">
        <v>2170</v>
      </c>
      <c r="G71" s="466"/>
      <c r="H71" s="466"/>
      <c r="I71" s="467"/>
      <c r="J71" s="467"/>
      <c r="K71" s="1672">
        <f>SUM(C71:J71)</f>
        <v>34815</v>
      </c>
      <c r="L71" s="466">
        <v>34815</v>
      </c>
      <c r="M71" s="609"/>
      <c r="N71" s="609"/>
    </row>
    <row r="72" spans="1:14" s="343" customFormat="1" ht="12.75" customHeight="1" thickBot="1" x14ac:dyDescent="0.25">
      <c r="A72" s="1668" t="s">
        <v>37</v>
      </c>
      <c r="B72" s="1675" t="s">
        <v>36</v>
      </c>
      <c r="C72" s="1670">
        <f>SUM(C67:C71)</f>
        <v>0</v>
      </c>
      <c r="D72" s="1670">
        <f t="shared" ref="D72:K72" si="9">SUM(D67:D71)</f>
        <v>0</v>
      </c>
      <c r="E72" s="1670">
        <f t="shared" si="9"/>
        <v>32645</v>
      </c>
      <c r="F72" s="1670">
        <f t="shared" si="9"/>
        <v>2170</v>
      </c>
      <c r="G72" s="1670">
        <f t="shared" si="9"/>
        <v>0</v>
      </c>
      <c r="H72" s="1670">
        <f t="shared" si="9"/>
        <v>0</v>
      </c>
      <c r="I72" s="1670">
        <f t="shared" si="9"/>
        <v>0</v>
      </c>
      <c r="J72" s="1670">
        <f t="shared" si="9"/>
        <v>0</v>
      </c>
      <c r="K72" s="1670">
        <f t="shared" si="9"/>
        <v>34815</v>
      </c>
      <c r="L72" s="1670">
        <f>SUM(L67:L71)</f>
        <v>34815</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509457</v>
      </c>
      <c r="D74" s="1677">
        <f t="shared" ref="D74:K74" si="10">SUM(D42,D47,D53,D57,D65,D72,D73)</f>
        <v>57484</v>
      </c>
      <c r="E74" s="1677">
        <f t="shared" si="10"/>
        <v>118153</v>
      </c>
      <c r="F74" s="1677">
        <f t="shared" si="10"/>
        <v>164132</v>
      </c>
      <c r="G74" s="1677">
        <f t="shared" si="10"/>
        <v>0</v>
      </c>
      <c r="H74" s="1677">
        <f t="shared" si="10"/>
        <v>1295</v>
      </c>
      <c r="I74" s="1677">
        <f t="shared" si="10"/>
        <v>0</v>
      </c>
      <c r="J74" s="1677">
        <f t="shared" si="10"/>
        <v>0</v>
      </c>
      <c r="K74" s="1677">
        <f t="shared" si="10"/>
        <v>850521</v>
      </c>
      <c r="L74" s="1677">
        <f>SUM(L42,L47,L53,L57,L65,L72,L73)</f>
        <v>851518</v>
      </c>
    </row>
    <row r="75" spans="1:14" s="259" customFormat="1" ht="15.75" customHeight="1" thickTop="1" thickBot="1" x14ac:dyDescent="0.25">
      <c r="A75" s="1610" t="s">
        <v>47</v>
      </c>
      <c r="B75" s="1611" t="s">
        <v>575</v>
      </c>
      <c r="C75" s="573">
        <v>19853</v>
      </c>
      <c r="D75" s="573">
        <v>164</v>
      </c>
      <c r="E75" s="573"/>
      <c r="F75" s="573"/>
      <c r="G75" s="573"/>
      <c r="H75" s="573">
        <v>274</v>
      </c>
      <c r="I75" s="531"/>
      <c r="J75" s="531"/>
      <c r="K75" s="1670">
        <f>SUM(C75:J75)</f>
        <v>20291</v>
      </c>
      <c r="L75" s="576">
        <v>20308</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14126</v>
      </c>
      <c r="F78" s="616"/>
      <c r="G78" s="616"/>
      <c r="H78" s="634"/>
      <c r="I78" s="477"/>
      <c r="J78" s="477"/>
      <c r="K78" s="1671">
        <f t="shared" ref="K78:K83" si="11">SUM(C78:J78)</f>
        <v>14126</v>
      </c>
      <c r="L78" s="481">
        <v>14053</v>
      </c>
    </row>
    <row r="79" spans="1:14" x14ac:dyDescent="0.2">
      <c r="A79" s="1504" t="s">
        <v>304</v>
      </c>
      <c r="B79" s="614">
        <v>4120</v>
      </c>
      <c r="C79" s="616"/>
      <c r="D79" s="616"/>
      <c r="E79" s="466">
        <v>70193</v>
      </c>
      <c r="F79" s="616"/>
      <c r="G79" s="616"/>
      <c r="H79" s="466"/>
      <c r="I79" s="477"/>
      <c r="J79" s="477"/>
      <c r="K79" s="1671">
        <f t="shared" si="11"/>
        <v>70193</v>
      </c>
      <c r="L79" s="466">
        <v>70195</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84319</v>
      </c>
      <c r="F84" s="616"/>
      <c r="G84" s="616"/>
      <c r="H84" s="1670">
        <f>SUM(H78:H83)</f>
        <v>0</v>
      </c>
      <c r="I84" s="477"/>
      <c r="J84" s="477"/>
      <c r="K84" s="1670">
        <f>SUM(K78:K83)</f>
        <v>84319</v>
      </c>
      <c r="L84" s="1670">
        <f>SUM(L78:L83)</f>
        <v>84248</v>
      </c>
    </row>
    <row r="85" spans="1:12" ht="12.75" customHeight="1" thickTop="1" thickBot="1" x14ac:dyDescent="0.25">
      <c r="A85" s="1511" t="s">
        <v>255</v>
      </c>
      <c r="B85" s="635">
        <v>4210</v>
      </c>
      <c r="C85" s="616"/>
      <c r="D85" s="616"/>
      <c r="E85" s="636"/>
      <c r="F85" s="616"/>
      <c r="G85" s="616"/>
      <c r="H85" s="535">
        <v>1000</v>
      </c>
      <c r="I85" s="477"/>
      <c r="J85" s="477"/>
      <c r="K85" s="1677">
        <f>H85</f>
        <v>1000</v>
      </c>
      <c r="L85" s="530">
        <v>1000</v>
      </c>
    </row>
    <row r="86" spans="1:12" ht="12.75" customHeight="1" thickTop="1" thickBot="1" x14ac:dyDescent="0.25">
      <c r="A86" s="1512" t="s">
        <v>699</v>
      </c>
      <c r="B86" s="637">
        <v>4220</v>
      </c>
      <c r="C86" s="616"/>
      <c r="D86" s="616"/>
      <c r="E86" s="638"/>
      <c r="F86" s="616"/>
      <c r="G86" s="616"/>
      <c r="H86" s="467">
        <v>91806</v>
      </c>
      <c r="I86" s="477"/>
      <c r="J86" s="477"/>
      <c r="K86" s="1677">
        <f t="shared" ref="K86:K98" si="12">H86</f>
        <v>91806</v>
      </c>
      <c r="L86" s="530">
        <v>91810</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92806</v>
      </c>
      <c r="I92" s="477"/>
      <c r="J92" s="477"/>
      <c r="K92" s="1677">
        <f t="shared" si="12"/>
        <v>92806</v>
      </c>
      <c r="L92" s="1670">
        <f>SUM(L85:L91)</f>
        <v>92810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84319</v>
      </c>
      <c r="F102" s="616"/>
      <c r="G102" s="616"/>
      <c r="H102" s="1677">
        <f>SUM(H84,H92,H100,H101)</f>
        <v>92806</v>
      </c>
      <c r="I102" s="477"/>
      <c r="J102" s="477"/>
      <c r="K102" s="1677">
        <f>SUM(K84,K92,K100,K101)</f>
        <v>177125</v>
      </c>
      <c r="L102" s="1677">
        <f>SUM(L84,L92,L100,L101)</f>
        <v>177058</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2195867</v>
      </c>
      <c r="D114" s="1670">
        <f t="shared" ref="D114:K114" si="13">SUM(D33,D74,D75,D102,D112,D113)</f>
        <v>329457</v>
      </c>
      <c r="E114" s="1670">
        <f t="shared" si="13"/>
        <v>258620</v>
      </c>
      <c r="F114" s="1670">
        <f t="shared" si="13"/>
        <v>287492</v>
      </c>
      <c r="G114" s="1670">
        <f t="shared" si="13"/>
        <v>7598</v>
      </c>
      <c r="H114" s="1670">
        <f>SUM(H33,H74,H75,H102,H112,H113)</f>
        <v>98821</v>
      </c>
      <c r="I114" s="1670">
        <f t="shared" si="13"/>
        <v>0</v>
      </c>
      <c r="J114" s="1670">
        <f t="shared" si="13"/>
        <v>0</v>
      </c>
      <c r="K114" s="1670">
        <f t="shared" si="13"/>
        <v>3177855</v>
      </c>
      <c r="L114" s="1670">
        <f>SUM(L33,L74,L75,L102,L112,L113)</f>
        <v>3179213</v>
      </c>
    </row>
    <row r="115" spans="1:14" ht="13.5" thickTop="1" x14ac:dyDescent="0.2">
      <c r="A115" s="2155" t="s">
        <v>996</v>
      </c>
      <c r="B115" s="2156"/>
      <c r="C115" s="618"/>
      <c r="D115" s="618"/>
      <c r="E115" s="618"/>
      <c r="F115" s="618"/>
      <c r="G115" s="618"/>
      <c r="H115" s="618"/>
      <c r="I115" s="618"/>
      <c r="J115" s="618"/>
      <c r="K115" s="1684">
        <f>'Revenues 9-14'!C268-'Expenditures 15-22'!K114</f>
        <v>60962</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0" t="s">
        <v>296</v>
      </c>
      <c r="B117" s="2161"/>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126946</v>
      </c>
      <c r="D124" s="466">
        <v>16278</v>
      </c>
      <c r="E124" s="466">
        <v>25834</v>
      </c>
      <c r="F124" s="466">
        <v>165527</v>
      </c>
      <c r="G124" s="466"/>
      <c r="H124" s="466"/>
      <c r="I124" s="467"/>
      <c r="J124" s="467"/>
      <c r="K124" s="1670">
        <f>SUM(C124:J124)</f>
        <v>334585</v>
      </c>
      <c r="L124" s="466">
        <v>334660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126946</v>
      </c>
      <c r="D127" s="1670">
        <f t="shared" ref="D127:L127" si="14">SUM(D122:D126)</f>
        <v>16278</v>
      </c>
      <c r="E127" s="1670">
        <f t="shared" si="14"/>
        <v>25834</v>
      </c>
      <c r="F127" s="1670">
        <f t="shared" si="14"/>
        <v>165527</v>
      </c>
      <c r="G127" s="1670">
        <f t="shared" si="14"/>
        <v>0</v>
      </c>
      <c r="H127" s="1670">
        <f t="shared" si="14"/>
        <v>0</v>
      </c>
      <c r="I127" s="1670">
        <f t="shared" si="14"/>
        <v>0</v>
      </c>
      <c r="J127" s="1670">
        <f t="shared" si="14"/>
        <v>0</v>
      </c>
      <c r="K127" s="1670">
        <f t="shared" si="14"/>
        <v>334585</v>
      </c>
      <c r="L127" s="1670">
        <f t="shared" si="14"/>
        <v>334660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126946</v>
      </c>
      <c r="D129" s="1677">
        <f t="shared" ref="D129:L129" si="15">SUM(D120,D127,D128)</f>
        <v>16278</v>
      </c>
      <c r="E129" s="1677">
        <f t="shared" si="15"/>
        <v>25834</v>
      </c>
      <c r="F129" s="1677">
        <f t="shared" si="15"/>
        <v>165527</v>
      </c>
      <c r="G129" s="1677">
        <f t="shared" si="15"/>
        <v>0</v>
      </c>
      <c r="H129" s="1677">
        <f t="shared" si="15"/>
        <v>0</v>
      </c>
      <c r="I129" s="1677">
        <f t="shared" si="15"/>
        <v>0</v>
      </c>
      <c r="J129" s="1677">
        <f t="shared" si="15"/>
        <v>0</v>
      </c>
      <c r="K129" s="1677">
        <f t="shared" si="15"/>
        <v>334585</v>
      </c>
      <c r="L129" s="1677">
        <f t="shared" si="15"/>
        <v>334660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2" t="s">
        <v>620</v>
      </c>
      <c r="B151" s="2152"/>
      <c r="C151" s="1670">
        <f>SUM(C129,C130,C139,C149,C150)</f>
        <v>126946</v>
      </c>
      <c r="D151" s="1670">
        <f t="shared" ref="D151:K151" si="16">SUM(D129,D130,D139,D149,D150)</f>
        <v>16278</v>
      </c>
      <c r="E151" s="1670">
        <f t="shared" si="16"/>
        <v>25834</v>
      </c>
      <c r="F151" s="1670">
        <f t="shared" si="16"/>
        <v>165527</v>
      </c>
      <c r="G151" s="1670">
        <f t="shared" si="16"/>
        <v>0</v>
      </c>
      <c r="H151" s="1670">
        <f t="shared" si="16"/>
        <v>0</v>
      </c>
      <c r="I151" s="1670">
        <f t="shared" si="16"/>
        <v>0</v>
      </c>
      <c r="J151" s="1670">
        <f t="shared" si="16"/>
        <v>0</v>
      </c>
      <c r="K151" s="1670">
        <f t="shared" si="16"/>
        <v>334585</v>
      </c>
      <c r="L151" s="1670">
        <f>SUM(L129,L130,L139,L149,L150)</f>
        <v>334660</v>
      </c>
    </row>
    <row r="152" spans="1:14" ht="12.75" customHeight="1" thickTop="1" x14ac:dyDescent="0.2">
      <c r="A152" s="2175" t="s">
        <v>1178</v>
      </c>
      <c r="B152" s="2176"/>
      <c r="C152" s="618"/>
      <c r="D152" s="618"/>
      <c r="E152" s="618"/>
      <c r="F152" s="618"/>
      <c r="G152" s="618"/>
      <c r="H152" s="618"/>
      <c r="I152" s="618"/>
      <c r="J152" s="616"/>
      <c r="K152" s="1684">
        <f>'Revenues 9-14'!D268-'Expenditures 15-22'!K151</f>
        <v>-48677</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0" t="s">
        <v>621</v>
      </c>
      <c r="B154" s="2162"/>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v>167395</v>
      </c>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167395</v>
      </c>
    </row>
    <row r="169" spans="1:14" ht="15.75" customHeight="1" thickTop="1" x14ac:dyDescent="0.2">
      <c r="A169" s="669" t="s">
        <v>83</v>
      </c>
      <c r="B169" s="670" t="s">
        <v>38</v>
      </c>
      <c r="C169" s="616"/>
      <c r="D169" s="616"/>
      <c r="E169" s="616"/>
      <c r="F169" s="616"/>
      <c r="G169" s="616"/>
      <c r="H169" s="656">
        <v>123074</v>
      </c>
      <c r="I169" s="616"/>
      <c r="J169" s="616"/>
      <c r="K169" s="1671">
        <f>SUM(C169:H169)</f>
        <v>123074</v>
      </c>
      <c r="L169" s="656">
        <v>337980</v>
      </c>
    </row>
    <row r="170" spans="1:14" ht="33.75" customHeight="1" x14ac:dyDescent="0.2">
      <c r="A170" s="669" t="s">
        <v>1670</v>
      </c>
      <c r="B170" s="671" t="s">
        <v>31</v>
      </c>
      <c r="C170" s="616"/>
      <c r="D170" s="616"/>
      <c r="E170" s="616"/>
      <c r="F170" s="616"/>
      <c r="G170" s="616"/>
      <c r="H170" s="569">
        <v>1384900</v>
      </c>
      <c r="I170" s="616"/>
      <c r="J170" s="616"/>
      <c r="K170" s="1671">
        <f>SUM(C170:J170)</f>
        <v>1384900</v>
      </c>
      <c r="L170" s="569"/>
    </row>
    <row r="171" spans="1:14" ht="15.75" customHeight="1" x14ac:dyDescent="0.2">
      <c r="A171" s="621" t="s">
        <v>766</v>
      </c>
      <c r="B171" s="672" t="s">
        <v>84</v>
      </c>
      <c r="C171" s="616"/>
      <c r="D171" s="616"/>
      <c r="E171" s="466"/>
      <c r="F171" s="616"/>
      <c r="G171" s="616"/>
      <c r="H171" s="569">
        <v>500</v>
      </c>
      <c r="I171" s="477"/>
      <c r="J171" s="616"/>
      <c r="K171" s="1671">
        <f>SUM(C171:J171)</f>
        <v>500</v>
      </c>
      <c r="L171" s="569">
        <v>500</v>
      </c>
    </row>
    <row r="172" spans="1:14" ht="12.75" customHeight="1" thickBot="1" x14ac:dyDescent="0.25">
      <c r="A172" s="1668" t="s">
        <v>638</v>
      </c>
      <c r="B172" s="1669" t="s">
        <v>492</v>
      </c>
      <c r="C172" s="616"/>
      <c r="D172" s="616"/>
      <c r="E172" s="1677">
        <f>SUM(E168,E169,E170,E171)</f>
        <v>0</v>
      </c>
      <c r="F172" s="616"/>
      <c r="G172" s="616"/>
      <c r="H172" s="1677">
        <f>SUM(H168,H169,H170,H171)</f>
        <v>1508474</v>
      </c>
      <c r="I172" s="638"/>
      <c r="J172" s="616"/>
      <c r="K172" s="1677">
        <f>SUM(K168,K169,K170,K171)</f>
        <v>1508474</v>
      </c>
      <c r="L172" s="1677">
        <f>SUM(L168,L169,L170,L171)</f>
        <v>505875</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1508474</v>
      </c>
      <c r="I174" s="638"/>
      <c r="J174" s="616"/>
      <c r="K174" s="1677">
        <f>SUM(K160,K172,K173)</f>
        <v>1508474</v>
      </c>
      <c r="L174" s="1677">
        <f>SUM(L160,L172,L173)</f>
        <v>505875</v>
      </c>
    </row>
    <row r="175" spans="1:14" ht="13.5" thickTop="1" x14ac:dyDescent="0.2">
      <c r="A175" s="2155" t="s">
        <v>996</v>
      </c>
      <c r="B175" s="2156"/>
      <c r="C175" s="616"/>
      <c r="D175" s="616"/>
      <c r="E175" s="616"/>
      <c r="F175" s="616"/>
      <c r="G175" s="616"/>
      <c r="H175" s="618"/>
      <c r="I175" s="616"/>
      <c r="J175" s="616"/>
      <c r="K175" s="1684">
        <f>'Revenues 9-14'!E268-'Expenditures 15-22'!K174</f>
        <v>-1076039</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c r="E182" s="466">
        <v>393229</v>
      </c>
      <c r="F182" s="466">
        <v>31035</v>
      </c>
      <c r="G182" s="466"/>
      <c r="H182" s="466"/>
      <c r="I182" s="467"/>
      <c r="J182" s="467"/>
      <c r="K182" s="1671">
        <f>SUM(C182:J182)</f>
        <v>424264</v>
      </c>
      <c r="L182" s="466">
        <v>424285</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0</v>
      </c>
      <c r="D184" s="1677">
        <f t="shared" ref="D184:J184" si="17">SUM(D180,D182,D183)</f>
        <v>0</v>
      </c>
      <c r="E184" s="1677">
        <f t="shared" si="17"/>
        <v>393229</v>
      </c>
      <c r="F184" s="1677">
        <f t="shared" si="17"/>
        <v>31035</v>
      </c>
      <c r="G184" s="1677">
        <f t="shared" si="17"/>
        <v>0</v>
      </c>
      <c r="H184" s="1677">
        <f t="shared" si="17"/>
        <v>0</v>
      </c>
      <c r="I184" s="1677">
        <f t="shared" si="17"/>
        <v>0</v>
      </c>
      <c r="J184" s="1677">
        <f t="shared" si="17"/>
        <v>0</v>
      </c>
      <c r="K184" s="1677">
        <f>SUM(K180,K182,K183)</f>
        <v>424264</v>
      </c>
      <c r="L184" s="1677">
        <f>SUM(L180, L182:L183)</f>
        <v>424285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0</v>
      </c>
      <c r="D210" s="1670">
        <f>SUM(D184,D185)</f>
        <v>0</v>
      </c>
      <c r="E210" s="1670">
        <f>SUM(E184,E185,E196)</f>
        <v>393229</v>
      </c>
      <c r="F210" s="1670">
        <f>SUM(F184,F185)</f>
        <v>31035</v>
      </c>
      <c r="G210" s="1670">
        <f>SUM(G184,G185)</f>
        <v>0</v>
      </c>
      <c r="H210" s="1670">
        <f>SUM(H184,H185,H196,H208,H209)</f>
        <v>0</v>
      </c>
      <c r="I210" s="1670">
        <f>SUM(I184,I185)</f>
        <v>0</v>
      </c>
      <c r="J210" s="1670">
        <f>SUM(J184,J185)</f>
        <v>0</v>
      </c>
      <c r="K210" s="1671">
        <f>SUM(K184,K185,K196,K208,K209)</f>
        <v>424264</v>
      </c>
      <c r="L210" s="1670">
        <f>SUM(L184,L185,L196,L208,L209)</f>
        <v>424285</v>
      </c>
    </row>
    <row r="211" spans="1:14" ht="13.5" thickTop="1" x14ac:dyDescent="0.2">
      <c r="A211" s="2155" t="s">
        <v>996</v>
      </c>
      <c r="B211" s="2156"/>
      <c r="C211" s="618"/>
      <c r="D211" s="618"/>
      <c r="E211" s="618"/>
      <c r="F211" s="618"/>
      <c r="G211" s="618"/>
      <c r="H211" s="618"/>
      <c r="I211" s="616"/>
      <c r="J211" s="616"/>
      <c r="K211" s="1684">
        <f>'Revenues 9-14'!F268-'Expenditures 15-22'!K210</f>
        <v>-67612</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7" t="s">
        <v>965</v>
      </c>
      <c r="B213" s="2178"/>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15297</v>
      </c>
      <c r="E215" s="616"/>
      <c r="F215" s="616"/>
      <c r="G215" s="616"/>
      <c r="H215" s="616"/>
      <c r="I215" s="616"/>
      <c r="J215" s="616"/>
      <c r="K215" s="1671">
        <f>D215</f>
        <v>15297</v>
      </c>
      <c r="L215" s="466">
        <v>15304</v>
      </c>
    </row>
    <row r="216" spans="1:14" x14ac:dyDescent="0.2">
      <c r="A216" s="1504" t="s">
        <v>163</v>
      </c>
      <c r="B216" s="614" t="s">
        <v>967</v>
      </c>
      <c r="C216" s="616"/>
      <c r="D216" s="467">
        <v>3023</v>
      </c>
      <c r="E216" s="616"/>
      <c r="F216" s="616"/>
      <c r="G216" s="616"/>
      <c r="H216" s="616"/>
      <c r="I216" s="616"/>
      <c r="J216" s="616"/>
      <c r="K216" s="1671">
        <f t="shared" ref="K216:K228" si="19">D216</f>
        <v>3023</v>
      </c>
      <c r="L216" s="466">
        <v>3035</v>
      </c>
    </row>
    <row r="217" spans="1:14" x14ac:dyDescent="0.2">
      <c r="A217" s="1504" t="s">
        <v>164</v>
      </c>
      <c r="B217" s="614">
        <v>1200</v>
      </c>
      <c r="C217" s="616"/>
      <c r="D217" s="466">
        <v>29069</v>
      </c>
      <c r="E217" s="616"/>
      <c r="F217" s="616"/>
      <c r="G217" s="616"/>
      <c r="H217" s="616"/>
      <c r="I217" s="616"/>
      <c r="J217" s="616"/>
      <c r="K217" s="1671">
        <f t="shared" si="19"/>
        <v>29069</v>
      </c>
      <c r="L217" s="466">
        <v>29093</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835</v>
      </c>
      <c r="E219" s="616"/>
      <c r="F219" s="616"/>
      <c r="G219" s="616"/>
      <c r="H219" s="616"/>
      <c r="I219" s="616"/>
      <c r="J219" s="616"/>
      <c r="K219" s="1671">
        <f t="shared" si="19"/>
        <v>835</v>
      </c>
      <c r="L219" s="466">
        <v>848</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698</v>
      </c>
      <c r="E222" s="616"/>
      <c r="F222" s="616"/>
      <c r="G222" s="616"/>
      <c r="H222" s="616"/>
      <c r="I222" s="616"/>
      <c r="J222" s="616"/>
      <c r="K222" s="1671">
        <f t="shared" si="19"/>
        <v>698</v>
      </c>
      <c r="L222" s="466">
        <v>710</v>
      </c>
    </row>
    <row r="223" spans="1:14" x14ac:dyDescent="0.2">
      <c r="A223" s="1504" t="s">
        <v>963</v>
      </c>
      <c r="B223" s="614">
        <v>1500</v>
      </c>
      <c r="C223" s="616"/>
      <c r="D223" s="466">
        <v>1168</v>
      </c>
      <c r="E223" s="616"/>
      <c r="F223" s="616"/>
      <c r="G223" s="616"/>
      <c r="H223" s="616"/>
      <c r="I223" s="616"/>
      <c r="J223" s="616"/>
      <c r="K223" s="1671">
        <f t="shared" si="19"/>
        <v>1168</v>
      </c>
      <c r="L223" s="466">
        <v>1180</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137</v>
      </c>
      <c r="E226" s="616"/>
      <c r="F226" s="616"/>
      <c r="G226" s="616"/>
      <c r="H226" s="616"/>
      <c r="I226" s="616"/>
      <c r="J226" s="616"/>
      <c r="K226" s="1671">
        <f t="shared" si="19"/>
        <v>137</v>
      </c>
      <c r="L226" s="466">
        <v>140</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50227</v>
      </c>
      <c r="E229" s="616"/>
      <c r="F229" s="616"/>
      <c r="G229" s="616"/>
      <c r="H229" s="616"/>
      <c r="I229" s="616"/>
      <c r="J229" s="616"/>
      <c r="K229" s="1670">
        <f>SUM(K215:K228)</f>
        <v>50227</v>
      </c>
      <c r="L229" s="1670">
        <f>SUM(L215:L228)</f>
        <v>50310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957</v>
      </c>
      <c r="E233" s="616"/>
      <c r="F233" s="616"/>
      <c r="G233" s="616"/>
      <c r="H233" s="616"/>
      <c r="I233" s="616"/>
      <c r="J233" s="616"/>
      <c r="K233" s="1671">
        <f t="shared" si="20"/>
        <v>957</v>
      </c>
      <c r="L233" s="466">
        <v>960</v>
      </c>
    </row>
    <row r="234" spans="1:12" x14ac:dyDescent="0.2">
      <c r="A234" s="1504" t="s">
        <v>198</v>
      </c>
      <c r="B234" s="614">
        <v>2130</v>
      </c>
      <c r="C234" s="616"/>
      <c r="D234" s="466">
        <v>1055</v>
      </c>
      <c r="E234" s="616"/>
      <c r="F234" s="616"/>
      <c r="G234" s="616"/>
      <c r="H234" s="616"/>
      <c r="I234" s="616"/>
      <c r="J234" s="616"/>
      <c r="K234" s="1671">
        <f t="shared" si="20"/>
        <v>1055</v>
      </c>
      <c r="L234" s="466">
        <v>1060</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442</v>
      </c>
      <c r="E236" s="616"/>
      <c r="F236" s="616"/>
      <c r="G236" s="616"/>
      <c r="H236" s="616"/>
      <c r="I236" s="616"/>
      <c r="J236" s="616"/>
      <c r="K236" s="1671">
        <f t="shared" si="20"/>
        <v>442</v>
      </c>
      <c r="L236" s="466">
        <v>445</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2454</v>
      </c>
      <c r="E238" s="616"/>
      <c r="F238" s="616"/>
      <c r="G238" s="616"/>
      <c r="H238" s="616"/>
      <c r="I238" s="616"/>
      <c r="J238" s="616"/>
      <c r="K238" s="1670">
        <f>SUM(K232:K237)</f>
        <v>2454</v>
      </c>
      <c r="L238" s="1670">
        <f>SUM(L232:L237)</f>
        <v>2465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56</v>
      </c>
      <c r="E240" s="616"/>
      <c r="F240" s="616"/>
      <c r="G240" s="616"/>
      <c r="H240" s="616"/>
      <c r="I240" s="616"/>
      <c r="J240" s="616"/>
      <c r="K240" s="1672">
        <f>D240</f>
        <v>56</v>
      </c>
      <c r="L240" s="481">
        <v>64</v>
      </c>
    </row>
    <row r="241" spans="1:12" x14ac:dyDescent="0.2">
      <c r="A241" s="1504" t="s">
        <v>815</v>
      </c>
      <c r="B241" s="614">
        <v>2220</v>
      </c>
      <c r="C241" s="616"/>
      <c r="D241" s="466">
        <v>4209</v>
      </c>
      <c r="E241" s="616"/>
      <c r="F241" s="616"/>
      <c r="G241" s="616"/>
      <c r="H241" s="616"/>
      <c r="I241" s="616"/>
      <c r="J241" s="616"/>
      <c r="K241" s="1672">
        <f>D241</f>
        <v>4209</v>
      </c>
      <c r="L241" s="466">
        <v>4219</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4265</v>
      </c>
      <c r="E243" s="616"/>
      <c r="F243" s="616"/>
      <c r="G243" s="616"/>
      <c r="H243" s="616"/>
      <c r="I243" s="616"/>
      <c r="J243" s="616"/>
      <c r="K243" s="1670">
        <f>SUM(K240:K242)</f>
        <v>4265</v>
      </c>
      <c r="L243" s="1670">
        <f>SUM(L240:L242)</f>
        <v>4283</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467</v>
      </c>
      <c r="E245" s="616"/>
      <c r="F245" s="616"/>
      <c r="G245" s="616"/>
      <c r="H245" s="616"/>
      <c r="I245" s="616"/>
      <c r="J245" s="616"/>
      <c r="K245" s="1672">
        <f>D245</f>
        <v>467</v>
      </c>
      <c r="L245" s="481">
        <v>480</v>
      </c>
    </row>
    <row r="246" spans="1:12" x14ac:dyDescent="0.2">
      <c r="A246" s="1504" t="s">
        <v>818</v>
      </c>
      <c r="B246" s="614">
        <v>2320</v>
      </c>
      <c r="C246" s="616"/>
      <c r="D246" s="466">
        <v>6288</v>
      </c>
      <c r="E246" s="616"/>
      <c r="F246" s="616"/>
      <c r="G246" s="616"/>
      <c r="H246" s="616"/>
      <c r="I246" s="616"/>
      <c r="J246" s="616"/>
      <c r="K246" s="1672">
        <f t="shared" ref="K246:K256" si="21">D246</f>
        <v>6288</v>
      </c>
      <c r="L246" s="466">
        <v>6293</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18125</v>
      </c>
      <c r="E254" s="616"/>
      <c r="F254" s="616"/>
      <c r="G254" s="616"/>
      <c r="H254" s="616"/>
      <c r="I254" s="616"/>
      <c r="J254" s="616"/>
      <c r="K254" s="1672">
        <f t="shared" si="21"/>
        <v>18125</v>
      </c>
      <c r="L254" s="466">
        <v>18130</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24880</v>
      </c>
      <c r="E257" s="616"/>
      <c r="F257" s="616"/>
      <c r="G257" s="616"/>
      <c r="H257" s="616"/>
      <c r="I257" s="616"/>
      <c r="J257" s="616"/>
      <c r="K257" s="1670">
        <f>SUM(K245:K256)</f>
        <v>24880</v>
      </c>
      <c r="L257" s="1670">
        <f>SUM(L245:L256)</f>
        <v>24903</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6002</v>
      </c>
      <c r="E259" s="616"/>
      <c r="F259" s="616"/>
      <c r="G259" s="616"/>
      <c r="H259" s="616"/>
      <c r="I259" s="616"/>
      <c r="J259" s="616"/>
      <c r="K259" s="1672">
        <f>D259</f>
        <v>6002</v>
      </c>
      <c r="L259" s="481">
        <v>6015</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6002</v>
      </c>
      <c r="E261" s="616"/>
      <c r="F261" s="616"/>
      <c r="G261" s="616"/>
      <c r="H261" s="616"/>
      <c r="I261" s="616"/>
      <c r="J261" s="616"/>
      <c r="K261" s="1670">
        <f>SUM(K259:K260)</f>
        <v>6002</v>
      </c>
      <c r="L261" s="1670">
        <f>SUM(L259:L260)</f>
        <v>6015</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4470</v>
      </c>
      <c r="E264" s="616"/>
      <c r="F264" s="616"/>
      <c r="G264" s="616"/>
      <c r="H264" s="616"/>
      <c r="I264" s="616"/>
      <c r="J264" s="616"/>
      <c r="K264" s="1672">
        <f t="shared" ref="K264:K269" si="22">D264</f>
        <v>4470</v>
      </c>
      <c r="L264" s="466">
        <v>4477</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17451</v>
      </c>
      <c r="E266" s="616"/>
      <c r="F266" s="616"/>
      <c r="G266" s="616"/>
      <c r="H266" s="616"/>
      <c r="I266" s="616"/>
      <c r="J266" s="616"/>
      <c r="K266" s="1672">
        <f t="shared" si="22"/>
        <v>17451</v>
      </c>
      <c r="L266" s="466">
        <v>17476</v>
      </c>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v>7776</v>
      </c>
      <c r="E268" s="616"/>
      <c r="F268" s="616"/>
      <c r="G268" s="616"/>
      <c r="H268" s="616"/>
      <c r="I268" s="616"/>
      <c r="J268" s="616"/>
      <c r="K268" s="1672">
        <f t="shared" si="22"/>
        <v>7776</v>
      </c>
      <c r="L268" s="466">
        <v>9828</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29697</v>
      </c>
      <c r="E270" s="616"/>
      <c r="F270" s="616"/>
      <c r="G270" s="616"/>
      <c r="H270" s="616"/>
      <c r="I270" s="616"/>
      <c r="J270" s="616"/>
      <c r="K270" s="1670">
        <f>SUM(K263:K269)</f>
        <v>29697</v>
      </c>
      <c r="L270" s="1670">
        <f>SUM(L263:L269)</f>
        <v>31781</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67298</v>
      </c>
      <c r="E279" s="616"/>
      <c r="F279" s="616"/>
      <c r="G279" s="616"/>
      <c r="H279" s="616"/>
      <c r="I279" s="616"/>
      <c r="J279" s="616"/>
      <c r="K279" s="1677">
        <f>SUM(K238,K243,K257,K261,K270,K277,K278)</f>
        <v>67298</v>
      </c>
      <c r="L279" s="1677">
        <f>SUM(L238,L243,L257,L261,L270,L277,L278)</f>
        <v>69447</v>
      </c>
    </row>
    <row r="280" spans="1:12" ht="15.75" customHeight="1" thickTop="1" thickBot="1" x14ac:dyDescent="0.25">
      <c r="A280" s="1624" t="s">
        <v>875</v>
      </c>
      <c r="B280" s="1613">
        <v>3000</v>
      </c>
      <c r="C280" s="616"/>
      <c r="D280" s="576">
        <v>3043</v>
      </c>
      <c r="E280" s="616"/>
      <c r="F280" s="616"/>
      <c r="G280" s="616"/>
      <c r="H280" s="616"/>
      <c r="I280" s="616"/>
      <c r="J280" s="616"/>
      <c r="K280" s="1679">
        <f>D280</f>
        <v>3043</v>
      </c>
      <c r="L280" s="576">
        <v>3063</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3" t="s">
        <v>505</v>
      </c>
      <c r="B295" s="2174"/>
      <c r="C295" s="616"/>
      <c r="D295" s="1670">
        <f>SUM(D229,D279,D280,D285)</f>
        <v>120568</v>
      </c>
      <c r="E295" s="616"/>
      <c r="F295" s="616"/>
      <c r="G295" s="616"/>
      <c r="H295" s="1670">
        <f>H293</f>
        <v>0</v>
      </c>
      <c r="I295" s="616"/>
      <c r="J295" s="616"/>
      <c r="K295" s="1670">
        <f>SUM(K229,K279,K280,K285,K293,K294)</f>
        <v>120568</v>
      </c>
      <c r="L295" s="1670">
        <f>SUM(L229,L279,L280,L285,L293,L294)</f>
        <v>122820</v>
      </c>
    </row>
    <row r="296" spans="1:14" ht="13.5" thickTop="1" x14ac:dyDescent="0.2">
      <c r="A296" s="2155" t="s">
        <v>996</v>
      </c>
      <c r="B296" s="2156"/>
      <c r="C296" s="616"/>
      <c r="D296" s="618"/>
      <c r="E296" s="616"/>
      <c r="F296" s="616"/>
      <c r="G296" s="616"/>
      <c r="H296" s="687"/>
      <c r="I296" s="616"/>
      <c r="J296" s="616"/>
      <c r="K296" s="1684">
        <f>'Revenues 9-14'!G268-'Expenditures 15-22'!K295</f>
        <v>26566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5" t="s">
        <v>143</v>
      </c>
      <c r="B298" s="2159"/>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v>12789</v>
      </c>
      <c r="H301" s="466"/>
      <c r="I301" s="467"/>
      <c r="J301" s="467"/>
      <c r="K301" s="1671">
        <f>SUM(C301:J301)</f>
        <v>12789</v>
      </c>
      <c r="L301" s="467">
        <v>12790</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12789</v>
      </c>
      <c r="H303" s="1677">
        <f t="shared" si="23"/>
        <v>0</v>
      </c>
      <c r="I303" s="1677">
        <f t="shared" si="23"/>
        <v>0</v>
      </c>
      <c r="J303" s="1677">
        <f t="shared" si="23"/>
        <v>0</v>
      </c>
      <c r="K303" s="1677">
        <f t="shared" si="23"/>
        <v>12789</v>
      </c>
      <c r="L303" s="1677">
        <f t="shared" si="23"/>
        <v>12790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0" t="s">
        <v>277</v>
      </c>
      <c r="B312" s="2171"/>
      <c r="C312" s="1670">
        <f>SUM(C303)</f>
        <v>0</v>
      </c>
      <c r="D312" s="1670">
        <f>SUM(D303)</f>
        <v>0</v>
      </c>
      <c r="E312" s="1670">
        <f>SUM(E303,E310)</f>
        <v>0</v>
      </c>
      <c r="F312" s="1670">
        <f>SUM(F303)</f>
        <v>0</v>
      </c>
      <c r="G312" s="1670">
        <f>SUM(G303)</f>
        <v>12789</v>
      </c>
      <c r="H312" s="1670">
        <f>SUM(H303,H310)</f>
        <v>0</v>
      </c>
      <c r="I312" s="1670">
        <f>SUM(I303)</f>
        <v>0</v>
      </c>
      <c r="J312" s="1670">
        <f>SUM(J303)</f>
        <v>0</v>
      </c>
      <c r="K312" s="1670">
        <f>SUM(K303,K310,K311)</f>
        <v>12789</v>
      </c>
      <c r="L312" s="1670">
        <f>SUM(L303,L310,L311)</f>
        <v>12790</v>
      </c>
      <c r="M312" s="665"/>
      <c r="N312" s="665"/>
    </row>
    <row r="313" spans="1:14" ht="13.5" thickTop="1" x14ac:dyDescent="0.2">
      <c r="A313" s="2166" t="s">
        <v>996</v>
      </c>
      <c r="B313" s="2167"/>
      <c r="C313" s="626"/>
      <c r="D313" s="626"/>
      <c r="E313" s="626"/>
      <c r="F313" s="626"/>
      <c r="G313" s="626"/>
      <c r="H313" s="626"/>
      <c r="I313" s="626"/>
      <c r="J313" s="626"/>
      <c r="K313" s="1685">
        <f>'Revenues 9-14'!H268-'Expenditures 15-22'!K312</f>
        <v>40665</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9" t="s">
        <v>149</v>
      </c>
      <c r="B315" s="2180"/>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1" t="s">
        <v>898</v>
      </c>
      <c r="B317" s="2180"/>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17670</v>
      </c>
      <c r="F320" s="467"/>
      <c r="G320" s="467"/>
      <c r="H320" s="467"/>
      <c r="I320" s="467"/>
      <c r="J320" s="467"/>
      <c r="K320" s="1671">
        <f t="shared" ref="K320:K327" si="24">SUM(C320:J320)</f>
        <v>17670</v>
      </c>
      <c r="L320" s="467">
        <v>17670</v>
      </c>
      <c r="M320" s="665"/>
      <c r="N320" s="665"/>
    </row>
    <row r="321" spans="1:14" s="674" customFormat="1" x14ac:dyDescent="0.2">
      <c r="A321" s="1519" t="s">
        <v>300</v>
      </c>
      <c r="B321" s="697" t="s">
        <v>283</v>
      </c>
      <c r="C321" s="467"/>
      <c r="D321" s="467"/>
      <c r="E321" s="467">
        <v>2223</v>
      </c>
      <c r="F321" s="467"/>
      <c r="G321" s="467"/>
      <c r="H321" s="467"/>
      <c r="I321" s="467"/>
      <c r="J321" s="467"/>
      <c r="K321" s="1671">
        <f t="shared" si="24"/>
        <v>2223</v>
      </c>
      <c r="L321" s="467">
        <v>2225</v>
      </c>
      <c r="M321" s="665"/>
      <c r="N321" s="665"/>
    </row>
    <row r="322" spans="1:14" s="674" customFormat="1" x14ac:dyDescent="0.2">
      <c r="A322" s="1519" t="s">
        <v>238</v>
      </c>
      <c r="B322" s="697" t="s">
        <v>284</v>
      </c>
      <c r="C322" s="467"/>
      <c r="D322" s="467"/>
      <c r="E322" s="467">
        <v>41611</v>
      </c>
      <c r="F322" s="467"/>
      <c r="G322" s="467"/>
      <c r="H322" s="467"/>
      <c r="I322" s="467"/>
      <c r="J322" s="467"/>
      <c r="K322" s="1671">
        <f t="shared" si="24"/>
        <v>41611</v>
      </c>
      <c r="L322" s="467">
        <v>3997</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341626</v>
      </c>
      <c r="D325" s="467">
        <v>53337</v>
      </c>
      <c r="E325" s="467">
        <v>12784</v>
      </c>
      <c r="F325" s="467"/>
      <c r="G325" s="467"/>
      <c r="H325" s="467"/>
      <c r="I325" s="467"/>
      <c r="J325" s="467"/>
      <c r="K325" s="1671">
        <f t="shared" si="24"/>
        <v>407747</v>
      </c>
      <c r="L325" s="467">
        <v>401401</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3678</v>
      </c>
      <c r="F327" s="467"/>
      <c r="G327" s="467"/>
      <c r="H327" s="467"/>
      <c r="I327" s="467"/>
      <c r="J327" s="467"/>
      <c r="K327" s="1671">
        <f t="shared" si="24"/>
        <v>3678</v>
      </c>
      <c r="L327" s="467">
        <v>9990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v>37620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341626</v>
      </c>
      <c r="D330" s="1670">
        <f t="shared" ref="D330:J330" si="25">SUM(D319:D329)</f>
        <v>53337</v>
      </c>
      <c r="E330" s="1670">
        <f t="shared" si="25"/>
        <v>77966</v>
      </c>
      <c r="F330" s="1670">
        <f t="shared" si="25"/>
        <v>0</v>
      </c>
      <c r="G330" s="1670">
        <f t="shared" si="25"/>
        <v>0</v>
      </c>
      <c r="H330" s="1670">
        <f t="shared" si="25"/>
        <v>0</v>
      </c>
      <c r="I330" s="1670">
        <f t="shared" si="25"/>
        <v>0</v>
      </c>
      <c r="J330" s="1670">
        <f t="shared" si="25"/>
        <v>0</v>
      </c>
      <c r="K330" s="1670">
        <f>SUM(K319:K329)</f>
        <v>472929</v>
      </c>
      <c r="L330" s="1670">
        <f>SUM(L319:L329)</f>
        <v>472903</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341626</v>
      </c>
      <c r="D342" s="1670">
        <f>SUM(D330)</f>
        <v>53337</v>
      </c>
      <c r="E342" s="1670">
        <f>SUM(E330)</f>
        <v>77966</v>
      </c>
      <c r="F342" s="1670">
        <f>SUM(F330)</f>
        <v>0</v>
      </c>
      <c r="G342" s="1670">
        <f>SUM(G330)</f>
        <v>0</v>
      </c>
      <c r="H342" s="1670">
        <f>SUM(H330,H334,H340)</f>
        <v>0</v>
      </c>
      <c r="I342" s="1670">
        <f>SUM(I330)</f>
        <v>0</v>
      </c>
      <c r="J342" s="1670">
        <f>SUM(J330)</f>
        <v>0</v>
      </c>
      <c r="K342" s="1670">
        <f>SUM(K330,K334,K340)</f>
        <v>472929</v>
      </c>
      <c r="L342" s="1677">
        <f>SUM(L330,L340,L341)</f>
        <v>472903</v>
      </c>
    </row>
    <row r="343" spans="1:14" ht="12.75" customHeight="1" thickTop="1" x14ac:dyDescent="0.2">
      <c r="A343" s="2168" t="s">
        <v>996</v>
      </c>
      <c r="B343" s="2169"/>
      <c r="C343" s="616"/>
      <c r="D343" s="616"/>
      <c r="E343" s="616"/>
      <c r="F343" s="616"/>
      <c r="G343" s="616"/>
      <c r="H343" s="616"/>
      <c r="I343" s="616"/>
      <c r="J343" s="616"/>
      <c r="K343" s="1684">
        <f>'Revenues 9-14'!J268-'Expenditures 15-22'!K342</f>
        <v>41806</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8" t="s">
        <v>966</v>
      </c>
      <c r="B345" s="2159"/>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1533</v>
      </c>
      <c r="F348" s="466"/>
      <c r="G348" s="466"/>
      <c r="H348" s="466"/>
      <c r="I348" s="467"/>
      <c r="J348" s="467"/>
      <c r="K348" s="1671">
        <f>SUM(C348:J348)</f>
        <v>1533</v>
      </c>
      <c r="L348" s="466">
        <v>1535</v>
      </c>
    </row>
    <row r="349" spans="1:14" x14ac:dyDescent="0.2">
      <c r="A349" s="1504" t="s">
        <v>197</v>
      </c>
      <c r="B349" s="614">
        <v>2540</v>
      </c>
      <c r="C349" s="466"/>
      <c r="D349" s="466"/>
      <c r="E349" s="466"/>
      <c r="F349" s="466">
        <v>244</v>
      </c>
      <c r="G349" s="466"/>
      <c r="H349" s="466"/>
      <c r="I349" s="467"/>
      <c r="J349" s="467"/>
      <c r="K349" s="1671">
        <f>SUM(C349:J349)</f>
        <v>244</v>
      </c>
      <c r="L349" s="466">
        <v>245</v>
      </c>
    </row>
    <row r="350" spans="1:14" ht="12.75" customHeight="1" thickBot="1" x14ac:dyDescent="0.25">
      <c r="A350" s="1668" t="s">
        <v>719</v>
      </c>
      <c r="B350" s="1669" t="s">
        <v>35</v>
      </c>
      <c r="C350" s="1670">
        <f>SUM(C348:C349)</f>
        <v>0</v>
      </c>
      <c r="D350" s="1670">
        <f t="shared" ref="D350:L350" si="26">SUM(D348:D349)</f>
        <v>0</v>
      </c>
      <c r="E350" s="1670">
        <f t="shared" si="26"/>
        <v>1533</v>
      </c>
      <c r="F350" s="1670">
        <f t="shared" si="26"/>
        <v>244</v>
      </c>
      <c r="G350" s="1670">
        <f t="shared" si="26"/>
        <v>0</v>
      </c>
      <c r="H350" s="1670">
        <f t="shared" si="26"/>
        <v>0</v>
      </c>
      <c r="I350" s="1670">
        <f t="shared" si="26"/>
        <v>0</v>
      </c>
      <c r="J350" s="1670">
        <f t="shared" si="26"/>
        <v>0</v>
      </c>
      <c r="K350" s="1670">
        <f t="shared" si="26"/>
        <v>1777</v>
      </c>
      <c r="L350" s="1670">
        <f t="shared" si="26"/>
        <v>1780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1533</v>
      </c>
      <c r="F352" s="1670">
        <f t="shared" si="27"/>
        <v>244</v>
      </c>
      <c r="G352" s="1670">
        <f t="shared" si="27"/>
        <v>0</v>
      </c>
      <c r="H352" s="1670">
        <f t="shared" si="27"/>
        <v>0</v>
      </c>
      <c r="I352" s="1670">
        <f t="shared" si="27"/>
        <v>0</v>
      </c>
      <c r="J352" s="1670">
        <f t="shared" si="27"/>
        <v>0</v>
      </c>
      <c r="K352" s="1670">
        <f t="shared" si="27"/>
        <v>1777</v>
      </c>
      <c r="L352" s="1670">
        <f t="shared" si="27"/>
        <v>1780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1533</v>
      </c>
      <c r="F367" s="1670">
        <f t="shared" si="28"/>
        <v>244</v>
      </c>
      <c r="G367" s="1670">
        <f t="shared" si="28"/>
        <v>0</v>
      </c>
      <c r="H367" s="1670">
        <f t="shared" si="28"/>
        <v>0</v>
      </c>
      <c r="I367" s="1670">
        <f t="shared" si="28"/>
        <v>0</v>
      </c>
      <c r="J367" s="1670">
        <f t="shared" si="28"/>
        <v>0</v>
      </c>
      <c r="K367" s="1670">
        <f t="shared" si="28"/>
        <v>1777</v>
      </c>
      <c r="L367" s="1670">
        <f t="shared" si="28"/>
        <v>1780</v>
      </c>
    </row>
    <row r="368" spans="1:14" ht="13.5" thickTop="1" x14ac:dyDescent="0.2">
      <c r="A368" s="2155" t="s">
        <v>996</v>
      </c>
      <c r="B368" s="2156"/>
      <c r="C368" s="654"/>
      <c r="D368" s="654"/>
      <c r="E368" s="626"/>
      <c r="F368" s="626"/>
      <c r="G368" s="626"/>
      <c r="H368" s="626"/>
      <c r="I368" s="626"/>
      <c r="J368" s="623"/>
      <c r="K368" s="1671">
        <f>'Revenues 9-14'!K268-'Expenditures 15-22'!K367</f>
        <v>18657</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G31" sqref="G31"/>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751995</v>
      </c>
      <c r="C4" s="1524"/>
      <c r="D4" s="1752">
        <f>B4-C4</f>
        <v>751995</v>
      </c>
      <c r="E4" s="1524">
        <v>791931</v>
      </c>
      <c r="F4" s="1752">
        <f>E4-C4</f>
        <v>791931</v>
      </c>
    </row>
    <row r="5" spans="1:6" ht="13.7" customHeight="1" x14ac:dyDescent="0.2">
      <c r="A5" s="715" t="s">
        <v>870</v>
      </c>
      <c r="B5" s="1750">
        <f>'Revenues 9-14'!D5</f>
        <v>234996</v>
      </c>
      <c r="C5" s="585"/>
      <c r="D5" s="1753">
        <f t="shared" ref="D5:D18" si="0">B5-C5</f>
        <v>234996</v>
      </c>
      <c r="E5" s="585">
        <v>247478</v>
      </c>
      <c r="F5" s="1753">
        <f>E5-C5</f>
        <v>247478</v>
      </c>
    </row>
    <row r="6" spans="1:6" ht="13.7" customHeight="1" x14ac:dyDescent="0.2">
      <c r="A6" s="715" t="s">
        <v>411</v>
      </c>
      <c r="B6" s="1750">
        <f>'Revenues 9-14'!E5</f>
        <v>339835</v>
      </c>
      <c r="C6" s="585"/>
      <c r="D6" s="1753">
        <f t="shared" si="0"/>
        <v>339835</v>
      </c>
      <c r="E6" s="585">
        <v>655287</v>
      </c>
      <c r="F6" s="1753">
        <f t="shared" ref="F6:F18" si="1">E6-C6</f>
        <v>655287</v>
      </c>
    </row>
    <row r="7" spans="1:6" ht="13.7" customHeight="1" x14ac:dyDescent="0.2">
      <c r="A7" s="715" t="s">
        <v>155</v>
      </c>
      <c r="B7" s="1750">
        <f>'Revenues 9-14'!F5</f>
        <v>81738</v>
      </c>
      <c r="C7" s="585"/>
      <c r="D7" s="1753">
        <f t="shared" si="0"/>
        <v>81738</v>
      </c>
      <c r="E7" s="585">
        <v>86079</v>
      </c>
      <c r="F7" s="1753">
        <f t="shared" si="1"/>
        <v>86079</v>
      </c>
    </row>
    <row r="8" spans="1:6" ht="13.7" customHeight="1" x14ac:dyDescent="0.2">
      <c r="A8" s="715" t="s">
        <v>1179</v>
      </c>
      <c r="B8" s="1750">
        <f>'Revenues 9-14'!G5</f>
        <v>68455</v>
      </c>
      <c r="C8" s="585"/>
      <c r="D8" s="1753">
        <f t="shared" si="0"/>
        <v>68455</v>
      </c>
      <c r="E8" s="585">
        <v>68500</v>
      </c>
      <c r="F8" s="1753">
        <f t="shared" si="1"/>
        <v>68500</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20434</v>
      </c>
      <c r="C10" s="585"/>
      <c r="D10" s="1753">
        <f t="shared" si="0"/>
        <v>20434</v>
      </c>
      <c r="E10" s="585">
        <v>21520</v>
      </c>
      <c r="F10" s="1753">
        <f t="shared" si="1"/>
        <v>21520</v>
      </c>
    </row>
    <row r="11" spans="1:6" x14ac:dyDescent="0.2">
      <c r="A11" s="715" t="s">
        <v>409</v>
      </c>
      <c r="B11" s="1750">
        <f>'Revenues 9-14'!J5</f>
        <v>514662</v>
      </c>
      <c r="C11" s="585"/>
      <c r="D11" s="1753">
        <f t="shared" si="0"/>
        <v>514662</v>
      </c>
      <c r="E11" s="585">
        <v>540800</v>
      </c>
      <c r="F11" s="1753">
        <f t="shared" si="1"/>
        <v>540800</v>
      </c>
    </row>
    <row r="12" spans="1:6" ht="13.7" customHeight="1" x14ac:dyDescent="0.2">
      <c r="A12" s="715" t="s">
        <v>157</v>
      </c>
      <c r="B12" s="1750">
        <f>'Revenues 9-14'!K5</f>
        <v>20434</v>
      </c>
      <c r="C12" s="585"/>
      <c r="D12" s="1753">
        <f t="shared" si="0"/>
        <v>20434</v>
      </c>
      <c r="E12" s="585">
        <v>21520</v>
      </c>
      <c r="F12" s="1753">
        <f t="shared" si="1"/>
        <v>21520</v>
      </c>
    </row>
    <row r="13" spans="1:6" ht="13.7" customHeight="1" x14ac:dyDescent="0.2">
      <c r="A13" s="715" t="s">
        <v>936</v>
      </c>
      <c r="B13" s="1750">
        <f>SUM('Revenues 9-14'!C6:D6)</f>
        <v>20434</v>
      </c>
      <c r="C13" s="585"/>
      <c r="D13" s="1753">
        <f t="shared" si="0"/>
        <v>20434</v>
      </c>
      <c r="E13" s="585">
        <v>21520</v>
      </c>
      <c r="F13" s="1753">
        <f t="shared" si="1"/>
        <v>21520</v>
      </c>
    </row>
    <row r="14" spans="1:6" ht="13.7" customHeight="1" x14ac:dyDescent="0.2">
      <c r="A14" s="715" t="s">
        <v>410</v>
      </c>
      <c r="B14" s="1750">
        <f>SUM('Revenues 9-14'!C7:D7,'Revenues 9-14'!F7:H7)</f>
        <v>16347</v>
      </c>
      <c r="C14" s="585"/>
      <c r="D14" s="1753">
        <f t="shared" si="0"/>
        <v>16347</v>
      </c>
      <c r="E14" s="585">
        <v>17216</v>
      </c>
      <c r="F14" s="1753">
        <f t="shared" si="1"/>
        <v>17216</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68454</v>
      </c>
      <c r="C16" s="585"/>
      <c r="D16" s="1753">
        <f t="shared" si="0"/>
        <v>68454</v>
      </c>
      <c r="E16" s="585">
        <v>68500</v>
      </c>
      <c r="F16" s="1753">
        <f t="shared" si="1"/>
        <v>68500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2137784</v>
      </c>
      <c r="C19" s="1751">
        <f>SUM(C4:C18)</f>
        <v>0</v>
      </c>
      <c r="D19" s="1751">
        <f>SUM(D4:D18)</f>
        <v>2137784</v>
      </c>
      <c r="E19" s="1751">
        <f>SUM(E4:E18)</f>
        <v>2540351</v>
      </c>
      <c r="F19" s="1751">
        <f>SUM(F4:F18)</f>
        <v>2540351</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110" zoomScaleNormal="110" workbookViewId="0">
      <selection activeCell="J36" sqref="J36"/>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629</v>
      </c>
      <c r="B1" s="2202"/>
      <c r="C1" s="721"/>
    </row>
    <row r="2" spans="1:7" ht="33.75" x14ac:dyDescent="0.2">
      <c r="A2" s="2209" t="s">
        <v>1802</v>
      </c>
      <c r="B2" s="2210"/>
      <c r="C2" s="1884" t="s">
        <v>1956</v>
      </c>
      <c r="D2" s="723" t="s">
        <v>1957</v>
      </c>
      <c r="E2" s="723" t="s">
        <v>1958</v>
      </c>
      <c r="F2" s="1884" t="s">
        <v>1959</v>
      </c>
    </row>
    <row r="3" spans="1:7" ht="15.75" customHeight="1" x14ac:dyDescent="0.2">
      <c r="A3" s="2211" t="s">
        <v>1114</v>
      </c>
      <c r="B3" s="2212"/>
      <c r="C3" s="2205"/>
      <c r="D3" s="2206"/>
      <c r="E3" s="2206"/>
      <c r="F3" s="2207"/>
    </row>
    <row r="4" spans="1:7" ht="12.75" customHeight="1" thickBot="1" x14ac:dyDescent="0.25">
      <c r="A4" s="2199" t="s">
        <v>630</v>
      </c>
      <c r="B4" s="2200"/>
      <c r="C4" s="581"/>
      <c r="D4" s="581"/>
      <c r="E4" s="581"/>
      <c r="F4" s="1755">
        <f>SUM(C4+D4)-E4</f>
        <v>0</v>
      </c>
    </row>
    <row r="5" spans="1:7" ht="15.75" customHeight="1" thickTop="1" x14ac:dyDescent="0.2">
      <c r="A5" s="2203" t="s">
        <v>1110</v>
      </c>
      <c r="B5" s="2198"/>
      <c r="C5" s="2192"/>
      <c r="D5" s="2193"/>
      <c r="E5" s="2193"/>
      <c r="F5" s="2194"/>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5" t="s">
        <v>631</v>
      </c>
      <c r="B15" s="2196"/>
      <c r="C15" s="1755">
        <f>SUM(C6:C14)</f>
        <v>0</v>
      </c>
      <c r="D15" s="1755">
        <f>SUM(D6:D14)</f>
        <v>0</v>
      </c>
      <c r="E15" s="1755">
        <f>SUM(E6:E14)</f>
        <v>0</v>
      </c>
      <c r="F15" s="1755">
        <f>SUM(F6:F14)</f>
        <v>0</v>
      </c>
      <c r="G15" s="552"/>
    </row>
    <row r="16" spans="1:7" s="202" customFormat="1" ht="15.75" customHeight="1" thickTop="1" x14ac:dyDescent="0.2">
      <c r="A16" s="2208" t="s">
        <v>1111</v>
      </c>
      <c r="B16" s="2198"/>
      <c r="C16" s="2192"/>
      <c r="D16" s="2193"/>
      <c r="E16" s="2193"/>
      <c r="F16" s="2194"/>
    </row>
    <row r="17" spans="1:11" ht="12.75" customHeight="1" thickBot="1" x14ac:dyDescent="0.25">
      <c r="A17" s="2190" t="s">
        <v>64</v>
      </c>
      <c r="B17" s="2191"/>
      <c r="C17" s="726"/>
      <c r="D17" s="585"/>
      <c r="E17" s="726"/>
      <c r="F17" s="1755">
        <f>SUM(C17+D17)-E17</f>
        <v>0</v>
      </c>
    </row>
    <row r="18" spans="1:11" ht="12.75" customHeight="1" thickTop="1" thickBot="1" x14ac:dyDescent="0.25">
      <c r="A18" s="2190" t="s">
        <v>6</v>
      </c>
      <c r="B18" s="2191"/>
      <c r="C18" s="726"/>
      <c r="D18" s="585"/>
      <c r="E18" s="726"/>
      <c r="F18" s="1755">
        <f>SUM(C18+D18)-E18</f>
        <v>0</v>
      </c>
    </row>
    <row r="19" spans="1:11" ht="12.75" customHeight="1" thickTop="1" thickBot="1" x14ac:dyDescent="0.25">
      <c r="A19" s="2190" t="s">
        <v>388</v>
      </c>
      <c r="B19" s="2191"/>
      <c r="C19" s="726"/>
      <c r="D19" s="585"/>
      <c r="E19" s="726"/>
      <c r="F19" s="1755">
        <f>SUM(C19+D19)-E19</f>
        <v>0</v>
      </c>
    </row>
    <row r="20" spans="1:11" ht="12.75" customHeight="1" thickTop="1" thickBot="1" x14ac:dyDescent="0.25">
      <c r="A20" s="2190" t="s">
        <v>448</v>
      </c>
      <c r="B20" s="2191"/>
      <c r="C20" s="726"/>
      <c r="D20" s="585"/>
      <c r="E20" s="726"/>
      <c r="F20" s="1755">
        <f>SUM(C20+D20)-E20</f>
        <v>0</v>
      </c>
    </row>
    <row r="21" spans="1:11" ht="14.25" thickTop="1" thickBot="1" x14ac:dyDescent="0.25">
      <c r="A21" s="2195" t="s">
        <v>632</v>
      </c>
      <c r="B21" s="2196"/>
      <c r="C21" s="1755">
        <f>SUM(C17:C20)</f>
        <v>0</v>
      </c>
      <c r="D21" s="1755">
        <f>SUM(D17:D20)</f>
        <v>0</v>
      </c>
      <c r="E21" s="1755">
        <f>SUM(E17:E20)</f>
        <v>0</v>
      </c>
      <c r="F21" s="1755">
        <f>SUM(F17:F20)</f>
        <v>0</v>
      </c>
      <c r="G21" s="552"/>
    </row>
    <row r="22" spans="1:11" ht="15.75" customHeight="1" thickTop="1" x14ac:dyDescent="0.2">
      <c r="A22" s="2197" t="s">
        <v>1112</v>
      </c>
      <c r="B22" s="2198"/>
      <c r="C22" s="2192"/>
      <c r="D22" s="2193"/>
      <c r="E22" s="2193"/>
      <c r="F22" s="2194"/>
    </row>
    <row r="23" spans="1:11" ht="13.5" thickBot="1" x14ac:dyDescent="0.25">
      <c r="A23" s="2199" t="s">
        <v>633</v>
      </c>
      <c r="B23" s="2200"/>
      <c r="C23" s="581"/>
      <c r="D23" s="581"/>
      <c r="E23" s="581"/>
      <c r="F23" s="1755">
        <f>SUM(C23+D23)-E23</f>
        <v>0</v>
      </c>
      <c r="G23" s="552"/>
    </row>
    <row r="24" spans="1:11" ht="15.75" customHeight="1" thickTop="1" x14ac:dyDescent="0.2">
      <c r="A24" s="2197" t="s">
        <v>1113</v>
      </c>
      <c r="B24" s="2198"/>
      <c r="C24" s="2192"/>
      <c r="D24" s="2193"/>
      <c r="E24" s="2193"/>
      <c r="F24" s="2194"/>
    </row>
    <row r="25" spans="1:11" ht="13.5" thickBot="1" x14ac:dyDescent="0.25">
      <c r="A25" s="2199" t="s">
        <v>634</v>
      </c>
      <c r="B25" s="2200"/>
      <c r="C25" s="581"/>
      <c r="D25" s="581"/>
      <c r="E25" s="581"/>
      <c r="F25" s="1755">
        <f>SUM(C25+D25)-E25</f>
        <v>0</v>
      </c>
      <c r="G25" s="552"/>
    </row>
    <row r="26" spans="1:11" ht="15.75" customHeight="1" thickTop="1" x14ac:dyDescent="0.2">
      <c r="A26" s="2203" t="s">
        <v>657</v>
      </c>
      <c r="B26" s="2198"/>
      <c r="C26" s="727"/>
      <c r="D26" s="727"/>
      <c r="E26" s="727"/>
      <c r="F26" s="728"/>
    </row>
    <row r="27" spans="1:11" ht="13.5" thickBot="1" x14ac:dyDescent="0.25">
      <c r="A27" s="2195" t="s">
        <v>1070</v>
      </c>
      <c r="B27" s="2196"/>
      <c r="C27" s="585"/>
      <c r="D27" s="585"/>
      <c r="E27" s="585"/>
      <c r="F27" s="1755">
        <f>SUM(C27+D27)-E27</f>
        <v>0</v>
      </c>
      <c r="G27" s="552"/>
    </row>
    <row r="28" spans="1:11" ht="7.5" customHeight="1" thickTop="1" x14ac:dyDescent="0.2">
      <c r="A28" s="593"/>
    </row>
    <row r="29" spans="1:11" ht="23.25" customHeight="1" x14ac:dyDescent="0.2">
      <c r="A29" s="2201" t="s">
        <v>582</v>
      </c>
      <c r="B29" s="2202"/>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2094</v>
      </c>
      <c r="B31" s="733">
        <v>37817</v>
      </c>
      <c r="C31" s="734">
        <v>1002600</v>
      </c>
      <c r="D31" s="735">
        <v>4</v>
      </c>
      <c r="E31" s="734">
        <v>1002600</v>
      </c>
      <c r="F31" s="734"/>
      <c r="G31" s="734"/>
      <c r="H31" s="734">
        <v>1002600</v>
      </c>
      <c r="I31" s="1756">
        <f>((E31+F31)-H31)+G31</f>
        <v>0</v>
      </c>
      <c r="J31" s="734"/>
      <c r="K31" s="736"/>
    </row>
    <row r="32" spans="1:11" ht="12" customHeight="1" x14ac:dyDescent="0.2">
      <c r="A32" s="732" t="s">
        <v>2095</v>
      </c>
      <c r="B32" s="733">
        <v>40269</v>
      </c>
      <c r="C32" s="734">
        <v>2790000</v>
      </c>
      <c r="D32" s="735" t="s">
        <v>2096</v>
      </c>
      <c r="E32" s="734">
        <v>320000</v>
      </c>
      <c r="F32" s="734"/>
      <c r="G32" s="734"/>
      <c r="H32" s="734">
        <v>155000</v>
      </c>
      <c r="I32" s="1756">
        <f>((E32+F32)-H32)+G32</f>
        <v>165000</v>
      </c>
      <c r="J32" s="734">
        <f>165000-379</f>
        <v>164621</v>
      </c>
      <c r="K32" s="736"/>
    </row>
    <row r="33" spans="1:11" ht="12" customHeight="1" x14ac:dyDescent="0.2">
      <c r="A33" s="732" t="s">
        <v>2097</v>
      </c>
      <c r="B33" s="733">
        <v>42159</v>
      </c>
      <c r="C33" s="734">
        <v>600700</v>
      </c>
      <c r="D33" s="735">
        <v>1</v>
      </c>
      <c r="E33" s="734">
        <v>212300</v>
      </c>
      <c r="F33" s="734"/>
      <c r="G33" s="734"/>
      <c r="H33" s="734">
        <v>212300</v>
      </c>
      <c r="I33" s="1756">
        <f t="shared" ref="I33:I48" si="1">((E33+F33)-H33)+G33</f>
        <v>0</v>
      </c>
      <c r="J33" s="734"/>
      <c r="K33" s="736"/>
    </row>
    <row r="34" spans="1:11" ht="12" customHeight="1" x14ac:dyDescent="0.2">
      <c r="A34" s="732" t="s">
        <v>2098</v>
      </c>
      <c r="B34" s="733">
        <v>42703</v>
      </c>
      <c r="C34" s="734">
        <v>2135000</v>
      </c>
      <c r="D34" s="735">
        <v>3</v>
      </c>
      <c r="E34" s="734">
        <v>2135000</v>
      </c>
      <c r="F34" s="734"/>
      <c r="G34" s="734"/>
      <c r="H34" s="734">
        <v>15000</v>
      </c>
      <c r="I34" s="1756">
        <f t="shared" si="1"/>
        <v>2120000</v>
      </c>
      <c r="J34" s="734">
        <v>2120000</v>
      </c>
      <c r="K34" s="737"/>
    </row>
    <row r="35" spans="1:11" ht="12" customHeight="1" x14ac:dyDescent="0.2">
      <c r="A35" s="732" t="s">
        <v>2099</v>
      </c>
      <c r="B35" s="733">
        <v>42915</v>
      </c>
      <c r="C35" s="738">
        <v>662300</v>
      </c>
      <c r="D35" s="735">
        <v>1</v>
      </c>
      <c r="E35" s="738">
        <v>662300</v>
      </c>
      <c r="F35" s="738"/>
      <c r="G35" s="738"/>
      <c r="H35" s="738"/>
      <c r="I35" s="1756">
        <f t="shared" si="1"/>
        <v>662300</v>
      </c>
      <c r="J35" s="738">
        <v>662300</v>
      </c>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7190600</v>
      </c>
      <c r="D49" s="745"/>
      <c r="E49" s="1756">
        <f t="shared" ref="E49:J49" si="2">SUM(E31:E48)</f>
        <v>4332200</v>
      </c>
      <c r="F49" s="1756">
        <f t="shared" si="2"/>
        <v>0</v>
      </c>
      <c r="G49" s="1756">
        <f t="shared" si="2"/>
        <v>0</v>
      </c>
      <c r="H49" s="1756">
        <f t="shared" si="2"/>
        <v>1384900</v>
      </c>
      <c r="I49" s="1756">
        <f t="shared" si="2"/>
        <v>2947300</v>
      </c>
      <c r="J49" s="1756">
        <f t="shared" si="2"/>
        <v>2946921</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4" t="s">
        <v>584</v>
      </c>
      <c r="C52" s="2185"/>
      <c r="D52" s="2185"/>
      <c r="E52" s="749" t="s">
        <v>845</v>
      </c>
      <c r="F52" s="2186"/>
      <c r="G52" s="2187"/>
      <c r="H52" s="736"/>
      <c r="I52" s="736"/>
      <c r="J52" s="746"/>
    </row>
    <row r="53" spans="1:11" ht="11.25" customHeight="1" x14ac:dyDescent="0.2">
      <c r="A53" s="750" t="s">
        <v>913</v>
      </c>
      <c r="B53" s="751" t="s">
        <v>951</v>
      </c>
      <c r="C53" s="746"/>
      <c r="D53" s="737"/>
      <c r="E53" s="749" t="s">
        <v>497</v>
      </c>
      <c r="F53" s="2188"/>
      <c r="G53" s="2189"/>
      <c r="H53" s="736"/>
      <c r="I53" s="736"/>
      <c r="J53" s="746"/>
    </row>
    <row r="54" spans="1:11" ht="11.25" customHeight="1" x14ac:dyDescent="0.2">
      <c r="A54" s="752" t="s">
        <v>914</v>
      </c>
      <c r="B54" s="747" t="s">
        <v>952</v>
      </c>
      <c r="C54" s="746"/>
      <c r="D54" s="737"/>
      <c r="E54" s="749" t="s">
        <v>498</v>
      </c>
      <c r="F54" s="2188"/>
      <c r="G54" s="218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J26" sqref="J2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3" t="s">
        <v>856</v>
      </c>
      <c r="B1" s="2214"/>
      <c r="C1" s="2214"/>
      <c r="D1" s="2214"/>
      <c r="E1" s="2214"/>
      <c r="F1" s="2214"/>
      <c r="G1" s="2215"/>
      <c r="H1" s="1530"/>
      <c r="I1" s="760"/>
      <c r="J1" s="433"/>
    </row>
    <row r="2" spans="1:11" ht="26.25" x14ac:dyDescent="0.2">
      <c r="A2" s="2232" t="s">
        <v>1677</v>
      </c>
      <c r="B2" s="2233"/>
      <c r="C2" s="2233"/>
      <c r="D2" s="2233"/>
      <c r="E2" s="2234"/>
      <c r="F2" s="761" t="s">
        <v>904</v>
      </c>
      <c r="G2" s="762" t="s">
        <v>1674</v>
      </c>
      <c r="H2" s="762" t="s">
        <v>410</v>
      </c>
      <c r="I2" s="762" t="s">
        <v>1158</v>
      </c>
      <c r="J2" s="762" t="s">
        <v>1812</v>
      </c>
      <c r="K2" s="762" t="s">
        <v>138</v>
      </c>
    </row>
    <row r="3" spans="1:11" x14ac:dyDescent="0.2">
      <c r="A3" s="2235" t="s">
        <v>1964</v>
      </c>
      <c r="B3" s="2236"/>
      <c r="C3" s="2236"/>
      <c r="D3" s="2236"/>
      <c r="E3" s="2237"/>
      <c r="F3" s="763"/>
      <c r="G3" s="764"/>
      <c r="H3" s="764"/>
      <c r="I3" s="764"/>
      <c r="J3" s="765">
        <v>220464</v>
      </c>
      <c r="K3" s="765"/>
    </row>
    <row r="4" spans="1:11" x14ac:dyDescent="0.2">
      <c r="A4" s="2238" t="s">
        <v>369</v>
      </c>
      <c r="B4" s="2239"/>
      <c r="C4" s="2239"/>
      <c r="D4" s="2239"/>
      <c r="E4" s="2185"/>
      <c r="F4" s="766"/>
      <c r="G4" s="767"/>
      <c r="H4" s="768"/>
      <c r="I4" s="767"/>
      <c r="J4" s="769"/>
      <c r="K4" s="769"/>
    </row>
    <row r="5" spans="1:11" x14ac:dyDescent="0.2">
      <c r="A5" s="2216" t="s">
        <v>1069</v>
      </c>
      <c r="B5" s="2217"/>
      <c r="C5" s="2217"/>
      <c r="D5" s="2217"/>
      <c r="E5" s="2218"/>
      <c r="F5" s="770" t="s">
        <v>848</v>
      </c>
      <c r="G5" s="771"/>
      <c r="H5" s="764">
        <v>16347</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1100</v>
      </c>
    </row>
    <row r="8" spans="1:11" x14ac:dyDescent="0.2">
      <c r="A8" s="778" t="s">
        <v>345</v>
      </c>
      <c r="B8" s="779"/>
      <c r="C8" s="779"/>
      <c r="D8" s="779"/>
      <c r="E8" s="780"/>
      <c r="F8" s="770" t="s">
        <v>851</v>
      </c>
      <c r="G8" s="782"/>
      <c r="H8" s="782"/>
      <c r="I8" s="782"/>
      <c r="J8" s="765">
        <v>145321</v>
      </c>
      <c r="K8" s="769"/>
    </row>
    <row r="9" spans="1:11" x14ac:dyDescent="0.2">
      <c r="A9" s="778" t="s">
        <v>138</v>
      </c>
      <c r="B9" s="779"/>
      <c r="C9" s="779"/>
      <c r="D9" s="779"/>
      <c r="E9" s="780"/>
      <c r="F9" s="777" t="s">
        <v>853</v>
      </c>
      <c r="G9" s="782"/>
      <c r="H9" s="771"/>
      <c r="I9" s="771"/>
      <c r="J9" s="781"/>
      <c r="K9" s="765">
        <v>4677</v>
      </c>
    </row>
    <row r="10" spans="1:11" x14ac:dyDescent="0.2">
      <c r="A10" s="2216" t="s">
        <v>1813</v>
      </c>
      <c r="B10" s="2217"/>
      <c r="C10" s="2217"/>
      <c r="D10" s="2217"/>
      <c r="E10" s="2219"/>
      <c r="F10" s="783" t="s">
        <v>862</v>
      </c>
      <c r="G10" s="782"/>
      <c r="H10" s="784"/>
      <c r="I10" s="764"/>
      <c r="J10" s="765"/>
      <c r="K10" s="765"/>
    </row>
    <row r="11" spans="1:11" x14ac:dyDescent="0.2">
      <c r="A11" s="2216" t="s">
        <v>160</v>
      </c>
      <c r="B11" s="2217"/>
      <c r="C11" s="2217"/>
      <c r="D11" s="2217"/>
      <c r="E11" s="2218"/>
      <c r="F11" s="770" t="s">
        <v>852</v>
      </c>
      <c r="G11" s="771"/>
      <c r="H11" s="764"/>
      <c r="I11" s="764"/>
      <c r="J11" s="765"/>
      <c r="K11" s="773"/>
    </row>
    <row r="12" spans="1:11" ht="13.5" thickBot="1" x14ac:dyDescent="0.25">
      <c r="A12" s="2243" t="s">
        <v>905</v>
      </c>
      <c r="B12" s="2244"/>
      <c r="C12" s="2244"/>
      <c r="D12" s="2244"/>
      <c r="E12" s="2245"/>
      <c r="F12" s="1757"/>
      <c r="G12" s="1758">
        <f>SUM(G5:G11)</f>
        <v>0</v>
      </c>
      <c r="H12" s="1758">
        <f>SUM(H5:H11)</f>
        <v>16347</v>
      </c>
      <c r="I12" s="1758">
        <f>SUM(I5:I11)</f>
        <v>0</v>
      </c>
      <c r="J12" s="1758">
        <f>SUM(J5:J11)</f>
        <v>145321</v>
      </c>
      <c r="K12" s="1758">
        <f>SUM(K5:K11)</f>
        <v>5777</v>
      </c>
    </row>
    <row r="13" spans="1:11" ht="13.5" thickTop="1" x14ac:dyDescent="0.2">
      <c r="A13" s="2240" t="s">
        <v>370</v>
      </c>
      <c r="B13" s="2241"/>
      <c r="C13" s="2241"/>
      <c r="D13" s="2241"/>
      <c r="E13" s="2242"/>
      <c r="F13" s="785"/>
      <c r="G13" s="786"/>
      <c r="H13" s="787"/>
      <c r="I13" s="788"/>
      <c r="J13" s="788"/>
      <c r="K13" s="788"/>
    </row>
    <row r="14" spans="1:11" x14ac:dyDescent="0.2">
      <c r="A14" s="2223" t="s">
        <v>456</v>
      </c>
      <c r="B14" s="2223"/>
      <c r="C14" s="2223"/>
      <c r="D14" s="2223"/>
      <c r="E14" s="2224"/>
      <c r="F14" s="789" t="s">
        <v>854</v>
      </c>
      <c r="G14" s="782"/>
      <c r="H14" s="764">
        <v>16347</v>
      </c>
      <c r="I14" s="771"/>
      <c r="J14" s="773"/>
      <c r="K14" s="765">
        <v>5777</v>
      </c>
    </row>
    <row r="15" spans="1:11" x14ac:dyDescent="0.2">
      <c r="A15" s="2217" t="s">
        <v>4</v>
      </c>
      <c r="B15" s="2217"/>
      <c r="C15" s="2217"/>
      <c r="D15" s="2217"/>
      <c r="E15" s="2218"/>
      <c r="F15" s="789" t="s">
        <v>855</v>
      </c>
      <c r="G15" s="771"/>
      <c r="H15" s="764"/>
      <c r="I15" s="764"/>
      <c r="J15" s="765">
        <v>12789</v>
      </c>
      <c r="K15" s="765"/>
    </row>
    <row r="16" spans="1:11" x14ac:dyDescent="0.2">
      <c r="A16" s="2217" t="s">
        <v>298</v>
      </c>
      <c r="B16" s="2217"/>
      <c r="C16" s="2217"/>
      <c r="D16" s="2217"/>
      <c r="E16" s="2218"/>
      <c r="F16" s="789" t="s">
        <v>923</v>
      </c>
      <c r="G16" s="772"/>
      <c r="H16" s="767"/>
      <c r="I16" s="767"/>
      <c r="J16" s="769"/>
      <c r="K16" s="769"/>
    </row>
    <row r="17" spans="1:11" x14ac:dyDescent="0.2">
      <c r="A17" s="2248" t="s">
        <v>935</v>
      </c>
      <c r="B17" s="2248"/>
      <c r="C17" s="2248"/>
      <c r="D17" s="2248"/>
      <c r="E17" s="2249"/>
      <c r="F17" s="790"/>
      <c r="G17" s="791"/>
      <c r="H17" s="792"/>
      <c r="I17" s="792"/>
      <c r="J17" s="793"/>
      <c r="K17" s="794"/>
    </row>
    <row r="18" spans="1:11" x14ac:dyDescent="0.2">
      <c r="A18" s="2227" t="s">
        <v>368</v>
      </c>
      <c r="B18" s="2228"/>
      <c r="C18" s="2228"/>
      <c r="D18" s="2228"/>
      <c r="E18" s="2229"/>
      <c r="F18" s="789" t="s">
        <v>932</v>
      </c>
      <c r="G18" s="782"/>
      <c r="H18" s="782"/>
      <c r="I18" s="782"/>
      <c r="J18" s="765">
        <v>7498</v>
      </c>
      <c r="K18" s="795"/>
    </row>
    <row r="19" spans="1:11" ht="21.75" customHeight="1" x14ac:dyDescent="0.2">
      <c r="A19" s="2225" t="s">
        <v>1809</v>
      </c>
      <c r="B19" s="2225"/>
      <c r="C19" s="2225"/>
      <c r="D19" s="2225"/>
      <c r="E19" s="2226"/>
      <c r="F19" s="789" t="s">
        <v>933</v>
      </c>
      <c r="G19" s="782"/>
      <c r="H19" s="782"/>
      <c r="I19" s="782"/>
      <c r="J19" s="765">
        <v>84369</v>
      </c>
      <c r="K19" s="795"/>
    </row>
    <row r="20" spans="1:11" x14ac:dyDescent="0.2">
      <c r="A20" s="2227" t="s">
        <v>1814</v>
      </c>
      <c r="B20" s="2228"/>
      <c r="C20" s="2228"/>
      <c r="D20" s="2228"/>
      <c r="E20" s="2229"/>
      <c r="F20" s="789" t="s">
        <v>934</v>
      </c>
      <c r="G20" s="782"/>
      <c r="H20" s="782"/>
      <c r="I20" s="782"/>
      <c r="J20" s="765"/>
      <c r="K20" s="795"/>
    </row>
    <row r="21" spans="1:11" ht="13.5" thickBot="1" x14ac:dyDescent="0.25">
      <c r="A21" s="2246" t="s">
        <v>638</v>
      </c>
      <c r="B21" s="2246"/>
      <c r="C21" s="2246"/>
      <c r="D21" s="2246"/>
      <c r="E21" s="2246"/>
      <c r="F21" s="1759"/>
      <c r="G21" s="792"/>
      <c r="H21" s="796"/>
      <c r="I21" s="796"/>
      <c r="J21" s="1760">
        <f>SUM(J18:J20)</f>
        <v>91867</v>
      </c>
      <c r="K21" s="793"/>
    </row>
    <row r="22" spans="1:11" ht="13.5" thickTop="1" x14ac:dyDescent="0.2">
      <c r="A22" s="2217" t="s">
        <v>1815</v>
      </c>
      <c r="B22" s="2217"/>
      <c r="C22" s="2217"/>
      <c r="D22" s="2217"/>
      <c r="E22" s="2218"/>
      <c r="F22" s="789" t="s">
        <v>862</v>
      </c>
      <c r="G22" s="782"/>
      <c r="H22" s="764"/>
      <c r="I22" s="764"/>
      <c r="J22" s="797"/>
      <c r="K22" s="765"/>
    </row>
    <row r="23" spans="1:11" ht="13.5" thickBot="1" x14ac:dyDescent="0.25">
      <c r="A23" s="2247" t="s">
        <v>906</v>
      </c>
      <c r="B23" s="2246"/>
      <c r="C23" s="2246"/>
      <c r="D23" s="2246"/>
      <c r="E23" s="2246"/>
      <c r="F23" s="1761"/>
      <c r="G23" s="1758">
        <f>SUM(G14:G16,G21,G22)</f>
        <v>0</v>
      </c>
      <c r="H23" s="1758">
        <f>SUM(H14:H16,H21,H22)</f>
        <v>16347</v>
      </c>
      <c r="I23" s="1758">
        <f>SUM(I14:I16,I21,I22)</f>
        <v>0</v>
      </c>
      <c r="J23" s="1758">
        <f>SUM(J14:J16,J21,J22)</f>
        <v>104656</v>
      </c>
      <c r="K23" s="1758">
        <f>SUM(K14:K16,K21,K22)</f>
        <v>5777</v>
      </c>
    </row>
    <row r="24" spans="1:11" ht="14.25" thickTop="1" thickBot="1" x14ac:dyDescent="0.25">
      <c r="A24" s="2247" t="s">
        <v>1965</v>
      </c>
      <c r="B24" s="2246"/>
      <c r="C24" s="2246"/>
      <c r="D24" s="2246"/>
      <c r="E24" s="2246"/>
      <c r="F24" s="1762"/>
      <c r="G24" s="1763">
        <f>SUM(G3,G12)-G23</f>
        <v>0</v>
      </c>
      <c r="H24" s="1763">
        <f>SUM(H3,H12)-H23</f>
        <v>0</v>
      </c>
      <c r="I24" s="1763">
        <f>SUM(I3,I12)-I23</f>
        <v>0</v>
      </c>
      <c r="J24" s="1763">
        <f>SUM(J3,J12)-J23</f>
        <v>261129</v>
      </c>
      <c r="K24" s="1763">
        <f>SUM(K3,K12)-K23</f>
        <v>0</v>
      </c>
    </row>
    <row r="25" spans="1:11" ht="13.5" thickTop="1" x14ac:dyDescent="0.2">
      <c r="A25" s="798" t="s">
        <v>420</v>
      </c>
      <c r="B25" s="799"/>
      <c r="C25" s="799"/>
      <c r="D25" s="799"/>
      <c r="E25" s="800"/>
      <c r="F25" s="801">
        <v>714</v>
      </c>
      <c r="G25" s="802"/>
      <c r="H25" s="802"/>
      <c r="I25" s="802"/>
      <c r="J25" s="797">
        <v>261129</v>
      </c>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0"/>
      <c r="I31" s="2221"/>
      <c r="J31" s="2221"/>
      <c r="K31" s="2221"/>
    </row>
    <row r="32" spans="1:11" x14ac:dyDescent="0.2">
      <c r="A32" s="809"/>
      <c r="B32" s="237"/>
      <c r="C32" s="237"/>
      <c r="D32" s="237"/>
      <c r="E32" s="805"/>
      <c r="F32" s="811" t="s">
        <v>540</v>
      </c>
      <c r="G32" s="764"/>
      <c r="H32" s="2222"/>
      <c r="I32" s="2221"/>
      <c r="J32" s="2221"/>
      <c r="K32" s="2221"/>
    </row>
    <row r="33" spans="1:11" ht="1.5" customHeight="1" x14ac:dyDescent="0.2">
      <c r="A33" s="812" t="s">
        <v>1169</v>
      </c>
      <c r="B33" s="364"/>
      <c r="C33" s="364"/>
      <c r="D33" s="364"/>
      <c r="E33" s="364"/>
      <c r="F33" s="364"/>
      <c r="G33" s="813"/>
      <c r="H33" s="2222"/>
      <c r="I33" s="2221"/>
      <c r="J33" s="2221"/>
      <c r="K33" s="2221"/>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7" t="s">
        <v>541</v>
      </c>
      <c r="B41" s="2230"/>
      <c r="C41" s="2230"/>
      <c r="D41" s="2230"/>
      <c r="E41" s="2230"/>
      <c r="F41" s="2231"/>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12" sqref="J1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19253</v>
      </c>
      <c r="D5" s="841"/>
      <c r="E5" s="841"/>
      <c r="F5" s="1760">
        <f>(C5+D5)-E5</f>
        <v>19253</v>
      </c>
      <c r="G5" s="837"/>
      <c r="H5" s="842"/>
      <c r="I5" s="842"/>
      <c r="J5" s="842"/>
      <c r="K5" s="793"/>
      <c r="L5" s="1769">
        <f>F5-K5</f>
        <v>19253</v>
      </c>
    </row>
    <row r="6" spans="1:14" ht="14.25" thickTop="1" thickBot="1" x14ac:dyDescent="0.25">
      <c r="A6" s="778" t="s">
        <v>1117</v>
      </c>
      <c r="B6" s="840">
        <v>222</v>
      </c>
      <c r="C6" s="765">
        <v>33282</v>
      </c>
      <c r="D6" s="765"/>
      <c r="E6" s="765"/>
      <c r="F6" s="1760">
        <f>(C6+D6)-E6</f>
        <v>33282</v>
      </c>
      <c r="G6" s="837">
        <v>50</v>
      </c>
      <c r="H6" s="765">
        <v>28136</v>
      </c>
      <c r="I6" s="765">
        <v>700</v>
      </c>
      <c r="J6" s="765"/>
      <c r="K6" s="1769">
        <f>(H6+I6)-J6</f>
        <v>28836</v>
      </c>
      <c r="L6" s="1769">
        <f>F6-K6</f>
        <v>4446</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8783163</v>
      </c>
      <c r="D8" s="844">
        <v>12789</v>
      </c>
      <c r="E8" s="844"/>
      <c r="F8" s="1760">
        <f>(C8+D8)-E8</f>
        <v>8795952</v>
      </c>
      <c r="G8" s="843">
        <v>50</v>
      </c>
      <c r="H8" s="765">
        <v>3265735</v>
      </c>
      <c r="I8" s="765">
        <v>158258</v>
      </c>
      <c r="J8" s="765"/>
      <c r="K8" s="1769">
        <f>(H8+I8)-J8</f>
        <v>3423993</v>
      </c>
      <c r="L8" s="1769">
        <f>F8-K8</f>
        <v>5371959</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1103971</v>
      </c>
      <c r="D12" s="844">
        <v>7598</v>
      </c>
      <c r="E12" s="844"/>
      <c r="F12" s="1760">
        <f>(C12+D12)-E12</f>
        <v>1111569</v>
      </c>
      <c r="G12" s="843">
        <v>10</v>
      </c>
      <c r="H12" s="765">
        <v>870011</v>
      </c>
      <c r="I12" s="765">
        <v>44738</v>
      </c>
      <c r="J12" s="765"/>
      <c r="K12" s="1769">
        <f>(H12+I12)-J12</f>
        <v>914749</v>
      </c>
      <c r="L12" s="1769">
        <f>F12-K12</f>
        <v>196820</v>
      </c>
    </row>
    <row r="13" spans="1:14" ht="14.25" thickTop="1" thickBot="1" x14ac:dyDescent="0.25">
      <c r="A13" s="848" t="s">
        <v>1122</v>
      </c>
      <c r="B13" s="840">
        <v>252</v>
      </c>
      <c r="C13" s="844"/>
      <c r="D13" s="844"/>
      <c r="E13" s="844"/>
      <c r="F13" s="1760">
        <f>(C13+D13)-E13</f>
        <v>0</v>
      </c>
      <c r="G13" s="843">
        <v>5</v>
      </c>
      <c r="H13" s="765"/>
      <c r="I13" s="765"/>
      <c r="J13" s="765"/>
      <c r="K13" s="1769">
        <f>(H13+I13)-J13</f>
        <v>0</v>
      </c>
      <c r="L13" s="1769">
        <f>F13-K13</f>
        <v>0</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9939669</v>
      </c>
      <c r="D16" s="1760">
        <f>SUM(D3,D5:D6,D8:D10,D12:D15)</f>
        <v>20387</v>
      </c>
      <c r="E16" s="1760">
        <f>SUM(E3,E5:E6,E8:E10,E12:E15)</f>
        <v>0</v>
      </c>
      <c r="F16" s="1760">
        <f>SUM(F3,F5:F6,F8:F10,F12:F15)</f>
        <v>9960056</v>
      </c>
      <c r="G16" s="843"/>
      <c r="H16" s="1760">
        <f>SUM(H3,H6,H8:H10,H12:H14,)</f>
        <v>4163882</v>
      </c>
      <c r="I16" s="1760">
        <f>SUM(I3,I6,I8:I10,I12:I14,)</f>
        <v>203696</v>
      </c>
      <c r="J16" s="1760">
        <f>SUM(J3,J6,J8:J10,J12:J14,)</f>
        <v>0</v>
      </c>
      <c r="K16" s="1760">
        <f>(H16+I16)-J16</f>
        <v>4367578</v>
      </c>
      <c r="L16" s="1760">
        <f>F16-K16</f>
        <v>5592478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203696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3177855</v>
      </c>
      <c r="G8" s="865"/>
    </row>
    <row r="9" spans="1:7" x14ac:dyDescent="0.2">
      <c r="A9" s="869" t="s">
        <v>460</v>
      </c>
      <c r="B9" s="870" t="s">
        <v>1877</v>
      </c>
      <c r="C9" s="871"/>
      <c r="D9" s="869" t="s">
        <v>501</v>
      </c>
      <c r="E9" s="868"/>
      <c r="F9" s="1909">
        <f>'Expenditures 15-22'!K151</f>
        <v>334585</v>
      </c>
      <c r="G9" s="872"/>
    </row>
    <row r="10" spans="1:7" x14ac:dyDescent="0.2">
      <c r="A10" s="869" t="s">
        <v>499</v>
      </c>
      <c r="B10" s="870" t="s">
        <v>1878</v>
      </c>
      <c r="C10" s="871"/>
      <c r="D10" s="869" t="s">
        <v>501</v>
      </c>
      <c r="E10" s="868"/>
      <c r="F10" s="1909">
        <f>'Expenditures 15-22'!K174</f>
        <v>1508474</v>
      </c>
      <c r="G10" s="872"/>
    </row>
    <row r="11" spans="1:7" x14ac:dyDescent="0.2">
      <c r="A11" s="869" t="s">
        <v>461</v>
      </c>
      <c r="B11" s="870" t="s">
        <v>1879</v>
      </c>
      <c r="C11" s="871"/>
      <c r="D11" s="869" t="s">
        <v>501</v>
      </c>
      <c r="E11" s="868"/>
      <c r="F11" s="1909">
        <f>'Expenditures 15-22'!K210</f>
        <v>424264</v>
      </c>
      <c r="G11" s="872"/>
    </row>
    <row r="12" spans="1:7" x14ac:dyDescent="0.2">
      <c r="A12" s="869" t="s">
        <v>462</v>
      </c>
      <c r="B12" s="870" t="s">
        <v>1880</v>
      </c>
      <c r="C12" s="871"/>
      <c r="D12" s="869" t="s">
        <v>501</v>
      </c>
      <c r="E12" s="868"/>
      <c r="F12" s="1909">
        <f>'Expenditures 15-22'!K295</f>
        <v>120568</v>
      </c>
      <c r="G12" s="872"/>
    </row>
    <row r="13" spans="1:7" x14ac:dyDescent="0.2">
      <c r="A13" s="869" t="s">
        <v>106</v>
      </c>
      <c r="B13" s="870" t="s">
        <v>1881</v>
      </c>
      <c r="C13" s="871"/>
      <c r="D13" s="869" t="s">
        <v>501</v>
      </c>
      <c r="E13" s="868"/>
      <c r="F13" s="1909">
        <f>'Expenditures 15-22'!K342</f>
        <v>472929</v>
      </c>
      <c r="G13" s="873"/>
    </row>
    <row r="14" spans="1:7" ht="12" customHeight="1" thickBot="1" x14ac:dyDescent="0.25">
      <c r="A14" s="1770"/>
      <c r="B14" s="1771"/>
      <c r="C14" s="1772"/>
      <c r="D14" s="1773" t="s">
        <v>501</v>
      </c>
      <c r="E14" s="1774" t="s">
        <v>958</v>
      </c>
      <c r="F14" s="1775">
        <f>SUM(F8:F13)</f>
        <v>6038675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20400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75376</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20291</v>
      </c>
      <c r="G52" s="865"/>
    </row>
    <row r="53" spans="1:7" x14ac:dyDescent="0.2">
      <c r="A53" s="869" t="s">
        <v>459</v>
      </c>
      <c r="B53" s="869" t="s">
        <v>1475</v>
      </c>
      <c r="C53" s="889">
        <f>'Expenditures 15-22'!B102</f>
        <v>4000</v>
      </c>
      <c r="D53" s="888" t="str">
        <f>'Expenditures 15-22'!A102</f>
        <v>Total Payments to Other Govt Units</v>
      </c>
      <c r="E53" s="868"/>
      <c r="F53" s="1913">
        <f>'Expenditures 15-22'!K102</f>
        <v>177125</v>
      </c>
      <c r="G53" s="865"/>
    </row>
    <row r="54" spans="1:7" x14ac:dyDescent="0.2">
      <c r="A54" s="869" t="s">
        <v>459</v>
      </c>
      <c r="B54" s="869" t="s">
        <v>1476</v>
      </c>
      <c r="C54" s="889" t="s">
        <v>982</v>
      </c>
      <c r="D54" s="885" t="s">
        <v>1095</v>
      </c>
      <c r="E54" s="868"/>
      <c r="F54" s="1913">
        <f>'Expenditures 15-22'!G114</f>
        <v>7598</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1384900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3023</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3043</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1691756</v>
      </c>
      <c r="G76" s="865"/>
    </row>
    <row r="77" spans="1:8" s="893" customFormat="1" ht="12" customHeight="1" thickTop="1" thickBot="1" x14ac:dyDescent="0.25">
      <c r="A77" s="1779"/>
      <c r="B77" s="1776"/>
      <c r="C77" s="1772"/>
      <c r="D77" s="1777" t="s">
        <v>1900</v>
      </c>
      <c r="E77" s="1774"/>
      <c r="F77" s="1780">
        <f>(F14-F76)</f>
        <v>4346919</v>
      </c>
      <c r="G77" s="869"/>
    </row>
    <row r="78" spans="1:8" s="893" customFormat="1" ht="12" customHeight="1" thickTop="1" x14ac:dyDescent="0.2">
      <c r="A78" s="1781"/>
      <c r="B78" s="1776"/>
      <c r="C78" s="1772"/>
      <c r="D78" s="1777" t="s">
        <v>2062</v>
      </c>
      <c r="E78" s="1774"/>
      <c r="F78" s="898">
        <v>331.6</v>
      </c>
      <c r="G78" s="899"/>
      <c r="H78" s="869"/>
    </row>
    <row r="79" spans="1:8" s="893" customFormat="1" ht="12" customHeight="1" thickBot="1" x14ac:dyDescent="0.25">
      <c r="A79" s="1782"/>
      <c r="B79" s="1776"/>
      <c r="C79" s="1772"/>
      <c r="D79" s="1777" t="s">
        <v>1901</v>
      </c>
      <c r="E79" s="1774" t="s">
        <v>958</v>
      </c>
      <c r="F79" s="1783">
        <f>IF(F78&gt;0,F77/F78," Complete Line 78")</f>
        <v>13108.92340168878</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8213</v>
      </c>
      <c r="G94" s="912"/>
    </row>
    <row r="95" spans="1:7" x14ac:dyDescent="0.2">
      <c r="A95" s="908" t="s">
        <v>140</v>
      </c>
      <c r="B95" s="908" t="s">
        <v>175</v>
      </c>
      <c r="C95" s="910">
        <v>1700</v>
      </c>
      <c r="D95" s="918" t="str">
        <f>'Revenues 9-14'!A82</f>
        <v>Total District/School Activity Income</v>
      </c>
      <c r="E95" s="906"/>
      <c r="F95" s="1789">
        <f>SUM('Revenues 9-14'!C82,'Revenues 9-14'!D82)</f>
        <v>33056</v>
      </c>
      <c r="G95" s="912"/>
    </row>
    <row r="96" spans="1:7" x14ac:dyDescent="0.2">
      <c r="A96" s="908" t="s">
        <v>459</v>
      </c>
      <c r="B96" s="908" t="s">
        <v>176</v>
      </c>
      <c r="C96" s="910">
        <f>'Revenues 9-14'!B84</f>
        <v>1811</v>
      </c>
      <c r="D96" s="911" t="str">
        <f>'Revenues 9-14'!A84</f>
        <v>Rentals - Regular Textbooks</v>
      </c>
      <c r="E96" s="906"/>
      <c r="F96" s="1789">
        <f>'Revenues 9-14'!C84</f>
        <v>7182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2560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40550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100</v>
      </c>
      <c r="G104" s="912"/>
    </row>
    <row r="105" spans="1:7" x14ac:dyDescent="0.2">
      <c r="A105" s="908" t="s">
        <v>503</v>
      </c>
      <c r="B105" s="908" t="s">
        <v>2003</v>
      </c>
      <c r="C105" s="913">
        <v>3100</v>
      </c>
      <c r="D105" s="919" t="str">
        <f>'Revenues 9-14'!A132</f>
        <v>Total Special Education</v>
      </c>
      <c r="E105" s="906"/>
      <c r="F105" s="1789">
        <f>SUM('Revenues 9-14'!C132:D132,'Revenues 9-14'!F132)</f>
        <v>38771</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19041</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5021</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4677</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252797</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750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224085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138428</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19559</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11588</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10760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26942</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5954</v>
      </c>
      <c r="G170" s="927"/>
    </row>
    <row r="171" spans="1:7" x14ac:dyDescent="0.2">
      <c r="A171" s="1918" t="s">
        <v>5</v>
      </c>
      <c r="B171" s="1919" t="s">
        <v>1920</v>
      </c>
      <c r="C171" s="1920">
        <v>3100</v>
      </c>
      <c r="D171" s="1921" t="s">
        <v>1922</v>
      </c>
      <c r="E171" s="906"/>
      <c r="F171" s="1906">
        <v>145092</v>
      </c>
      <c r="G171" s="927"/>
    </row>
    <row r="172" spans="1:7" x14ac:dyDescent="0.2">
      <c r="A172" s="1918" t="s">
        <v>664</v>
      </c>
      <c r="B172" s="1919" t="s">
        <v>1920</v>
      </c>
      <c r="C172" s="1920">
        <v>3300</v>
      </c>
      <c r="D172" s="1921" t="s">
        <v>1923</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995126</v>
      </c>
    </row>
    <row r="175" spans="1:7" ht="12" customHeight="1" x14ac:dyDescent="0.2">
      <c r="A175" s="1770"/>
      <c r="B175" s="1784"/>
      <c r="C175" s="1785"/>
      <c r="D175" s="1786" t="s">
        <v>2057</v>
      </c>
      <c r="E175" s="1787"/>
      <c r="F175" s="1789">
        <f>'PCTC-OEPP 27-28'!F77-F174</f>
        <v>3351793</v>
      </c>
    </row>
    <row r="176" spans="1:7" ht="12" customHeight="1" x14ac:dyDescent="0.2">
      <c r="A176" s="1770"/>
      <c r="B176" s="1784"/>
      <c r="C176" s="1785"/>
      <c r="D176" s="1786" t="s">
        <v>1817</v>
      </c>
      <c r="E176" s="1787"/>
      <c r="F176" s="1789">
        <f>'Cap Outlay Deprec 26'!I18</f>
        <v>203696</v>
      </c>
    </row>
    <row r="177" spans="1:7" ht="12" customHeight="1" x14ac:dyDescent="0.2">
      <c r="A177" s="1770"/>
      <c r="B177" s="1784"/>
      <c r="C177" s="1785"/>
      <c r="D177" s="1786" t="s">
        <v>2058</v>
      </c>
      <c r="E177" s="1787"/>
      <c r="F177" s="1789">
        <f>F175+F176</f>
        <v>3555489</v>
      </c>
    </row>
    <row r="178" spans="1:7" ht="12" customHeight="1" x14ac:dyDescent="0.2">
      <c r="A178" s="1770"/>
      <c r="B178" s="1790"/>
      <c r="C178" s="1785"/>
      <c r="D178" s="1786" t="str">
        <f>D78</f>
        <v>9 Month ADA from District Average Daily Attendance/Prior General State Aid Inquiry 2018-2019</v>
      </c>
      <c r="E178" s="1787"/>
      <c r="F178" s="1791">
        <f>'PCTC-OEPP 27-28'!F78</f>
        <v>331.6</v>
      </c>
      <c r="G178" s="930"/>
    </row>
    <row r="179" spans="1:7" ht="12" customHeight="1" thickBot="1" x14ac:dyDescent="0.25">
      <c r="A179" s="1770"/>
      <c r="B179" s="1790"/>
      <c r="C179" s="1785"/>
      <c r="D179" s="1786" t="s">
        <v>2059</v>
      </c>
      <c r="E179" s="1787" t="s">
        <v>1545</v>
      </c>
      <c r="F179" s="1792">
        <f>F177/F178</f>
        <v>10722.222557297948</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A20" sqref="A20"/>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2086</v>
      </c>
      <c r="B17" s="1938" t="s">
        <v>2085</v>
      </c>
      <c r="C17" s="1939" t="s">
        <v>2084</v>
      </c>
      <c r="D17" s="1844">
        <v>425</v>
      </c>
      <c r="E17" s="1540">
        <f t="shared" ref="E17:E141" si="0">IF(D17&lt;=25000,D17,IF(D17&gt;25000,25000,0))</f>
        <v>425</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425</v>
      </c>
      <c r="G17" s="1793">
        <f>IF(F17=0,0,D17-F17)</f>
        <v>0</v>
      </c>
      <c r="H17" s="1647"/>
    </row>
    <row r="18" spans="1:8" x14ac:dyDescent="0.25">
      <c r="A18" s="1937" t="s">
        <v>2086</v>
      </c>
      <c r="B18" s="1938" t="s">
        <v>2085</v>
      </c>
      <c r="C18" s="1939" t="s">
        <v>2087</v>
      </c>
      <c r="D18" s="1844">
        <v>6738</v>
      </c>
      <c r="E18" s="1540">
        <f t="shared" ref="E18:E140" si="2">IF(D18&lt;=25000,D18,IF(D18&gt;25000,25000,0))</f>
        <v>6738</v>
      </c>
      <c r="F18" s="1932">
        <f t="shared" si="1"/>
        <v>6738</v>
      </c>
      <c r="G18" s="1793">
        <f t="shared" ref="G18:G140" si="3">IF(F18=0,0,D18-F18)</f>
        <v>0</v>
      </c>
    </row>
    <row r="19" spans="1:8" x14ac:dyDescent="0.25">
      <c r="A19" s="1937" t="s">
        <v>2093</v>
      </c>
      <c r="B19" s="1938" t="s">
        <v>2092</v>
      </c>
      <c r="C19" s="1939" t="s">
        <v>2091</v>
      </c>
      <c r="D19" s="1844">
        <v>29040</v>
      </c>
      <c r="E19" s="1540">
        <f t="shared" si="2"/>
        <v>25000</v>
      </c>
      <c r="F19" s="1932">
        <f t="shared" si="1"/>
        <v>25000</v>
      </c>
      <c r="G19" s="1793">
        <f t="shared" si="3"/>
        <v>4040</v>
      </c>
    </row>
    <row r="20" spans="1:8" x14ac:dyDescent="0.25">
      <c r="A20" s="1937" t="s">
        <v>2090</v>
      </c>
      <c r="B20" s="1938" t="s">
        <v>2089</v>
      </c>
      <c r="C20" s="1939" t="s">
        <v>2088</v>
      </c>
      <c r="D20" s="1844">
        <v>385258</v>
      </c>
      <c r="E20" s="1540">
        <f t="shared" si="2"/>
        <v>25000</v>
      </c>
      <c r="F20" s="1932">
        <f t="shared" si="1"/>
        <v>25000</v>
      </c>
      <c r="G20" s="1793">
        <f t="shared" si="3"/>
        <v>360258</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421461</v>
      </c>
      <c r="E141" s="1541">
        <f t="shared" si="0"/>
        <v>25000</v>
      </c>
      <c r="F141" s="1933">
        <f>SUM(F17:F140)</f>
        <v>57163</v>
      </c>
      <c r="G141" s="1795">
        <f>SUM(G17:G140)</f>
        <v>364298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9" sqref="E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149179</v>
      </c>
      <c r="F10" s="974"/>
      <c r="G10" s="975"/>
      <c r="H10" s="162"/>
      <c r="I10" s="162"/>
    </row>
    <row r="11" spans="1:9" s="668" customFormat="1" ht="22.5" customHeight="1" x14ac:dyDescent="0.2">
      <c r="A11" s="2286" t="s">
        <v>1977</v>
      </c>
      <c r="B11" s="2287"/>
      <c r="C11" s="2287"/>
      <c r="D11" s="2288"/>
      <c r="E11" s="977">
        <v>13466</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2172547</v>
      </c>
      <c r="F19" s="1799"/>
      <c r="G19" s="1801">
        <f>'Expenditures 15-22'!K33-SUM('Expenditures 15-22'!G33,'Expenditures 15-22'!I33)+'Expenditures 15-22'!D229</f>
        <v>2172547</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149984</v>
      </c>
      <c r="F21" s="1802"/>
      <c r="G21" s="1805">
        <f>'Expenditures 15-22'!K42-SUM('Expenditures 15-22'!G42,'Expenditures 15-22'!I42)+'Expenditures 15-22'!K120-SUM('Expenditures 15-22'!G120,'Expenditures 15-22'!I120)+'Expenditures 15-22'!K180-SUM('Expenditures 15-22'!G180,'Expenditures 15-22'!I180)+'Expenditures 15-22'!D238</f>
        <v>149984</v>
      </c>
      <c r="H21" s="987"/>
      <c r="I21" s="162"/>
    </row>
    <row r="22" spans="1:9" s="668" customFormat="1" ht="12" customHeight="1" x14ac:dyDescent="0.2">
      <c r="A22" s="994" t="s">
        <v>564</v>
      </c>
      <c r="B22" s="995"/>
      <c r="C22" s="993">
        <v>2200</v>
      </c>
      <c r="D22" s="1802"/>
      <c r="E22" s="1804">
        <f>'Expenditures 15-22'!K47-SUM('Expenditures 15-22'!G47,'Expenditures 15-22'!I47)+'Expenditures 15-22'!D243</f>
        <v>65432</v>
      </c>
      <c r="F22" s="1802"/>
      <c r="G22" s="1805">
        <f>'Expenditures 15-22'!K47-SUM('Expenditures 15-22'!G47,'Expenditures 15-22'!I47)+'Expenditures 15-22'!D243</f>
        <v>65432</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696225</v>
      </c>
      <c r="F23" s="1802"/>
      <c r="G23" s="1804">
        <f>'Expenditures 15-22'!K53-SUM('Expenditures 15-22'!G53,'Expenditures 15-22'!I53)+'Expenditures 15-22'!D257+'Expenditures 15-22'!K330-SUM('Expenditures 15-22'!G330,'Expenditures 15-22'!I330)</f>
        <v>696225</v>
      </c>
      <c r="H23" s="987"/>
      <c r="I23" s="162"/>
    </row>
    <row r="24" spans="1:9" s="668" customFormat="1" ht="12" customHeight="1" x14ac:dyDescent="0.2">
      <c r="A24" s="994" t="s">
        <v>566</v>
      </c>
      <c r="B24" s="995"/>
      <c r="C24" s="993">
        <v>2400</v>
      </c>
      <c r="D24" s="1802"/>
      <c r="E24" s="1804">
        <f>'Expenditures 15-22'!K57-SUM('Expenditures 15-22'!G57,'Expenditures 15-22'!I57)+'Expenditures 15-22'!D261</f>
        <v>161175</v>
      </c>
      <c r="F24" s="1802"/>
      <c r="G24" s="1805">
        <f>'Expenditures 15-22'!K57-SUM('Expenditures 15-22'!G57,'Expenditures 15-22'!I57)+'Expenditures 15-22'!D261</f>
        <v>161175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47407</v>
      </c>
      <c r="E27" s="1804">
        <f>E8</f>
        <v>0</v>
      </c>
      <c r="F27" s="1804">
        <f>'Expenditures 15-22'!K60-SUM('Expenditures 15-22'!G60,'Expenditures 15-22'!I60)+'Expenditures 15-22'!D264-E8</f>
        <v>47407</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352036</v>
      </c>
      <c r="F28" s="1806">
        <f>'Expenditures 15-22'!K61-SUM('Expenditures 15-22'!G61,'Expenditures 15-22'!I61)+'Expenditures 15-22'!K124-SUM('Expenditures 15-22'!G124,'Expenditures 15-22'!I124)+'Expenditures 15-22'!D266-E9</f>
        <v>352036</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424264</v>
      </c>
      <c r="F29" s="1802"/>
      <c r="G29" s="1805">
        <f>'Expenditures 15-22'!K62-SUM('Expenditures 15-22'!G62,'Expenditures 15-22'!I62)+'Expenditures 15-22'!K125-SUM('Expenditures 15-22'!G125,'Expenditures 15-22'!I125)+'Expenditures 15-22'!K182-SUM('Expenditures 15-22'!G182,'Expenditures 15-22'!I182)+'Expenditures 15-22'!D267</f>
        <v>424264</v>
      </c>
      <c r="H29" s="985"/>
    </row>
    <row r="30" spans="1:9" ht="12" customHeight="1" x14ac:dyDescent="0.2">
      <c r="A30" s="994" t="s">
        <v>100</v>
      </c>
      <c r="B30" s="997"/>
      <c r="C30" s="993">
        <v>2560</v>
      </c>
      <c r="D30" s="1802"/>
      <c r="E30" s="1804">
        <f>'Expenditures 15-22'!K63-SUM('Expenditures 15-22'!G63,'Expenditures 15-22'!I63)+'Expenditures 15-22'!D268-E10</f>
        <v>69080</v>
      </c>
      <c r="F30" s="1802"/>
      <c r="G30" s="1804">
        <f>'Expenditures 15-22'!K63-SUM('Expenditures 15-22'!G63,'Expenditures 15-22'!I63)+'Expenditures 15-22'!D268-E10</f>
        <v>69080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34815</v>
      </c>
      <c r="E37" s="1804">
        <f>E14</f>
        <v>0</v>
      </c>
      <c r="F37" s="1804">
        <f>'Expenditures 15-22'!K71-SUM('Expenditures 15-22'!G71,'Expenditures 15-22'!I71)+'Expenditures 15-22'!D276-E14</f>
        <v>34815</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23334</v>
      </c>
      <c r="F39" s="1802"/>
      <c r="G39" s="1804">
        <f>'Expenditures 15-22'!K75-SUM('Expenditures 15-22'!G75,'Expenditures 15-22'!I75)+'Expenditures 15-22'!K130-SUM('Expenditures 15-22'!G130,'Expenditures 15-22'!I130)+'Expenditures 15-22'!K185-SUM('Expenditures 15-22'!G185,'Expenditures 15-22'!I185)+'Expenditures 15-22'!D280</f>
        <v>23334</v>
      </c>
    </row>
    <row r="40" spans="1:7" ht="12" customHeight="1" x14ac:dyDescent="0.2">
      <c r="A40" s="990" t="s">
        <v>1823</v>
      </c>
      <c r="B40" s="991"/>
      <c r="C40" s="993"/>
      <c r="D40" s="1802"/>
      <c r="E40" s="1806">
        <f>-'Contracts Paid in CY 29'!G141</f>
        <v>-364298</v>
      </c>
      <c r="F40" s="1802"/>
      <c r="G40" s="1806">
        <f>-'Contracts Paid in CY 29'!G141</f>
        <v>-364298</v>
      </c>
    </row>
    <row r="41" spans="1:7" ht="12" customHeight="1" x14ac:dyDescent="0.2">
      <c r="A41" s="998" t="s">
        <v>156</v>
      </c>
      <c r="B41" s="999"/>
      <c r="C41" s="1000"/>
      <c r="D41" s="1806">
        <f>SUM(D19:D39)</f>
        <v>82222</v>
      </c>
      <c r="E41" s="1806">
        <f>SUM(E19:E40)</f>
        <v>3749779</v>
      </c>
      <c r="F41" s="1806">
        <f>SUM(F19:F39)</f>
        <v>434258</v>
      </c>
      <c r="G41" s="1806">
        <f>SUM(G19:G40)</f>
        <v>3397743</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82222</v>
      </c>
      <c r="F43" s="1807" t="s">
        <v>473</v>
      </c>
      <c r="G43" s="1808">
        <f>F41</f>
        <v>434258</v>
      </c>
    </row>
    <row r="44" spans="1:7" ht="12" customHeight="1" x14ac:dyDescent="0.2">
      <c r="A44" s="987"/>
      <c r="B44" s="162"/>
      <c r="C44" s="1001"/>
      <c r="D44" s="1807" t="s">
        <v>474</v>
      </c>
      <c r="E44" s="1808">
        <f>E41</f>
        <v>3749779</v>
      </c>
      <c r="F44" s="1807" t="s">
        <v>474</v>
      </c>
      <c r="G44" s="1808">
        <f>G41</f>
        <v>3397743</v>
      </c>
    </row>
    <row r="45" spans="1:7" ht="12" customHeight="1" x14ac:dyDescent="0.2">
      <c r="A45" s="987"/>
      <c r="B45" s="162"/>
      <c r="C45" s="162"/>
      <c r="D45" s="1809" t="s">
        <v>1006</v>
      </c>
      <c r="E45" s="1810">
        <f>(E43/E44)</f>
        <v>2.1927158907231601E-2</v>
      </c>
      <c r="F45" s="1809" t="s">
        <v>1006</v>
      </c>
      <c r="G45" s="1810">
        <f>(G43/G44)</f>
        <v>0.12780778299006135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33" sqref="F33"/>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3" t="s">
        <v>1379</v>
      </c>
      <c r="B1" s="2303"/>
      <c r="C1" s="2303"/>
      <c r="D1" s="2303"/>
      <c r="E1" s="2303"/>
      <c r="F1" s="2303"/>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4" t="s">
        <v>1546</v>
      </c>
      <c r="B5" s="2305"/>
      <c r="C5" s="2306"/>
      <c r="D5" s="2306"/>
      <c r="E5" s="2306"/>
      <c r="F5" s="2306"/>
    </row>
    <row r="6" spans="1:10" ht="12" customHeight="1" x14ac:dyDescent="0.25">
      <c r="A6" s="1850"/>
      <c r="B6" s="1851"/>
      <c r="C6" s="2307" t="str">
        <f>COVER!A17</f>
        <v>Griggsville-Perry CUSD 4</v>
      </c>
      <c r="D6" s="2307"/>
      <c r="E6" s="2307"/>
      <c r="F6" s="1852"/>
    </row>
    <row r="7" spans="1:10" ht="11.25" customHeight="1" thickBot="1" x14ac:dyDescent="0.3">
      <c r="A7" s="1850"/>
      <c r="B7" s="1851"/>
      <c r="C7" s="2308">
        <f>COVER!A13</f>
        <v>1075004026</v>
      </c>
      <c r="D7" s="2308"/>
      <c r="E7" s="2308"/>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c r="F26" s="1867" t="s">
        <v>2082</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t="s">
        <v>2064</v>
      </c>
      <c r="D33" s="1865" t="s">
        <v>2064</v>
      </c>
      <c r="E33" s="1868"/>
      <c r="F33" s="1867" t="s">
        <v>2083</v>
      </c>
      <c r="H33" s="1878">
        <f t="shared" si="0"/>
        <v>5</v>
      </c>
      <c r="I33" s="1878">
        <f t="shared" si="1"/>
        <v>5</v>
      </c>
      <c r="J33" s="1878">
        <f t="shared" si="2"/>
        <v>0</v>
      </c>
    </row>
    <row r="34" spans="1:11" ht="12" customHeight="1" x14ac:dyDescent="0.25">
      <c r="A34" s="1870"/>
      <c r="B34" s="1870"/>
      <c r="C34" s="1870"/>
      <c r="D34" s="1870"/>
      <c r="E34" s="1870"/>
      <c r="F34" s="1870"/>
      <c r="H34" s="1878">
        <f>SUM(H11:H32)</f>
        <v>5</v>
      </c>
      <c r="I34" s="1878">
        <f>SUM(I11:I32)</f>
        <v>5</v>
      </c>
      <c r="J34" s="1878">
        <f>SUM(J11:J32)</f>
        <v>0</v>
      </c>
      <c r="K34" s="1878">
        <f>SUM(H34:J34)</f>
        <v>10</v>
      </c>
    </row>
    <row r="35" spans="1:11" ht="12" customHeight="1" x14ac:dyDescent="0.2">
      <c r="A35" s="1871" t="s">
        <v>1392</v>
      </c>
      <c r="B35" s="1872"/>
      <c r="C35" s="2309"/>
      <c r="D35" s="2309"/>
      <c r="E35" s="2309"/>
      <c r="F35" s="2310"/>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295"/>
      <c r="B38" s="2296"/>
      <c r="C38" s="2296"/>
      <c r="D38" s="2296"/>
      <c r="E38" s="2296"/>
      <c r="F38" s="2297"/>
    </row>
    <row r="39" spans="1:11" ht="4.5" hidden="1" customHeight="1" x14ac:dyDescent="0.2">
      <c r="A39" s="1873"/>
      <c r="B39" s="1873"/>
      <c r="C39" s="1873"/>
      <c r="D39" s="1873"/>
      <c r="E39" s="1873"/>
      <c r="F39" s="1873"/>
    </row>
    <row r="40" spans="1:11" s="1870" customFormat="1" ht="12" customHeight="1" x14ac:dyDescent="0.25">
      <c r="A40" s="1874" t="s">
        <v>1391</v>
      </c>
      <c r="B40" s="1875"/>
      <c r="C40" s="2298"/>
      <c r="D40" s="2298"/>
      <c r="E40" s="2298"/>
      <c r="F40" s="2299"/>
      <c r="H40" s="1879"/>
      <c r="I40" s="1879"/>
      <c r="J40" s="1879"/>
      <c r="K40" s="1879"/>
    </row>
    <row r="41" spans="1:11" s="1870" customFormat="1" ht="12" customHeight="1" x14ac:dyDescent="0.25">
      <c r="A41" s="2300"/>
      <c r="B41" s="2301"/>
      <c r="C41" s="2301"/>
      <c r="D41" s="2301"/>
      <c r="E41" s="2301"/>
      <c r="F41" s="2302"/>
      <c r="H41" s="1879"/>
      <c r="I41" s="1879"/>
      <c r="J41" s="1879"/>
      <c r="K41" s="1879"/>
    </row>
    <row r="42" spans="1:11" s="1870" customFormat="1" ht="12" customHeight="1" x14ac:dyDescent="0.25">
      <c r="A42" s="2300"/>
      <c r="B42" s="2301"/>
      <c r="C42" s="2301"/>
      <c r="D42" s="2301"/>
      <c r="E42" s="2301"/>
      <c r="F42" s="2302"/>
      <c r="H42" s="1879"/>
      <c r="I42" s="1879"/>
      <c r="J42" s="1879"/>
      <c r="K42" s="1879"/>
    </row>
    <row r="43" spans="1:11" s="1870" customFormat="1" ht="15" x14ac:dyDescent="0.25">
      <c r="A43" s="2289"/>
      <c r="B43" s="2290"/>
      <c r="C43" s="2290"/>
      <c r="D43" s="2290"/>
      <c r="E43" s="2290"/>
      <c r="F43" s="2291"/>
      <c r="H43" s="1879"/>
      <c r="I43" s="1879"/>
      <c r="J43" s="1879"/>
      <c r="K43" s="1879"/>
    </row>
    <row r="44" spans="1:11" s="1870" customFormat="1" ht="12" hidden="1" customHeight="1" x14ac:dyDescent="0.25">
      <c r="A44" s="2289"/>
      <c r="B44" s="2290"/>
      <c r="C44" s="2290"/>
      <c r="D44" s="2290"/>
      <c r="E44" s="2290"/>
      <c r="F44" s="2291"/>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2" sqref="H12:H1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Griggsville-Perry CUSD 4</v>
      </c>
      <c r="J6" s="2317"/>
      <c r="Q6" s="1664"/>
    </row>
    <row r="7" spans="1:17" x14ac:dyDescent="0.2">
      <c r="A7" s="2318" t="s">
        <v>869</v>
      </c>
      <c r="B7" s="2319"/>
      <c r="C7" s="2319"/>
      <c r="D7" s="2319"/>
      <c r="E7" s="2320"/>
      <c r="F7" s="1017"/>
      <c r="G7" s="1009"/>
      <c r="H7" s="1016" t="s">
        <v>372</v>
      </c>
      <c r="I7" s="2321">
        <f>COVER!A13</f>
        <v>1075004026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159580</v>
      </c>
      <c r="F12" s="1039"/>
      <c r="G12" s="1811">
        <f t="shared" ref="G12:G18" si="0">SUM(E12:F12)</f>
        <v>159580</v>
      </c>
      <c r="H12" s="1040"/>
      <c r="I12" s="1039"/>
      <c r="J12" s="1811">
        <f t="shared" ref="J12:J18" si="1">SUM(H12:I12)</f>
        <v>0</v>
      </c>
    </row>
    <row r="13" spans="1:17" ht="15" customHeight="1" x14ac:dyDescent="0.2">
      <c r="A13" s="1035">
        <v>2</v>
      </c>
      <c r="B13" s="1036" t="s">
        <v>42</v>
      </c>
      <c r="C13" s="1037"/>
      <c r="D13" s="1038">
        <v>2330</v>
      </c>
      <c r="E13" s="1811">
        <f>'Expenditures 15-22'!K51</f>
        <v>2721</v>
      </c>
      <c r="F13" s="1039"/>
      <c r="G13" s="1811">
        <f t="shared" si="0"/>
        <v>2721</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162301</v>
      </c>
      <c r="F19" s="1813">
        <f t="shared" si="2"/>
        <v>0</v>
      </c>
      <c r="G19" s="1813">
        <f t="shared" si="2"/>
        <v>162301</v>
      </c>
      <c r="H19" s="1813">
        <f t="shared" si="2"/>
        <v>0</v>
      </c>
      <c r="I19" s="1813">
        <f t="shared" si="2"/>
        <v>0</v>
      </c>
      <c r="J19" s="1813">
        <f t="shared" si="2"/>
        <v>0</v>
      </c>
    </row>
    <row r="20" spans="1:10" ht="13.5" thickTop="1" x14ac:dyDescent="0.2">
      <c r="A20" s="1035">
        <v>9</v>
      </c>
      <c r="B20" s="2328" t="s">
        <v>1981</v>
      </c>
      <c r="C20" s="2328"/>
      <c r="D20" s="2329"/>
      <c r="E20" s="1046"/>
      <c r="F20" s="1046"/>
      <c r="G20" s="1046"/>
      <c r="H20" s="1046"/>
      <c r="I20" s="1046"/>
      <c r="J20" s="1814" t="str">
        <f>IF(AND(G19&gt;0,J19&gt;0),(((J19-G19)/G19)),"Enter Budget Data")</f>
        <v>Enter Budget Data</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A13" sqref="A13"/>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2100</v>
      </c>
    </row>
    <row r="6" spans="1:2" x14ac:dyDescent="0.2">
      <c r="A6" s="1068">
        <v>2</v>
      </c>
      <c r="B6" s="329" t="s">
        <v>2101</v>
      </c>
    </row>
    <row r="7" spans="1:2" x14ac:dyDescent="0.2">
      <c r="A7" s="1068">
        <v>3</v>
      </c>
      <c r="B7" s="329" t="s">
        <v>2102</v>
      </c>
    </row>
    <row r="8" spans="1:2" x14ac:dyDescent="0.2">
      <c r="A8" s="1068">
        <v>4</v>
      </c>
      <c r="B8" s="329" t="s">
        <v>2103</v>
      </c>
    </row>
    <row r="9" spans="1:2" x14ac:dyDescent="0.2">
      <c r="A9" s="1069">
        <v>5</v>
      </c>
      <c r="B9" s="329" t="s">
        <v>2104</v>
      </c>
    </row>
    <row r="10" spans="1:2" x14ac:dyDescent="0.2">
      <c r="A10" s="1069">
        <v>6</v>
      </c>
      <c r="B10" s="329" t="s">
        <v>2105</v>
      </c>
    </row>
    <row r="11" spans="1:2" x14ac:dyDescent="0.2">
      <c r="A11" s="1069">
        <v>7</v>
      </c>
      <c r="B11" s="329" t="s">
        <v>2106</v>
      </c>
    </row>
    <row r="12" spans="1:2" x14ac:dyDescent="0.2">
      <c r="A12" s="1069">
        <v>8</v>
      </c>
      <c r="B12" s="329" t="s">
        <v>2107</v>
      </c>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Griggsville-Perry CUSD 4</v>
      </c>
    </row>
    <row r="65" spans="2:2" x14ac:dyDescent="0.2">
      <c r="B65" s="1070">
        <f>COVER!A13</f>
        <v>1075004026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1543050</xdr:colOff>
                <xdr:row>4</xdr:row>
                <xdr:rowOff>142875</xdr:rowOff>
              </from>
              <to>
                <xdr:col>1</xdr:col>
                <xdr:colOff>2457450</xdr:colOff>
                <xdr:row>9</xdr:row>
                <xdr:rowOff>19050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E11" sqref="E1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3238817</v>
      </c>
      <c r="C8" s="1815">
        <f>'Acct Summary 7-8'!D8</f>
        <v>285908</v>
      </c>
      <c r="D8" s="1815">
        <f>'Acct Summary 7-8'!F8</f>
        <v>356652</v>
      </c>
      <c r="E8" s="1815">
        <f>'Acct Summary 7-8'!I8</f>
        <v>20434</v>
      </c>
      <c r="F8" s="1815">
        <f>SUM(B8:E8)</f>
        <v>3901811</v>
      </c>
    </row>
    <row r="9" spans="1:8" s="1079" customFormat="1" ht="14.25" customHeight="1" thickBot="1" x14ac:dyDescent="0.25">
      <c r="A9" s="1078" t="s">
        <v>1369</v>
      </c>
      <c r="B9" s="1816">
        <f>'Acct Summary 7-8'!C17</f>
        <v>3177855</v>
      </c>
      <c r="C9" s="1816">
        <f>'Acct Summary 7-8'!D17</f>
        <v>334585</v>
      </c>
      <c r="D9" s="1816">
        <f>'Acct Summary 7-8'!F17</f>
        <v>424264</v>
      </c>
      <c r="E9" s="1815"/>
      <c r="F9" s="1815">
        <f>SUM(B9:E9)</f>
        <v>3936704</v>
      </c>
    </row>
    <row r="10" spans="1:8" s="1079" customFormat="1" ht="14.25" thickTop="1" thickBot="1" x14ac:dyDescent="0.25">
      <c r="A10" s="1080" t="s">
        <v>1370</v>
      </c>
      <c r="B10" s="1817">
        <f>(B8-B9)</f>
        <v>60962</v>
      </c>
      <c r="C10" s="1817">
        <f>(C8-C9)</f>
        <v>-48677</v>
      </c>
      <c r="D10" s="1817">
        <f>(D8-D9)</f>
        <v>-67612</v>
      </c>
      <c r="E10" s="1816">
        <f>(E8-E9)</f>
        <v>20434</v>
      </c>
      <c r="F10" s="1818">
        <f>SUM(F8-F9)</f>
        <v>-34893</v>
      </c>
    </row>
    <row r="11" spans="1:8" s="1079" customFormat="1" ht="14.25" thickTop="1" thickBot="1" x14ac:dyDescent="0.25">
      <c r="A11" s="1081" t="s">
        <v>1985</v>
      </c>
      <c r="B11" s="1819">
        <f>'Acct Summary 7-8'!C81</f>
        <v>552912</v>
      </c>
      <c r="C11" s="1819">
        <f>'Acct Summary 7-8'!D81</f>
        <v>77278</v>
      </c>
      <c r="D11" s="1819">
        <f>'Acct Summary 7-8'!F81</f>
        <v>250211</v>
      </c>
      <c r="E11" s="1819">
        <f>'Acct Summary 7-8'!I81</f>
        <v>3389</v>
      </c>
      <c r="F11" s="1820">
        <f>SUM(B11:E11)</f>
        <v>883790</v>
      </c>
    </row>
    <row r="12" spans="1:8" ht="16.5" customHeight="1" thickTop="1" x14ac:dyDescent="0.2">
      <c r="A12" s="1082"/>
      <c r="B12" s="1083"/>
      <c r="C12" s="2340" t="str">
        <f>IF(AND(F10&lt;0,F11&gt;=0,ABS(F10*3)&gt;ABS(F11)),A16,IF(AND(F10&lt;0,F11&gt;0,ABS(F10*3)&lt;=ABS(F11)),A17,IF(AND(F10&lt;0,F11&lt;0),A16,IF(F11=0,A19,A18))))</f>
        <v>Unbalanced -  however, a deficit reduction plan is not required at this time.</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D29" sqref="D2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ENTER BUDGET DATA!</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1075004026</v>
      </c>
    </row>
    <row r="3" spans="1:2" x14ac:dyDescent="0.2">
      <c r="A3" t="s">
        <v>956</v>
      </c>
      <c r="B3" s="138" t="str">
        <f>COVER!A15</f>
        <v>Pike, Adams</v>
      </c>
    </row>
    <row r="4" spans="1:2" x14ac:dyDescent="0.2">
      <c r="A4" t="s">
        <v>1007</v>
      </c>
      <c r="B4" s="138" t="str">
        <f>COVER!A17</f>
        <v>Griggsville-Perry CUSD 4</v>
      </c>
    </row>
    <row r="5" spans="1:2" x14ac:dyDescent="0.2">
      <c r="A5" t="s">
        <v>704</v>
      </c>
      <c r="B5" s="138" t="str">
        <f>COVER!A38</f>
        <v>Kent Hawley</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Suzanne Steckel</v>
      </c>
    </row>
    <row r="18" spans="1:2" x14ac:dyDescent="0.2">
      <c r="A18" t="s">
        <v>1150</v>
      </c>
      <c r="B18" s="138" t="str">
        <f>COVER!T17</f>
        <v>1395 Lincoln Ave</v>
      </c>
    </row>
    <row r="19" spans="1:2" x14ac:dyDescent="0.2">
      <c r="A19" t="s">
        <v>886</v>
      </c>
      <c r="B19" s="138" t="str">
        <f>COVER!T25</f>
        <v>ssteckel@zescpa.com</v>
      </c>
    </row>
    <row r="20" spans="1:2" x14ac:dyDescent="0.2">
      <c r="A20" t="s">
        <v>887</v>
      </c>
      <c r="B20" s="138" t="str">
        <f>COVER!T19</f>
        <v>Jacksonville</v>
      </c>
    </row>
    <row r="21" spans="1:2" x14ac:dyDescent="0.2">
      <c r="A21" t="s">
        <v>479</v>
      </c>
      <c r="B21" s="138" t="str">
        <f>COVER!X19</f>
        <v xml:space="preserve">IL </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Yes</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Yes</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552912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531933</v>
      </c>
      <c r="D92" s="2" t="str">
        <f t="shared" si="0"/>
        <v>Error?</v>
      </c>
    </row>
    <row r="93" spans="1:4" x14ac:dyDescent="0.2">
      <c r="A93" s="5">
        <v>32</v>
      </c>
      <c r="B93" s="138">
        <f>'Assets-Liab 5-6'!C41</f>
        <v>552912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77278</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77278</v>
      </c>
      <c r="D123" s="2" t="str">
        <f t="shared" si="0"/>
        <v>Error?</v>
      </c>
    </row>
    <row r="124" spans="1:4" x14ac:dyDescent="0.2">
      <c r="A124" s="5">
        <v>63</v>
      </c>
      <c r="B124" s="138">
        <f>'Assets-Liab 5-6'!D41</f>
        <v>77278</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379</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379</v>
      </c>
      <c r="D140" s="2" t="str">
        <f t="shared" si="1"/>
        <v>Error?</v>
      </c>
    </row>
    <row r="141" spans="1:4" x14ac:dyDescent="0.2">
      <c r="A141" s="5">
        <v>80</v>
      </c>
      <c r="B141" s="138">
        <f>'Assets-Liab 5-6'!E41</f>
        <v>379</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250211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250211</v>
      </c>
      <c r="D170" s="2" t="str">
        <f t="shared" si="1"/>
        <v>Error?</v>
      </c>
    </row>
    <row r="171" spans="1:4" x14ac:dyDescent="0.2">
      <c r="A171" s="5">
        <v>110</v>
      </c>
      <c r="B171" s="138">
        <f>'Assets-Liab 5-6'!F41</f>
        <v>250211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201539</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152583</v>
      </c>
      <c r="D189" s="2" t="str">
        <f t="shared" si="1"/>
        <v>Error?</v>
      </c>
    </row>
    <row r="190" spans="1:4" x14ac:dyDescent="0.2">
      <c r="A190" s="5">
        <v>129</v>
      </c>
      <c r="B190" s="138">
        <f>'Assets-Liab 5-6'!G41</f>
        <v>201539</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261129</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261129</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52535</v>
      </c>
      <c r="D273" s="2" t="str">
        <f t="shared" si="3"/>
        <v>Error?</v>
      </c>
    </row>
    <row r="274" spans="1:4" x14ac:dyDescent="0.2">
      <c r="A274" s="5">
        <v>213</v>
      </c>
      <c r="B274" s="138">
        <f>'Assets-Liab 5-6'!M17</f>
        <v>8795952</v>
      </c>
      <c r="D274" s="2" t="str">
        <f t="shared" si="3"/>
        <v>Error?</v>
      </c>
    </row>
    <row r="275" spans="1:4" x14ac:dyDescent="0.2">
      <c r="A275" s="5">
        <v>214</v>
      </c>
      <c r="B275" s="138">
        <f>'Assets-Liab 5-6'!M18</f>
        <v>0</v>
      </c>
      <c r="D275" s="2" t="str">
        <f t="shared" si="3"/>
        <v>Error?</v>
      </c>
    </row>
    <row r="276" spans="1:4" x14ac:dyDescent="0.2">
      <c r="A276" s="5">
        <v>215</v>
      </c>
      <c r="B276" s="138">
        <f>'Assets-Liab 5-6'!M19</f>
        <v>1111569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9960056</v>
      </c>
      <c r="C279" s="2" t="s">
        <v>573</v>
      </c>
      <c r="D279" s="2" t="str">
        <f t="shared" si="3"/>
        <v>Error?</v>
      </c>
    </row>
    <row r="280" spans="1:4" x14ac:dyDescent="0.2">
      <c r="A280" s="5">
        <v>219</v>
      </c>
      <c r="B280" s="138">
        <f>'Assets-Liab 5-6'!M40</f>
        <v>9960056</v>
      </c>
      <c r="D280" s="2" t="str">
        <f t="shared" si="3"/>
        <v>Error?</v>
      </c>
    </row>
    <row r="281" spans="1:4" x14ac:dyDescent="0.2">
      <c r="A281" s="5">
        <v>220</v>
      </c>
      <c r="B281" s="138">
        <f>'Assets-Liab 5-6'!M41</f>
        <v>9960056</v>
      </c>
      <c r="C281" s="2" t="s">
        <v>573</v>
      </c>
      <c r="D281" s="2" t="str">
        <f t="shared" si="3"/>
        <v>Error?</v>
      </c>
    </row>
    <row r="282" spans="1:4" x14ac:dyDescent="0.2">
      <c r="A282" s="5">
        <v>221</v>
      </c>
      <c r="B282" s="138">
        <f>'Assets-Liab 5-6'!N21</f>
        <v>379</v>
      </c>
      <c r="D282" s="2" t="str">
        <f t="shared" si="3"/>
        <v>Error?</v>
      </c>
    </row>
    <row r="283" spans="1:4" x14ac:dyDescent="0.2">
      <c r="A283" s="5">
        <v>222</v>
      </c>
      <c r="B283" s="138">
        <f>'Assets-Liab 5-6'!N22</f>
        <v>2946921</v>
      </c>
      <c r="D283" s="2" t="str">
        <f t="shared" si="3"/>
        <v>Error?</v>
      </c>
    </row>
    <row r="284" spans="1:4" x14ac:dyDescent="0.2">
      <c r="A284" s="5">
        <v>223</v>
      </c>
      <c r="B284" s="138">
        <f>'Assets-Liab 5-6'!N23</f>
        <v>2947300</v>
      </c>
      <c r="C284" s="2" t="s">
        <v>573</v>
      </c>
      <c r="D284" s="2" t="str">
        <f t="shared" si="3"/>
        <v>Error?</v>
      </c>
    </row>
    <row r="285" spans="1:4" x14ac:dyDescent="0.2">
      <c r="A285" s="5">
        <v>224</v>
      </c>
      <c r="B285" s="138">
        <f>'Assets-Liab 5-6'!N36</f>
        <v>2947300</v>
      </c>
      <c r="D285" s="2" t="str">
        <f t="shared" si="3"/>
        <v>Error?</v>
      </c>
    </row>
    <row r="286" spans="1:4" x14ac:dyDescent="0.2">
      <c r="A286" s="10">
        <v>225</v>
      </c>
      <c r="D286" s="2" t="str">
        <f t="shared" si="3"/>
        <v>OK</v>
      </c>
    </row>
    <row r="287" spans="1:4" x14ac:dyDescent="0.2">
      <c r="A287" s="5">
        <v>226</v>
      </c>
      <c r="B287" s="138">
        <f>'Assets-Liab 5-6'!N37</f>
        <v>2947300</v>
      </c>
      <c r="C287" s="2" t="s">
        <v>573</v>
      </c>
      <c r="D287" s="2" t="str">
        <f t="shared" si="3"/>
        <v>Error?</v>
      </c>
    </row>
    <row r="288" spans="1:4" x14ac:dyDescent="0.2">
      <c r="A288" s="5">
        <v>227</v>
      </c>
      <c r="B288" s="138">
        <f>'Assets-Liab 5-6'!N41</f>
        <v>2947300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1069654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49558</v>
      </c>
      <c r="D717" s="2" t="str">
        <f t="shared" si="10"/>
        <v>Error?</v>
      </c>
    </row>
    <row r="718" spans="1:4" x14ac:dyDescent="0.2">
      <c r="A718" s="5">
        <v>657</v>
      </c>
      <c r="B718" s="138">
        <f>'Expenditures 15-22'!C14</f>
        <v>30738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1666557</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68293</v>
      </c>
      <c r="D722" s="2" t="str">
        <f t="shared" si="10"/>
        <v>Error?</v>
      </c>
    </row>
    <row r="723" spans="1:4" x14ac:dyDescent="0.2">
      <c r="A723" s="5">
        <v>662</v>
      </c>
      <c r="B723" s="138">
        <f>'Expenditures 15-22'!C38</f>
        <v>7189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40769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116251</v>
      </c>
      <c r="C727" s="2" t="s">
        <v>573</v>
      </c>
      <c r="D727" s="2" t="str">
        <f t="shared" si="10"/>
        <v>Error?</v>
      </c>
    </row>
    <row r="728" spans="1:4" x14ac:dyDescent="0.2">
      <c r="A728" s="5">
        <v>667</v>
      </c>
      <c r="B728" s="138">
        <f>'Expenditures 15-22'!C44</f>
        <v>2743</v>
      </c>
      <c r="D728" s="2" t="str">
        <f t="shared" si="10"/>
        <v>Error?</v>
      </c>
    </row>
    <row r="729" spans="1:4" x14ac:dyDescent="0.2">
      <c r="A729" s="5">
        <v>668</v>
      </c>
      <c r="B729" s="138">
        <f>'Expenditures 15-22'!C45</f>
        <v>28588</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31331</v>
      </c>
      <c r="C731" s="2" t="s">
        <v>573</v>
      </c>
      <c r="D731" s="2" t="str">
        <f t="shared" si="10"/>
        <v>Error?</v>
      </c>
    </row>
    <row r="732" spans="1:4" x14ac:dyDescent="0.2">
      <c r="A732" s="5">
        <v>671</v>
      </c>
      <c r="B732" s="138">
        <f>'Expenditures 15-22'!C49</f>
        <v>3148</v>
      </c>
      <c r="D732" s="2" t="str">
        <f t="shared" si="10"/>
        <v>Error?</v>
      </c>
    </row>
    <row r="733" spans="1:4" x14ac:dyDescent="0.2">
      <c r="A733" s="5">
        <v>672</v>
      </c>
      <c r="B733" s="138">
        <f>'Expenditures 15-22'!C50</f>
        <v>138145</v>
      </c>
      <c r="D733" s="2" t="str">
        <f t="shared" si="10"/>
        <v>Error?</v>
      </c>
    </row>
    <row r="734" spans="1:4" x14ac:dyDescent="0.2">
      <c r="A734" s="5">
        <v>673</v>
      </c>
      <c r="B734" s="138">
        <f>'Expenditures 15-22'!C53</f>
        <v>141293</v>
      </c>
      <c r="C734" s="2" t="s">
        <v>573</v>
      </c>
      <c r="D734" s="2" t="str">
        <f t="shared" si="10"/>
        <v>Error?</v>
      </c>
    </row>
    <row r="735" spans="1:4" x14ac:dyDescent="0.2">
      <c r="A735" s="5">
        <v>674</v>
      </c>
      <c r="B735" s="138">
        <f>'Expenditures 15-22'!C55</f>
        <v>135452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135452</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30405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54725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85130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509457</v>
      </c>
      <c r="C755" s="2" t="s">
        <v>573</v>
      </c>
      <c r="D755" s="2" t="str">
        <f t="shared" si="10"/>
        <v>Error?</v>
      </c>
    </row>
    <row r="756" spans="1:4" x14ac:dyDescent="0.2">
      <c r="A756" s="5">
        <v>695</v>
      </c>
      <c r="B756" s="138">
        <f>'Expenditures 15-22'!C75</f>
        <v>19853</v>
      </c>
      <c r="D756" s="2" t="str">
        <f t="shared" si="10"/>
        <v>Error?</v>
      </c>
    </row>
    <row r="757" spans="1:4" x14ac:dyDescent="0.2">
      <c r="A757" s="5">
        <v>696</v>
      </c>
      <c r="B757" s="138">
        <f>'Expenditures 15-22'!C114</f>
        <v>2195867</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189308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7666</v>
      </c>
      <c r="D775" s="2" t="str">
        <f t="shared" si="11"/>
        <v>Error?</v>
      </c>
    </row>
    <row r="776" spans="1:4" x14ac:dyDescent="0.2">
      <c r="A776" s="5">
        <v>715</v>
      </c>
      <c r="B776" s="138">
        <f>'Expenditures 15-22'!D14</f>
        <v>286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271809</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15737</v>
      </c>
      <c r="D780" s="2" t="str">
        <f t="shared" si="11"/>
        <v>Error?</v>
      </c>
    </row>
    <row r="781" spans="1:4" x14ac:dyDescent="0.2">
      <c r="A781" s="5">
        <v>720</v>
      </c>
      <c r="B781" s="138">
        <f>'Expenditures 15-22'!D38</f>
        <v>1572</v>
      </c>
      <c r="D781" s="2" t="str">
        <f t="shared" si="11"/>
        <v>Error?</v>
      </c>
    </row>
    <row r="782" spans="1:4" x14ac:dyDescent="0.2">
      <c r="A782" s="5">
        <v>721</v>
      </c>
      <c r="B782" s="138">
        <f>'Expenditures 15-22'!D39</f>
        <v>0</v>
      </c>
      <c r="D782" s="2" t="str">
        <f t="shared" si="11"/>
        <v>Error?</v>
      </c>
    </row>
    <row r="783" spans="1:4" x14ac:dyDescent="0.2">
      <c r="A783" s="5">
        <v>722</v>
      </c>
      <c r="B783" s="138">
        <f>'Expenditures 15-22'!D40</f>
        <v>6921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24230</v>
      </c>
      <c r="C785" s="2" t="s">
        <v>573</v>
      </c>
      <c r="D785" s="2" t="str">
        <f t="shared" si="11"/>
        <v>Error?</v>
      </c>
    </row>
    <row r="786" spans="1:4" x14ac:dyDescent="0.2">
      <c r="A786" s="5">
        <v>725</v>
      </c>
      <c r="B786" s="138">
        <f>'Expenditures 15-22'!D44</f>
        <v>29</v>
      </c>
      <c r="D786" s="2" t="str">
        <f t="shared" si="11"/>
        <v>Error?</v>
      </c>
    </row>
    <row r="787" spans="1:4" x14ac:dyDescent="0.2">
      <c r="A787" s="5">
        <v>726</v>
      </c>
      <c r="B787" s="138">
        <f>'Expenditures 15-22'!D45</f>
        <v>19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48</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17384</v>
      </c>
      <c r="D791" s="2" t="str">
        <f t="shared" si="11"/>
        <v>Error?</v>
      </c>
    </row>
    <row r="792" spans="1:4" x14ac:dyDescent="0.2">
      <c r="A792" s="5">
        <v>731</v>
      </c>
      <c r="B792" s="138">
        <f>'Expenditures 15-22'!D53</f>
        <v>17384</v>
      </c>
      <c r="C792" s="2" t="s">
        <v>573</v>
      </c>
      <c r="D792" s="2" t="str">
        <f t="shared" si="11"/>
        <v>Error?</v>
      </c>
    </row>
    <row r="793" spans="1:4" x14ac:dyDescent="0.2">
      <c r="A793" s="5">
        <v>732</v>
      </c>
      <c r="B793" s="138">
        <f>'Expenditures 15-22'!D55</f>
        <v>14976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14976</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737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109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846</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57484</v>
      </c>
      <c r="C813" s="2" t="s">
        <v>573</v>
      </c>
      <c r="D813" s="2" t="str">
        <f t="shared" si="11"/>
        <v>Error?</v>
      </c>
    </row>
    <row r="814" spans="1:4" x14ac:dyDescent="0.2">
      <c r="A814" s="5">
        <v>753</v>
      </c>
      <c r="B814" s="138">
        <f>'Expenditures 15-22'!D75</f>
        <v>164</v>
      </c>
      <c r="D814" s="2" t="str">
        <f t="shared" si="11"/>
        <v>Error?</v>
      </c>
    </row>
    <row r="815" spans="1:4" x14ac:dyDescent="0.2">
      <c r="A815" s="5">
        <v>754</v>
      </c>
      <c r="B815" s="138">
        <f>'Expenditures 15-22'!D114</f>
        <v>329457</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21813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17078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56148</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378</v>
      </c>
      <c r="D838" s="2" t="str">
        <f t="shared" si="12"/>
        <v>Error?</v>
      </c>
    </row>
    <row r="839" spans="1:4" x14ac:dyDescent="0.2">
      <c r="A839" s="5">
        <v>778</v>
      </c>
      <c r="B839" s="138">
        <f>'Expenditures 15-22'!E38</f>
        <v>1047</v>
      </c>
      <c r="D839" s="2" t="str">
        <f t="shared" si="12"/>
        <v>Error?</v>
      </c>
    </row>
    <row r="840" spans="1:4" x14ac:dyDescent="0.2">
      <c r="A840" s="5">
        <v>779</v>
      </c>
      <c r="B840" s="138">
        <f>'Expenditures 15-22'!E39</f>
        <v>0</v>
      </c>
      <c r="D840" s="2" t="str">
        <f t="shared" si="12"/>
        <v>Error?</v>
      </c>
    </row>
    <row r="841" spans="1:4" x14ac:dyDescent="0.2">
      <c r="A841" s="5">
        <v>780</v>
      </c>
      <c r="B841" s="138">
        <f>'Expenditures 15-22'!E40</f>
        <v>812</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2237</v>
      </c>
      <c r="C843" s="2" t="s">
        <v>573</v>
      </c>
      <c r="D843" s="2" t="str">
        <f t="shared" si="12"/>
        <v>Error?</v>
      </c>
    </row>
    <row r="844" spans="1:4" x14ac:dyDescent="0.2">
      <c r="A844" s="5">
        <v>783</v>
      </c>
      <c r="B844" s="138">
        <f>'Expenditures 15-22'!E44</f>
        <v>28347</v>
      </c>
      <c r="D844" s="2" t="str">
        <f t="shared" si="12"/>
        <v>Error?</v>
      </c>
    </row>
    <row r="845" spans="1:4" x14ac:dyDescent="0.2">
      <c r="A845" s="5">
        <v>784</v>
      </c>
      <c r="B845" s="138">
        <f>'Expenditures 15-22'!E45</f>
        <v>30</v>
      </c>
      <c r="D845" s="2" t="str">
        <f t="shared" si="12"/>
        <v>Error?</v>
      </c>
    </row>
    <row r="846" spans="1:4" x14ac:dyDescent="0.2">
      <c r="A846" s="5">
        <v>785</v>
      </c>
      <c r="B846" s="138">
        <f>'Expenditures 15-22'!E46</f>
        <v>465</v>
      </c>
      <c r="D846" s="2" t="str">
        <f t="shared" si="12"/>
        <v>Error?</v>
      </c>
    </row>
    <row r="847" spans="1:4" x14ac:dyDescent="0.2">
      <c r="A847" s="5">
        <v>786</v>
      </c>
      <c r="B847" s="138">
        <f>'Expenditures 15-22'!E47</f>
        <v>28842</v>
      </c>
      <c r="C847" s="2" t="s">
        <v>573</v>
      </c>
      <c r="D847" s="2" t="str">
        <f t="shared" si="12"/>
        <v>Error?</v>
      </c>
    </row>
    <row r="848" spans="1:4" x14ac:dyDescent="0.2">
      <c r="A848" s="5">
        <v>787</v>
      </c>
      <c r="B848" s="138">
        <f>'Expenditures 15-22'!E49</f>
        <v>31720</v>
      </c>
      <c r="D848" s="2" t="str">
        <f t="shared" si="12"/>
        <v>Error?</v>
      </c>
    </row>
    <row r="849" spans="1:4" x14ac:dyDescent="0.2">
      <c r="A849" s="5">
        <v>788</v>
      </c>
      <c r="B849" s="138">
        <f>'Expenditures 15-22'!E50</f>
        <v>2312</v>
      </c>
      <c r="D849" s="2" t="str">
        <f t="shared" si="12"/>
        <v>Error?</v>
      </c>
    </row>
    <row r="850" spans="1:4" x14ac:dyDescent="0.2">
      <c r="A850" s="5">
        <v>789</v>
      </c>
      <c r="B850" s="138">
        <f>'Expenditures 15-22'!E53</f>
        <v>36498</v>
      </c>
      <c r="C850" s="2" t="s">
        <v>573</v>
      </c>
      <c r="D850" s="2" t="str">
        <f t="shared" si="12"/>
        <v>Error?</v>
      </c>
    </row>
    <row r="851" spans="1:4" x14ac:dyDescent="0.2">
      <c r="A851" s="5">
        <v>790</v>
      </c>
      <c r="B851" s="138">
        <f>'Expenditures 15-22'!E55</f>
        <v>761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761</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10700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6470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17170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32645</v>
      </c>
      <c r="D867" s="2" t="str">
        <f t="shared" si="12"/>
        <v>Error?</v>
      </c>
    </row>
    <row r="868" spans="1:4" x14ac:dyDescent="0.2">
      <c r="A868" s="10">
        <v>807</v>
      </c>
      <c r="D868" s="2" t="str">
        <f t="shared" si="12"/>
        <v>OK</v>
      </c>
    </row>
    <row r="869" spans="1:4" x14ac:dyDescent="0.2">
      <c r="A869" s="5">
        <v>808</v>
      </c>
      <c r="B869" s="138">
        <f>'Expenditures 15-22'!E72</f>
        <v>32645</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118153</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258620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59695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4570</v>
      </c>
      <c r="D891" s="2" t="str">
        <f t="shared" si="12"/>
        <v>Error?</v>
      </c>
    </row>
    <row r="892" spans="1:4" x14ac:dyDescent="0.2">
      <c r="A892" s="5">
        <v>831</v>
      </c>
      <c r="B892" s="138">
        <f>'Expenditures 15-22'!F14</f>
        <v>9792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123360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627</v>
      </c>
      <c r="D896" s="2" t="str">
        <f t="shared" si="13"/>
        <v>Error?</v>
      </c>
    </row>
    <row r="897" spans="1:4" x14ac:dyDescent="0.2">
      <c r="A897" s="5">
        <v>836</v>
      </c>
      <c r="B897" s="138">
        <f>'Expenditures 15-22'!F38</f>
        <v>3777</v>
      </c>
      <c r="D897" s="2" t="str">
        <f t="shared" si="13"/>
        <v>Error?</v>
      </c>
    </row>
    <row r="898" spans="1:4" x14ac:dyDescent="0.2">
      <c r="A898" s="5">
        <v>837</v>
      </c>
      <c r="B898" s="138">
        <f>'Expenditures 15-22'!F39</f>
        <v>0</v>
      </c>
      <c r="D898" s="2" t="str">
        <f t="shared" si="13"/>
        <v>Error?</v>
      </c>
    </row>
    <row r="899" spans="1:4" x14ac:dyDescent="0.2">
      <c r="A899" s="5">
        <v>838</v>
      </c>
      <c r="B899" s="138">
        <f>'Expenditures 15-22'!F40</f>
        <v>408</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4812</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946</v>
      </c>
      <c r="D903" s="2" t="str">
        <f t="shared" si="13"/>
        <v>Error?</v>
      </c>
    </row>
    <row r="904" spans="1:4" x14ac:dyDescent="0.2">
      <c r="A904" s="5">
        <v>843</v>
      </c>
      <c r="B904" s="138">
        <f>'Expenditures 15-22'!F46</f>
        <v>0</v>
      </c>
      <c r="D904" s="2" t="str">
        <f t="shared" si="13"/>
        <v>Error?</v>
      </c>
    </row>
    <row r="905" spans="1:4" x14ac:dyDescent="0.2">
      <c r="A905" s="5">
        <v>844</v>
      </c>
      <c r="B905" s="138">
        <f>'Expenditures 15-22'!F47</f>
        <v>946</v>
      </c>
      <c r="C905" s="2" t="s">
        <v>573</v>
      </c>
      <c r="D905" s="2" t="str">
        <f t="shared" si="13"/>
        <v>Error?</v>
      </c>
    </row>
    <row r="906" spans="1:4" x14ac:dyDescent="0.2">
      <c r="A906" s="5">
        <v>845</v>
      </c>
      <c r="B906" s="138">
        <f>'Expenditures 15-22'!F49</f>
        <v>1247</v>
      </c>
      <c r="D906" s="2" t="str">
        <f t="shared" si="13"/>
        <v>Error?</v>
      </c>
    </row>
    <row r="907" spans="1:4" x14ac:dyDescent="0.2">
      <c r="A907" s="5">
        <v>846</v>
      </c>
      <c r="B907" s="138">
        <f>'Expenditures 15-22'!F50</f>
        <v>1024</v>
      </c>
      <c r="D907" s="2" t="str">
        <f t="shared" si="13"/>
        <v>Error?</v>
      </c>
    </row>
    <row r="908" spans="1:4" x14ac:dyDescent="0.2">
      <c r="A908" s="5">
        <v>847</v>
      </c>
      <c r="B908" s="138">
        <f>'Expenditures 15-22'!F53</f>
        <v>2526</v>
      </c>
      <c r="C908" s="2" t="s">
        <v>573</v>
      </c>
      <c r="D908" s="2" t="str">
        <f t="shared" si="13"/>
        <v>Error?</v>
      </c>
    </row>
    <row r="909" spans="1:4" x14ac:dyDescent="0.2">
      <c r="A909" s="5">
        <v>848</v>
      </c>
      <c r="B909" s="138">
        <f>'Expenditures 15-22'!F55</f>
        <v>3404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3404</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1095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149179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150274</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2170</v>
      </c>
      <c r="D925" s="2" t="str">
        <f t="shared" si="13"/>
        <v>Error?</v>
      </c>
    </row>
    <row r="926" spans="1:4" x14ac:dyDescent="0.2">
      <c r="A926" s="10">
        <v>865</v>
      </c>
      <c r="D926" s="2" t="str">
        <f t="shared" si="13"/>
        <v>OK</v>
      </c>
    </row>
    <row r="927" spans="1:4" x14ac:dyDescent="0.2">
      <c r="A927" s="5">
        <v>866</v>
      </c>
      <c r="B927" s="138">
        <f>'Expenditures 15-22'!F72</f>
        <v>2170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164132</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287492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6355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7598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7598</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4446</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4446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715</v>
      </c>
      <c r="D1023" s="2" t="str">
        <f t="shared" ref="D1023:D1086" si="15">IF(ISBLANK(B1023),"OK",IF(A1023-B1023=0,"OK","Error?"))</f>
        <v>Error?</v>
      </c>
    </row>
    <row r="1024" spans="1:4" x14ac:dyDescent="0.2">
      <c r="A1024" s="5">
        <v>963</v>
      </c>
      <c r="B1024" s="138">
        <f>'Expenditures 15-22'!H53</f>
        <v>715</v>
      </c>
      <c r="C1024" s="2" t="s">
        <v>573</v>
      </c>
      <c r="D1024" s="2" t="str">
        <f t="shared" si="15"/>
        <v>Error?</v>
      </c>
    </row>
    <row r="1025" spans="1:4" x14ac:dyDescent="0.2">
      <c r="A1025" s="5">
        <v>964</v>
      </c>
      <c r="B1025" s="138">
        <f>'Expenditures 15-22'!H55</f>
        <v>580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580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1295</v>
      </c>
      <c r="C1045" s="2" t="s">
        <v>573</v>
      </c>
      <c r="D1045" s="2" t="str">
        <f t="shared" si="15"/>
        <v>Error?</v>
      </c>
    </row>
    <row r="1046" spans="1:4" x14ac:dyDescent="0.2">
      <c r="A1046" s="5">
        <v>985</v>
      </c>
      <c r="B1046" s="138">
        <f>'Expenditures 15-22'!H75</f>
        <v>274</v>
      </c>
      <c r="D1046" s="2" t="str">
        <f t="shared" si="15"/>
        <v>Error?</v>
      </c>
    </row>
    <row r="1047" spans="1:4" x14ac:dyDescent="0.2">
      <c r="A1047" s="5">
        <v>986</v>
      </c>
      <c r="B1047" s="138">
        <f>'Expenditures 15-22'!H102</f>
        <v>92806</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98821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1346825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61794</v>
      </c>
      <c r="C1105" s="2" t="s">
        <v>573</v>
      </c>
      <c r="D1105" s="2" t="str">
        <f t="shared" si="16"/>
        <v>Error?</v>
      </c>
    </row>
    <row r="1106" spans="1:4" x14ac:dyDescent="0.2">
      <c r="A1106" s="5">
        <v>1045</v>
      </c>
      <c r="B1106" s="138">
        <f>'Expenditures 15-22'!K14</f>
        <v>62340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2129918</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85035</v>
      </c>
      <c r="C1110" s="2" t="s">
        <v>573</v>
      </c>
      <c r="D1110" s="2" t="str">
        <f t="shared" si="16"/>
        <v>Error?</v>
      </c>
    </row>
    <row r="1111" spans="1:4" x14ac:dyDescent="0.2">
      <c r="A1111" s="5">
        <v>1050</v>
      </c>
      <c r="B1111" s="138">
        <f>'Expenditures 15-22'!K38</f>
        <v>13585</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48910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147530</v>
      </c>
      <c r="C1115" s="2" t="s">
        <v>573</v>
      </c>
      <c r="D1115" s="2" t="str">
        <f t="shared" si="16"/>
        <v>Error?</v>
      </c>
    </row>
    <row r="1116" spans="1:4" x14ac:dyDescent="0.2">
      <c r="A1116" s="5">
        <v>1055</v>
      </c>
      <c r="B1116" s="138">
        <f>'Expenditures 15-22'!K44</f>
        <v>31119</v>
      </c>
      <c r="C1116" s="2" t="s">
        <v>573</v>
      </c>
      <c r="D1116" s="2" t="str">
        <f t="shared" si="16"/>
        <v>Error?</v>
      </c>
    </row>
    <row r="1117" spans="1:4" x14ac:dyDescent="0.2">
      <c r="A1117" s="5">
        <v>1056</v>
      </c>
      <c r="B1117" s="138">
        <f>'Expenditures 15-22'!K45</f>
        <v>29583</v>
      </c>
      <c r="C1117" s="2" t="s">
        <v>573</v>
      </c>
      <c r="D1117" s="2" t="str">
        <f t="shared" si="16"/>
        <v>Error?</v>
      </c>
    </row>
    <row r="1118" spans="1:4" x14ac:dyDescent="0.2">
      <c r="A1118" s="5">
        <v>1057</v>
      </c>
      <c r="B1118" s="138">
        <f>'Expenditures 15-22'!K46</f>
        <v>465</v>
      </c>
      <c r="C1118" s="2" t="s">
        <v>573</v>
      </c>
      <c r="D1118" s="2" t="str">
        <f t="shared" si="16"/>
        <v>Error?</v>
      </c>
    </row>
    <row r="1119" spans="1:4" x14ac:dyDescent="0.2">
      <c r="A1119" s="5">
        <v>1058</v>
      </c>
      <c r="B1119" s="138">
        <f>'Expenditures 15-22'!K47</f>
        <v>61167</v>
      </c>
      <c r="C1119" s="2" t="s">
        <v>573</v>
      </c>
      <c r="D1119" s="2" t="str">
        <f t="shared" si="16"/>
        <v>Error?</v>
      </c>
    </row>
    <row r="1120" spans="1:4" x14ac:dyDescent="0.2">
      <c r="A1120" s="5">
        <v>1059</v>
      </c>
      <c r="B1120" s="138">
        <f>'Expenditures 15-22'!K49</f>
        <v>36115</v>
      </c>
      <c r="C1120" s="2" t="s">
        <v>573</v>
      </c>
      <c r="D1120" s="2" t="str">
        <f t="shared" si="16"/>
        <v>Error?</v>
      </c>
    </row>
    <row r="1121" spans="1:4" x14ac:dyDescent="0.2">
      <c r="A1121" s="5">
        <v>1060</v>
      </c>
      <c r="B1121" s="138">
        <f>'Expenditures 15-22'!K50</f>
        <v>159580</v>
      </c>
      <c r="C1121" s="2" t="s">
        <v>573</v>
      </c>
      <c r="D1121" s="2" t="str">
        <f t="shared" si="16"/>
        <v>Error?</v>
      </c>
    </row>
    <row r="1122" spans="1:4" x14ac:dyDescent="0.2">
      <c r="A1122" s="5">
        <v>1061</v>
      </c>
      <c r="B1122" s="138">
        <f>'Expenditures 15-22'!K53</f>
        <v>198416</v>
      </c>
      <c r="C1122" s="2" t="s">
        <v>573</v>
      </c>
      <c r="D1122" s="2" t="str">
        <f t="shared" si="16"/>
        <v>Error?</v>
      </c>
    </row>
    <row r="1123" spans="1:4" x14ac:dyDescent="0.2">
      <c r="A1123" s="5">
        <v>1062</v>
      </c>
      <c r="B1123" s="138">
        <f>'Expenditures 15-22'!K55</f>
        <v>155173</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155173</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42937</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210483</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253420</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34815</v>
      </c>
      <c r="C1139" s="2" t="s">
        <v>573</v>
      </c>
      <c r="D1139" s="2" t="str">
        <f t="shared" si="16"/>
        <v>Error?</v>
      </c>
    </row>
    <row r="1140" spans="1:4" x14ac:dyDescent="0.2">
      <c r="A1140" s="10">
        <v>1079</v>
      </c>
      <c r="D1140" s="2" t="str">
        <f t="shared" si="16"/>
        <v>OK</v>
      </c>
    </row>
    <row r="1141" spans="1:4" x14ac:dyDescent="0.2">
      <c r="A1141" s="5">
        <v>1080</v>
      </c>
      <c r="B1141" s="138">
        <f>'Expenditures 15-22'!K72</f>
        <v>34815</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850521</v>
      </c>
      <c r="C1143" s="2" t="s">
        <v>573</v>
      </c>
      <c r="D1143" s="2" t="str">
        <f t="shared" si="16"/>
        <v>Error?</v>
      </c>
    </row>
    <row r="1144" spans="1:4" x14ac:dyDescent="0.2">
      <c r="A1144" s="5">
        <v>1083</v>
      </c>
      <c r="B1144" s="138">
        <f>'Expenditures 15-22'!K75</f>
        <v>20291</v>
      </c>
      <c r="C1144" s="2" t="s">
        <v>573</v>
      </c>
      <c r="D1144" s="2" t="str">
        <f t="shared" si="16"/>
        <v>Error?</v>
      </c>
    </row>
    <row r="1145" spans="1:4" x14ac:dyDescent="0.2">
      <c r="A1145" s="5">
        <v>1084</v>
      </c>
      <c r="B1145" s="138">
        <f>'Expenditures 15-22'!K102</f>
        <v>177125</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3177855</v>
      </c>
      <c r="C1152" s="2" t="s">
        <v>573</v>
      </c>
      <c r="D1152" s="2" t="str">
        <f t="shared" si="17"/>
        <v>Error?</v>
      </c>
    </row>
    <row r="1153" spans="1:4" x14ac:dyDescent="0.2">
      <c r="A1153" s="5">
        <v>1092</v>
      </c>
      <c r="B1153" s="138">
        <f>'Expenditures 15-22'!K115</f>
        <v>60962</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126946</v>
      </c>
      <c r="D1221" s="2" t="str">
        <f t="shared" si="18"/>
        <v>Error?</v>
      </c>
    </row>
    <row r="1222" spans="1:4" x14ac:dyDescent="0.2">
      <c r="A1222" s="10">
        <v>1161</v>
      </c>
      <c r="D1222" s="2" t="str">
        <f t="shared" si="18"/>
        <v>OK</v>
      </c>
    </row>
    <row r="1223" spans="1:4" x14ac:dyDescent="0.2">
      <c r="A1223" s="5">
        <v>1162</v>
      </c>
      <c r="B1223" s="138">
        <f>'Expenditures 15-22'!C127</f>
        <v>126946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126946</v>
      </c>
      <c r="C1225" s="2" t="s">
        <v>573</v>
      </c>
      <c r="D1225" s="2" t="str">
        <f t="shared" si="18"/>
        <v>Error?</v>
      </c>
    </row>
    <row r="1226" spans="1:4" x14ac:dyDescent="0.2">
      <c r="A1226" s="5">
        <v>1165</v>
      </c>
      <c r="B1226" s="138">
        <f>'Expenditures 15-22'!C151</f>
        <v>126946</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16278</v>
      </c>
      <c r="D1229" s="2" t="str">
        <f t="shared" si="18"/>
        <v>Error?</v>
      </c>
    </row>
    <row r="1230" spans="1:4" x14ac:dyDescent="0.2">
      <c r="A1230" s="10">
        <v>1169</v>
      </c>
      <c r="D1230" s="2" t="str">
        <f t="shared" si="18"/>
        <v>OK</v>
      </c>
    </row>
    <row r="1231" spans="1:4" x14ac:dyDescent="0.2">
      <c r="A1231" s="5">
        <v>1170</v>
      </c>
      <c r="B1231" s="138">
        <f>'Expenditures 15-22'!D127</f>
        <v>16278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16278</v>
      </c>
      <c r="C1233" s="2" t="s">
        <v>573</v>
      </c>
      <c r="D1233" s="2" t="str">
        <f t="shared" si="18"/>
        <v>Error?</v>
      </c>
    </row>
    <row r="1234" spans="1:4" x14ac:dyDescent="0.2">
      <c r="A1234" s="5">
        <v>1173</v>
      </c>
      <c r="B1234" s="138">
        <f>'Expenditures 15-22'!D151</f>
        <v>16278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25834</v>
      </c>
      <c r="D1237" s="2" t="str">
        <f t="shared" si="18"/>
        <v>Error?</v>
      </c>
    </row>
    <row r="1238" spans="1:4" x14ac:dyDescent="0.2">
      <c r="A1238" s="10">
        <v>1177</v>
      </c>
      <c r="D1238" s="2" t="str">
        <f t="shared" si="18"/>
        <v>OK</v>
      </c>
    </row>
    <row r="1239" spans="1:4" x14ac:dyDescent="0.2">
      <c r="A1239" s="5">
        <v>1178</v>
      </c>
      <c r="B1239" s="138">
        <f>'Expenditures 15-22'!E127</f>
        <v>25834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25834</v>
      </c>
      <c r="C1241" s="2" t="s">
        <v>573</v>
      </c>
      <c r="D1241" s="2" t="str">
        <f t="shared" si="18"/>
        <v>Error?</v>
      </c>
    </row>
    <row r="1242" spans="1:4" x14ac:dyDescent="0.2">
      <c r="A1242" s="5">
        <v>1181</v>
      </c>
      <c r="B1242" s="138">
        <f>'Expenditures 15-22'!E151</f>
        <v>25834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165527</v>
      </c>
      <c r="D1245" s="2" t="str">
        <f t="shared" si="18"/>
        <v>Error?</v>
      </c>
    </row>
    <row r="1246" spans="1:4" x14ac:dyDescent="0.2">
      <c r="A1246" s="10">
        <v>1185</v>
      </c>
      <c r="D1246" s="2" t="str">
        <f t="shared" si="18"/>
        <v>OK</v>
      </c>
    </row>
    <row r="1247" spans="1:4" x14ac:dyDescent="0.2">
      <c r="A1247" s="5">
        <v>1186</v>
      </c>
      <c r="B1247" s="138">
        <f>'Expenditures 15-22'!F127</f>
        <v>165527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165527</v>
      </c>
      <c r="C1249" s="2" t="s">
        <v>573</v>
      </c>
      <c r="D1249" s="2" t="str">
        <f t="shared" si="18"/>
        <v>Error?</v>
      </c>
    </row>
    <row r="1250" spans="1:4" x14ac:dyDescent="0.2">
      <c r="A1250" s="5">
        <v>1189</v>
      </c>
      <c r="B1250" s="138">
        <f>'Expenditures 15-22'!F151</f>
        <v>165527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334585</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334585</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334585</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334585</v>
      </c>
      <c r="C1288" s="2" t="s">
        <v>573</v>
      </c>
      <c r="D1288" s="2" t="str">
        <f t="shared" si="19"/>
        <v>Error?</v>
      </c>
    </row>
    <row r="1289" spans="1:4" x14ac:dyDescent="0.2">
      <c r="A1289" s="5">
        <v>1228</v>
      </c>
      <c r="B1289" s="138">
        <f>'Expenditures 15-22'!K152</f>
        <v>-48677</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123074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1384900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1508474</v>
      </c>
      <c r="C1317" s="2" t="s">
        <v>573</v>
      </c>
      <c r="D1317" s="2" t="str">
        <f t="shared" si="19"/>
        <v>Error?</v>
      </c>
    </row>
    <row r="1318" spans="1:4" x14ac:dyDescent="0.2">
      <c r="A1318" s="5">
        <v>1257</v>
      </c>
      <c r="B1318" s="138">
        <f>'Expenditures 15-22'!H174</f>
        <v>1508474</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123074</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1384900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1508474</v>
      </c>
      <c r="C1331" s="2" t="s">
        <v>573</v>
      </c>
      <c r="D1331" s="2" t="str">
        <f t="shared" si="19"/>
        <v>Error?</v>
      </c>
    </row>
    <row r="1332" spans="1:4" x14ac:dyDescent="0.2">
      <c r="A1332" s="5">
        <v>1271</v>
      </c>
      <c r="B1332" s="138">
        <f>'Expenditures 15-22'!K174</f>
        <v>1508474</v>
      </c>
      <c r="C1332" s="2" t="s">
        <v>573</v>
      </c>
      <c r="D1332" s="2" t="str">
        <f t="shared" si="19"/>
        <v>Error?</v>
      </c>
    </row>
    <row r="1333" spans="1:4" x14ac:dyDescent="0.2">
      <c r="A1333" s="5">
        <v>1272</v>
      </c>
      <c r="B1333" s="138">
        <f>'Expenditures 15-22'!K175</f>
        <v>-1076039</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393229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393229</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393229</v>
      </c>
      <c r="C1353" s="2" t="s">
        <v>573</v>
      </c>
      <c r="D1353" s="2" t="str">
        <f t="shared" si="20"/>
        <v>Error?</v>
      </c>
    </row>
    <row r="1354" spans="1:4" x14ac:dyDescent="0.2">
      <c r="A1354" s="5">
        <v>1293</v>
      </c>
      <c r="B1354" s="138">
        <f>'Expenditures 15-22'!F182</f>
        <v>31035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31035</v>
      </c>
      <c r="C1358" s="2" t="s">
        <v>573</v>
      </c>
      <c r="D1358" s="2" t="str">
        <f t="shared" si="20"/>
        <v>Error?</v>
      </c>
    </row>
    <row r="1359" spans="1:4" x14ac:dyDescent="0.2">
      <c r="A1359" s="5">
        <v>1298</v>
      </c>
      <c r="B1359" s="138">
        <f>'Expenditures 15-22'!F210</f>
        <v>31035</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424264</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424264</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424264</v>
      </c>
      <c r="C1388" s="2" t="s">
        <v>573</v>
      </c>
      <c r="D1388" s="2" t="str">
        <f t="shared" si="20"/>
        <v>Error?</v>
      </c>
    </row>
    <row r="1389" spans="1:4" x14ac:dyDescent="0.2">
      <c r="A1389" s="5">
        <v>1328</v>
      </c>
      <c r="B1389" s="138">
        <f>'Expenditures 15-22'!K211</f>
        <v>-67612</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698</v>
      </c>
      <c r="D1407" s="2" t="str">
        <f t="shared" ref="D1407:D1470" si="21">IF(ISBLANK(B1407),"OK",IF(A1407-B1407=0,"OK","Error?"))</f>
        <v>Error?</v>
      </c>
    </row>
    <row r="1408" spans="1:4" x14ac:dyDescent="0.2">
      <c r="A1408" s="5">
        <v>1347</v>
      </c>
      <c r="B1408" s="138">
        <f>'Expenditures 15-22'!D223</f>
        <v>1168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50227</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957</v>
      </c>
      <c r="D1412" s="2" t="str">
        <f t="shared" si="21"/>
        <v>Error?</v>
      </c>
    </row>
    <row r="1413" spans="1:4" x14ac:dyDescent="0.2">
      <c r="A1413" s="5">
        <v>1352</v>
      </c>
      <c r="B1413" s="138">
        <f>'Expenditures 15-22'!D234</f>
        <v>1055</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442</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2454</v>
      </c>
      <c r="C1417" s="2" t="s">
        <v>573</v>
      </c>
      <c r="D1417" s="2" t="str">
        <f t="shared" si="21"/>
        <v>Error?</v>
      </c>
    </row>
    <row r="1418" spans="1:4" x14ac:dyDescent="0.2">
      <c r="A1418" s="5">
        <v>1357</v>
      </c>
      <c r="B1418" s="138">
        <f>'Expenditures 15-22'!D240</f>
        <v>56</v>
      </c>
      <c r="D1418" s="2" t="str">
        <f t="shared" si="21"/>
        <v>Error?</v>
      </c>
    </row>
    <row r="1419" spans="1:4" x14ac:dyDescent="0.2">
      <c r="A1419" s="5">
        <v>1358</v>
      </c>
      <c r="B1419" s="138">
        <f>'Expenditures 15-22'!D241</f>
        <v>4209</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4265</v>
      </c>
      <c r="C1421" s="2" t="s">
        <v>573</v>
      </c>
      <c r="D1421" s="2" t="str">
        <f t="shared" si="21"/>
        <v>Error?</v>
      </c>
    </row>
    <row r="1422" spans="1:4" x14ac:dyDescent="0.2">
      <c r="A1422" s="5">
        <v>1361</v>
      </c>
      <c r="B1422" s="138">
        <f>'Expenditures 15-22'!D245</f>
        <v>467</v>
      </c>
      <c r="D1422" s="2" t="str">
        <f t="shared" si="21"/>
        <v>Error?</v>
      </c>
    </row>
    <row r="1423" spans="1:4" x14ac:dyDescent="0.2">
      <c r="A1423" s="5">
        <v>1362</v>
      </c>
      <c r="B1423" s="138">
        <f>'Expenditures 15-22'!D246</f>
        <v>6288</v>
      </c>
      <c r="D1423" s="2" t="str">
        <f t="shared" si="21"/>
        <v>Error?</v>
      </c>
    </row>
    <row r="1424" spans="1:4" x14ac:dyDescent="0.2">
      <c r="A1424" s="5">
        <v>1363</v>
      </c>
      <c r="B1424" s="138">
        <f>'Expenditures 15-22'!D257</f>
        <v>24880</v>
      </c>
      <c r="C1424" s="2" t="s">
        <v>573</v>
      </c>
      <c r="D1424" s="2" t="str">
        <f t="shared" si="21"/>
        <v>Error?</v>
      </c>
    </row>
    <row r="1425" spans="1:4" x14ac:dyDescent="0.2">
      <c r="A1425" s="5">
        <v>1364</v>
      </c>
      <c r="B1425" s="138">
        <f>'Expenditures 15-22'!D259</f>
        <v>6002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6002</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4470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17451</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7776</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29697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67298</v>
      </c>
      <c r="C1446" s="2" t="s">
        <v>573</v>
      </c>
      <c r="D1446" s="2" t="str">
        <f t="shared" si="21"/>
        <v>Error?</v>
      </c>
    </row>
    <row r="1447" spans="1:4" x14ac:dyDescent="0.2">
      <c r="A1447" s="5">
        <v>1386</v>
      </c>
      <c r="B1447" s="138">
        <f>'Expenditures 15-22'!D280</f>
        <v>3043</v>
      </c>
      <c r="D1447" s="2" t="str">
        <f t="shared" si="21"/>
        <v>Error?</v>
      </c>
    </row>
    <row r="1448" spans="1:4" x14ac:dyDescent="0.2">
      <c r="A1448" s="5">
        <v>1387</v>
      </c>
      <c r="B1448" s="138">
        <f>'Expenditures 15-22'!D295</f>
        <v>120568</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698</v>
      </c>
      <c r="C1471" s="2" t="s">
        <v>573</v>
      </c>
      <c r="D1471" s="2" t="str">
        <f t="shared" ref="D1471:D1534" si="22">IF(ISBLANK(B1471),"OK",IF(A1471-B1471=0,"OK","Error?"))</f>
        <v>Error?</v>
      </c>
    </row>
    <row r="1472" spans="1:4" x14ac:dyDescent="0.2">
      <c r="A1472" s="5">
        <v>1411</v>
      </c>
      <c r="B1472" s="138">
        <f>'Expenditures 15-22'!K223</f>
        <v>1168</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50227</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957</v>
      </c>
      <c r="C1476" s="2" t="s">
        <v>573</v>
      </c>
      <c r="D1476" s="2" t="str">
        <f t="shared" si="22"/>
        <v>Error?</v>
      </c>
    </row>
    <row r="1477" spans="1:4" x14ac:dyDescent="0.2">
      <c r="A1477" s="5">
        <v>1416</v>
      </c>
      <c r="B1477" s="138">
        <f>'Expenditures 15-22'!K234</f>
        <v>1055</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442</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2454</v>
      </c>
      <c r="C1481" s="2" t="s">
        <v>573</v>
      </c>
      <c r="D1481" s="2" t="str">
        <f t="shared" si="22"/>
        <v>Error?</v>
      </c>
    </row>
    <row r="1482" spans="1:4" x14ac:dyDescent="0.2">
      <c r="A1482" s="5">
        <v>1421</v>
      </c>
      <c r="B1482" s="138">
        <f>'Expenditures 15-22'!K240</f>
        <v>56</v>
      </c>
      <c r="C1482" s="2" t="s">
        <v>573</v>
      </c>
      <c r="D1482" s="2" t="str">
        <f t="shared" si="22"/>
        <v>Error?</v>
      </c>
    </row>
    <row r="1483" spans="1:4" x14ac:dyDescent="0.2">
      <c r="A1483" s="5">
        <v>1422</v>
      </c>
      <c r="B1483" s="138">
        <f>'Expenditures 15-22'!K241</f>
        <v>4209</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4265</v>
      </c>
      <c r="C1485" s="2" t="s">
        <v>573</v>
      </c>
      <c r="D1485" s="2" t="str">
        <f t="shared" si="22"/>
        <v>Error?</v>
      </c>
    </row>
    <row r="1486" spans="1:4" x14ac:dyDescent="0.2">
      <c r="A1486" s="5">
        <v>1425</v>
      </c>
      <c r="B1486" s="138">
        <f>'Expenditures 15-22'!K245</f>
        <v>467</v>
      </c>
      <c r="C1486" s="2" t="s">
        <v>573</v>
      </c>
      <c r="D1486" s="2" t="str">
        <f t="shared" si="22"/>
        <v>Error?</v>
      </c>
    </row>
    <row r="1487" spans="1:4" x14ac:dyDescent="0.2">
      <c r="A1487" s="5">
        <v>1426</v>
      </c>
      <c r="B1487" s="138">
        <f>'Expenditures 15-22'!K246</f>
        <v>6288</v>
      </c>
      <c r="C1487" s="2" t="s">
        <v>573</v>
      </c>
      <c r="D1487" s="2" t="str">
        <f t="shared" si="22"/>
        <v>Error?</v>
      </c>
    </row>
    <row r="1488" spans="1:4" x14ac:dyDescent="0.2">
      <c r="A1488" s="5">
        <v>1427</v>
      </c>
      <c r="B1488" s="138">
        <f>'Expenditures 15-22'!K257</f>
        <v>24880</v>
      </c>
      <c r="C1488" s="2" t="s">
        <v>573</v>
      </c>
      <c r="D1488" s="2" t="str">
        <f t="shared" si="22"/>
        <v>Error?</v>
      </c>
    </row>
    <row r="1489" spans="1:4" x14ac:dyDescent="0.2">
      <c r="A1489" s="5">
        <v>1428</v>
      </c>
      <c r="B1489" s="138">
        <f>'Expenditures 15-22'!K259</f>
        <v>6002</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6002</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4470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17451</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7776</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29697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67298</v>
      </c>
      <c r="C1510" s="2" t="s">
        <v>573</v>
      </c>
      <c r="D1510" s="2" t="str">
        <f t="shared" si="22"/>
        <v>Error?</v>
      </c>
    </row>
    <row r="1511" spans="1:4" x14ac:dyDescent="0.2">
      <c r="A1511" s="5">
        <v>1450</v>
      </c>
      <c r="B1511" s="138">
        <f>'Expenditures 15-22'!K280</f>
        <v>3043</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120568</v>
      </c>
      <c r="C1517" s="2" t="s">
        <v>573</v>
      </c>
      <c r="D1517" s="2" t="str">
        <f t="shared" si="22"/>
        <v>Error?</v>
      </c>
    </row>
    <row r="1518" spans="1:4" x14ac:dyDescent="0.2">
      <c r="A1518" s="5">
        <v>1457</v>
      </c>
      <c r="B1518" s="138">
        <f>'Expenditures 15-22'!K296</f>
        <v>26566</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12789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12789</v>
      </c>
      <c r="C1547" s="2" t="s">
        <v>573</v>
      </c>
      <c r="D1547" s="2" t="str">
        <f t="shared" si="23"/>
        <v>Error?</v>
      </c>
    </row>
    <row r="1548" spans="1:4" x14ac:dyDescent="0.2">
      <c r="A1548" s="5">
        <v>1487</v>
      </c>
      <c r="B1548" s="138">
        <f>'Expenditures 15-22'!G312</f>
        <v>12789</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12789</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12789</v>
      </c>
      <c r="C1559" s="2" t="s">
        <v>573</v>
      </c>
      <c r="D1559" s="2" t="str">
        <f t="shared" si="23"/>
        <v>Error?</v>
      </c>
    </row>
    <row r="1560" spans="1:4" x14ac:dyDescent="0.2">
      <c r="A1560" s="5">
        <v>1499</v>
      </c>
      <c r="B1560" s="138">
        <f>'Expenditures 15-22'!K312</f>
        <v>12789</v>
      </c>
      <c r="C1560" s="2" t="s">
        <v>573</v>
      </c>
      <c r="D1560" s="2" t="str">
        <f t="shared" si="23"/>
        <v>Error?</v>
      </c>
    </row>
    <row r="1561" spans="1:4" x14ac:dyDescent="0.2">
      <c r="A1561" s="5">
        <v>1500</v>
      </c>
      <c r="B1561" s="138">
        <f>'Expenditures 15-22'!K313</f>
        <v>40665</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506950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552912</v>
      </c>
      <c r="C1630" s="2" t="s">
        <v>573</v>
      </c>
      <c r="D1630" s="2" t="str">
        <f t="shared" si="24"/>
        <v>Error?</v>
      </c>
    </row>
    <row r="1631" spans="1:4" x14ac:dyDescent="0.2">
      <c r="A1631" s="5">
        <v>1570</v>
      </c>
      <c r="B1631" s="138">
        <f>'Acct Summary 7-8'!D79</f>
        <v>110955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77278</v>
      </c>
      <c r="C1644" s="2" t="s">
        <v>573</v>
      </c>
      <c r="D1644" s="2" t="str">
        <f t="shared" si="24"/>
        <v>Error?</v>
      </c>
    </row>
    <row r="1645" spans="1:4" x14ac:dyDescent="0.2">
      <c r="A1645" s="5">
        <v>1584</v>
      </c>
      <c r="B1645" s="138">
        <f>'Acct Summary 7-8'!E79</f>
        <v>1056968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379</v>
      </c>
      <c r="C1658" s="2" t="s">
        <v>573</v>
      </c>
      <c r="D1658" s="2" t="str">
        <f t="shared" si="24"/>
        <v>Error?</v>
      </c>
    </row>
    <row r="1659" spans="1:4" x14ac:dyDescent="0.2">
      <c r="A1659" s="5">
        <v>1598</v>
      </c>
      <c r="B1659" s="138">
        <f>'Acct Summary 7-8'!F79</f>
        <v>317823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250211</v>
      </c>
      <c r="C1672" s="2" t="s">
        <v>573</v>
      </c>
      <c r="D1672" s="2" t="str">
        <f t="shared" si="25"/>
        <v>Error?</v>
      </c>
    </row>
    <row r="1673" spans="1:4" x14ac:dyDescent="0.2">
      <c r="A1673" s="5">
        <v>1612</v>
      </c>
      <c r="B1673" s="138">
        <f>'Acct Summary 7-8'!G79</f>
        <v>174973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201539</v>
      </c>
      <c r="C1686" s="2" t="s">
        <v>573</v>
      </c>
      <c r="D1686" s="2" t="str">
        <f t="shared" si="25"/>
        <v>Error?</v>
      </c>
    </row>
    <row r="1687" spans="1:4" x14ac:dyDescent="0.2">
      <c r="A1687" s="5">
        <v>1626</v>
      </c>
      <c r="B1687" s="138">
        <f>'Acct Summary 7-8'!H79</f>
        <v>220464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261129</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751995</v>
      </c>
      <c r="C1744" s="2" t="s">
        <v>573</v>
      </c>
      <c r="D1744" s="2" t="str">
        <f t="shared" si="26"/>
        <v>Error?</v>
      </c>
    </row>
    <row r="1745" spans="1:5" x14ac:dyDescent="0.2">
      <c r="A1745" s="5">
        <v>1684</v>
      </c>
      <c r="B1745" s="138">
        <f>'Tax Sched 23'!B5</f>
        <v>234996</v>
      </c>
      <c r="C1745" s="2" t="s">
        <v>573</v>
      </c>
      <c r="D1745" s="2" t="str">
        <f t="shared" si="26"/>
        <v>Error?</v>
      </c>
    </row>
    <row r="1746" spans="1:5" x14ac:dyDescent="0.2">
      <c r="A1746" s="5">
        <v>1685</v>
      </c>
      <c r="B1746" s="138">
        <f>'Tax Sched 23'!B6</f>
        <v>339835</v>
      </c>
      <c r="C1746" s="2" t="s">
        <v>573</v>
      </c>
      <c r="D1746" s="2" t="str">
        <f t="shared" si="26"/>
        <v>Error?</v>
      </c>
    </row>
    <row r="1747" spans="1:5" x14ac:dyDescent="0.2">
      <c r="A1747" s="5">
        <v>1686</v>
      </c>
      <c r="B1747" s="138">
        <f>'Tax Sched 23'!B7</f>
        <v>81738</v>
      </c>
      <c r="C1747" s="2" t="s">
        <v>573</v>
      </c>
      <c r="D1747" s="2" t="str">
        <f t="shared" si="26"/>
        <v>Error?</v>
      </c>
    </row>
    <row r="1748" spans="1:5" x14ac:dyDescent="0.2">
      <c r="A1748" s="5">
        <v>1687</v>
      </c>
      <c r="B1748" s="138">
        <f>'Tax Sched 23'!B8</f>
        <v>68455</v>
      </c>
      <c r="C1748" s="2" t="s">
        <v>573</v>
      </c>
      <c r="D1748" s="2" t="str">
        <f t="shared" si="26"/>
        <v>Error?</v>
      </c>
    </row>
    <row r="1749" spans="1:5" x14ac:dyDescent="0.2">
      <c r="A1749" s="5">
        <v>1688</v>
      </c>
      <c r="B1749" s="138">
        <f>'Tax Sched 23'!B10</f>
        <v>20434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514662</v>
      </c>
      <c r="C1752" s="2" t="s">
        <v>573</v>
      </c>
      <c r="D1752" s="2" t="str">
        <f t="shared" si="26"/>
        <v>Error?</v>
      </c>
    </row>
    <row r="1753" spans="1:5" x14ac:dyDescent="0.2">
      <c r="A1753" s="5">
        <v>1692</v>
      </c>
      <c r="B1753" s="138">
        <f>'Tax Sched 23'!B12</f>
        <v>20434</v>
      </c>
      <c r="C1753" s="2" t="s">
        <v>573</v>
      </c>
      <c r="D1753" s="2" t="str">
        <f t="shared" si="26"/>
        <v>Error?</v>
      </c>
    </row>
    <row r="1754" spans="1:5" x14ac:dyDescent="0.2">
      <c r="A1754" s="5">
        <v>1693</v>
      </c>
      <c r="B1754" s="138">
        <f>'Tax Sched 23'!B14</f>
        <v>16347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2137784</v>
      </c>
      <c r="C1759" s="2" t="s">
        <v>573</v>
      </c>
      <c r="D1759" s="2" t="str">
        <f t="shared" si="26"/>
        <v>Error?</v>
      </c>
    </row>
    <row r="1760" spans="1:5" x14ac:dyDescent="0.2">
      <c r="A1760" s="5">
        <v>1699</v>
      </c>
      <c r="B1760" s="138">
        <f>'Tax Sched 23'!D4</f>
        <v>751995</v>
      </c>
      <c r="C1760" s="2" t="s">
        <v>573</v>
      </c>
      <c r="D1760" s="2" t="str">
        <f t="shared" si="26"/>
        <v>Error?</v>
      </c>
    </row>
    <row r="1761" spans="1:5" x14ac:dyDescent="0.2">
      <c r="A1761" s="5">
        <v>1700</v>
      </c>
      <c r="B1761" s="138">
        <f>'Tax Sched 23'!D5</f>
        <v>234996</v>
      </c>
      <c r="C1761" s="2" t="s">
        <v>573</v>
      </c>
      <c r="D1761" s="2" t="str">
        <f t="shared" si="26"/>
        <v>Error?</v>
      </c>
    </row>
    <row r="1762" spans="1:5" s="8" customFormat="1" x14ac:dyDescent="0.2">
      <c r="A1762" s="5">
        <v>1701</v>
      </c>
      <c r="B1762" s="138">
        <f>'Tax Sched 23'!D6</f>
        <v>339835</v>
      </c>
      <c r="C1762" s="2" t="s">
        <v>573</v>
      </c>
      <c r="D1762" s="2" t="str">
        <f t="shared" si="26"/>
        <v>Error?</v>
      </c>
      <c r="E1762" s="9"/>
    </row>
    <row r="1763" spans="1:5" x14ac:dyDescent="0.2">
      <c r="A1763" s="5">
        <v>1702</v>
      </c>
      <c r="B1763" s="138">
        <f>'Tax Sched 23'!D7</f>
        <v>81738</v>
      </c>
      <c r="C1763" s="2" t="s">
        <v>573</v>
      </c>
      <c r="D1763" s="2" t="str">
        <f t="shared" si="26"/>
        <v>Error?</v>
      </c>
    </row>
    <row r="1764" spans="1:5" x14ac:dyDescent="0.2">
      <c r="A1764" s="5">
        <v>1703</v>
      </c>
      <c r="B1764" s="138">
        <f>'Tax Sched 23'!D8</f>
        <v>68455</v>
      </c>
      <c r="C1764" s="2" t="s">
        <v>573</v>
      </c>
      <c r="D1764" s="2" t="str">
        <f t="shared" si="26"/>
        <v>Error?</v>
      </c>
    </row>
    <row r="1765" spans="1:5" x14ac:dyDescent="0.2">
      <c r="A1765" s="5">
        <v>1704</v>
      </c>
      <c r="B1765" s="138">
        <f>'Tax Sched 23'!D10</f>
        <v>20434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514662</v>
      </c>
      <c r="C1768" s="2" t="s">
        <v>573</v>
      </c>
      <c r="D1768" s="2" t="str">
        <f t="shared" si="26"/>
        <v>Error?</v>
      </c>
    </row>
    <row r="1769" spans="1:5" x14ac:dyDescent="0.2">
      <c r="A1769" s="5">
        <v>1708</v>
      </c>
      <c r="B1769" s="138">
        <f>'Tax Sched 23'!D12</f>
        <v>20434</v>
      </c>
      <c r="C1769" s="2" t="s">
        <v>573</v>
      </c>
      <c r="D1769" s="2" t="str">
        <f t="shared" si="26"/>
        <v>Error?</v>
      </c>
    </row>
    <row r="1770" spans="1:5" x14ac:dyDescent="0.2">
      <c r="A1770" s="5">
        <v>1709</v>
      </c>
      <c r="B1770" s="138">
        <f>'Tax Sched 23'!D14</f>
        <v>16347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2137784</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791931</v>
      </c>
      <c r="C1792" s="2" t="s">
        <v>573</v>
      </c>
      <c r="D1792" s="2" t="str">
        <f t="shared" si="27"/>
        <v>Error?</v>
      </c>
    </row>
    <row r="1793" spans="1:4" x14ac:dyDescent="0.2">
      <c r="A1793" s="5">
        <v>1732</v>
      </c>
      <c r="B1793" s="138">
        <f>'Tax Sched 23'!F5</f>
        <v>247478</v>
      </c>
      <c r="C1793" s="2" t="s">
        <v>573</v>
      </c>
      <c r="D1793" s="2" t="str">
        <f t="shared" si="27"/>
        <v>Error?</v>
      </c>
    </row>
    <row r="1794" spans="1:4" x14ac:dyDescent="0.2">
      <c r="A1794" s="5">
        <v>1733</v>
      </c>
      <c r="B1794" s="138">
        <f>'Tax Sched 23'!F6</f>
        <v>655287</v>
      </c>
      <c r="C1794" s="2" t="s">
        <v>573</v>
      </c>
      <c r="D1794" s="2" t="str">
        <f t="shared" si="27"/>
        <v>Error?</v>
      </c>
    </row>
    <row r="1795" spans="1:4" x14ac:dyDescent="0.2">
      <c r="A1795" s="5">
        <v>1734</v>
      </c>
      <c r="B1795" s="138">
        <f>'Tax Sched 23'!F7</f>
        <v>86079</v>
      </c>
      <c r="C1795" s="2" t="s">
        <v>573</v>
      </c>
      <c r="D1795" s="2" t="str">
        <f t="shared" si="27"/>
        <v>Error?</v>
      </c>
    </row>
    <row r="1796" spans="1:4" x14ac:dyDescent="0.2">
      <c r="A1796" s="5">
        <v>1735</v>
      </c>
      <c r="B1796" s="138">
        <f>'Tax Sched 23'!F8</f>
        <v>68500</v>
      </c>
      <c r="C1796" s="2" t="s">
        <v>573</v>
      </c>
      <c r="D1796" s="2" t="str">
        <f t="shared" si="27"/>
        <v>Error?</v>
      </c>
    </row>
    <row r="1797" spans="1:4" x14ac:dyDescent="0.2">
      <c r="A1797" s="5">
        <v>1736</v>
      </c>
      <c r="B1797" s="138">
        <f>'Tax Sched 23'!F10</f>
        <v>21520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540800</v>
      </c>
      <c r="C1800" s="2" t="s">
        <v>573</v>
      </c>
      <c r="D1800" s="2" t="str">
        <f t="shared" si="27"/>
        <v>Error?</v>
      </c>
    </row>
    <row r="1801" spans="1:4" x14ac:dyDescent="0.2">
      <c r="A1801" s="5">
        <v>1740</v>
      </c>
      <c r="B1801" s="138">
        <f>'Tax Sched 23'!F12</f>
        <v>21520</v>
      </c>
      <c r="C1801" s="2" t="s">
        <v>573</v>
      </c>
      <c r="D1801" s="2" t="str">
        <f t="shared" si="27"/>
        <v>Error?</v>
      </c>
    </row>
    <row r="1802" spans="1:4" x14ac:dyDescent="0.2">
      <c r="A1802" s="5">
        <v>1741</v>
      </c>
      <c r="B1802" s="138">
        <f>'Tax Sched 23'!F14</f>
        <v>17216</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2540351</v>
      </c>
      <c r="C1807" s="2" t="s">
        <v>573</v>
      </c>
      <c r="D1807" s="2" t="str">
        <f t="shared" si="27"/>
        <v>Error?</v>
      </c>
    </row>
    <row r="1808" spans="1:4" x14ac:dyDescent="0.2">
      <c r="A1808" s="5">
        <v>1747</v>
      </c>
      <c r="B1808" s="138">
        <f>'Tax Sched 23'!E4</f>
        <v>791931</v>
      </c>
      <c r="D1808" s="2" t="str">
        <f t="shared" si="27"/>
        <v>Error?</v>
      </c>
    </row>
    <row r="1809" spans="1:4" x14ac:dyDescent="0.2">
      <c r="A1809" s="5">
        <v>1748</v>
      </c>
      <c r="B1809" s="138">
        <f>'Tax Sched 23'!E5</f>
        <v>247478</v>
      </c>
      <c r="D1809" s="2" t="str">
        <f t="shared" si="27"/>
        <v>Error?</v>
      </c>
    </row>
    <row r="1810" spans="1:4" x14ac:dyDescent="0.2">
      <c r="A1810" s="5">
        <v>1749</v>
      </c>
      <c r="B1810" s="138">
        <f>'Tax Sched 23'!E6</f>
        <v>655287</v>
      </c>
      <c r="D1810" s="2" t="str">
        <f t="shared" si="27"/>
        <v>Error?</v>
      </c>
    </row>
    <row r="1811" spans="1:4" x14ac:dyDescent="0.2">
      <c r="A1811" s="5">
        <v>1750</v>
      </c>
      <c r="B1811" s="138">
        <f>'Tax Sched 23'!E7</f>
        <v>86079</v>
      </c>
      <c r="D1811" s="2" t="str">
        <f t="shared" si="27"/>
        <v>Error?</v>
      </c>
    </row>
    <row r="1812" spans="1:4" x14ac:dyDescent="0.2">
      <c r="A1812" s="5">
        <v>1751</v>
      </c>
      <c r="B1812" s="138">
        <f>'Tax Sched 23'!E8</f>
        <v>68500</v>
      </c>
      <c r="D1812" s="2" t="str">
        <f t="shared" si="27"/>
        <v>Error?</v>
      </c>
    </row>
    <row r="1813" spans="1:4" x14ac:dyDescent="0.2">
      <c r="A1813" s="5">
        <v>1752</v>
      </c>
      <c r="B1813" s="138">
        <f>'Tax Sched 23'!E10</f>
        <v>21520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540800</v>
      </c>
      <c r="D1816" s="2" t="str">
        <f t="shared" si="27"/>
        <v>Error?</v>
      </c>
    </row>
    <row r="1817" spans="1:4" x14ac:dyDescent="0.2">
      <c r="A1817" s="5">
        <v>1756</v>
      </c>
      <c r="B1817" s="138">
        <f>'Tax Sched 23'!E12</f>
        <v>21520</v>
      </c>
      <c r="D1817" s="2" t="str">
        <f t="shared" si="27"/>
        <v>Error?</v>
      </c>
    </row>
    <row r="1818" spans="1:4" x14ac:dyDescent="0.2">
      <c r="A1818" s="5">
        <v>1757</v>
      </c>
      <c r="B1818" s="138">
        <f>'Tax Sched 23'!E14</f>
        <v>17216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2540351</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4332200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16347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16347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16347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19253</v>
      </c>
      <c r="D2008" s="2" t="str">
        <f t="shared" si="30"/>
        <v>Error?</v>
      </c>
    </row>
    <row r="2009" spans="1:4" x14ac:dyDescent="0.2">
      <c r="A2009" s="5">
        <v>1948</v>
      </c>
      <c r="B2009" s="138">
        <f>'Cap Outlay Deprec 26'!C8</f>
        <v>8783163</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1103971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9939669</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12789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7598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20387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19253</v>
      </c>
      <c r="C2026" s="2" t="s">
        <v>573</v>
      </c>
      <c r="D2026" s="2" t="str">
        <f t="shared" si="30"/>
        <v>Error?</v>
      </c>
    </row>
    <row r="2027" spans="1:4" x14ac:dyDescent="0.2">
      <c r="A2027" s="5">
        <v>1966</v>
      </c>
      <c r="B2027" s="138">
        <f>'Cap Outlay Deprec 26'!F8</f>
        <v>8795952</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1111569</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9960056</v>
      </c>
      <c r="C2031" s="2" t="s">
        <v>573</v>
      </c>
      <c r="D2031" s="2" t="str">
        <f t="shared" si="30"/>
        <v>Error?</v>
      </c>
    </row>
    <row r="2032" spans="1:4" x14ac:dyDescent="0.2">
      <c r="A2032" s="10">
        <v>1971</v>
      </c>
      <c r="D2032" s="2" t="str">
        <f t="shared" si="30"/>
        <v>OK</v>
      </c>
    </row>
    <row r="2033" spans="1:4" x14ac:dyDescent="0.2">
      <c r="A2033" s="5">
        <v>1972</v>
      </c>
      <c r="B2033" s="138">
        <f>'Cap Outlay Deprec 26'!H8</f>
        <v>3265735</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870011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4163882</v>
      </c>
      <c r="C2037" s="2" t="s">
        <v>573</v>
      </c>
      <c r="D2037" s="2" t="str">
        <f t="shared" si="30"/>
        <v>Error?</v>
      </c>
    </row>
    <row r="2038" spans="1:4" x14ac:dyDescent="0.2">
      <c r="A2038" s="10">
        <v>1977</v>
      </c>
      <c r="D2038" s="2" t="str">
        <f t="shared" si="30"/>
        <v>OK</v>
      </c>
    </row>
    <row r="2039" spans="1:4" x14ac:dyDescent="0.2">
      <c r="A2039" s="5">
        <v>1978</v>
      </c>
      <c r="B2039" s="138">
        <f>'Cap Outlay Deprec 26'!I8</f>
        <v>158258</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44738</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203696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3423993</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914749</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4367578</v>
      </c>
      <c r="C2055" s="2" t="s">
        <v>573</v>
      </c>
      <c r="D2055" s="2" t="str">
        <f t="shared" si="31"/>
        <v>Error?</v>
      </c>
    </row>
    <row r="2056" spans="1:4" x14ac:dyDescent="0.2">
      <c r="A2056" s="5">
        <v>1995</v>
      </c>
      <c r="B2056" s="138">
        <f>'Cap Outlay Deprec 26'!L5</f>
        <v>19253</v>
      </c>
      <c r="C2056" s="2" t="s">
        <v>573</v>
      </c>
      <c r="D2056" s="2" t="str">
        <f t="shared" si="31"/>
        <v>Error?</v>
      </c>
    </row>
    <row r="2057" spans="1:4" x14ac:dyDescent="0.2">
      <c r="A2057" s="5">
        <v>1996</v>
      </c>
      <c r="B2057" s="138">
        <f>'Cap Outlay Deprec 26'!L8</f>
        <v>5371959</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196820</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5592478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84319</v>
      </c>
      <c r="C2088" s="2" t="s">
        <v>573</v>
      </c>
      <c r="D2088" s="2" t="str">
        <f t="shared" si="31"/>
        <v>Error?</v>
      </c>
    </row>
    <row r="2089" spans="1:4" x14ac:dyDescent="0.2">
      <c r="A2089" s="5">
        <v>2028</v>
      </c>
      <c r="B2089" s="138">
        <f>'Expenditures 15-22'!K92</f>
        <v>92806</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19450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20979</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48956</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261129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1065018</v>
      </c>
      <c r="C2551" s="2" t="s">
        <v>573</v>
      </c>
      <c r="D2551" s="2" t="str">
        <f t="shared" si="38"/>
        <v>Error?</v>
      </c>
    </row>
    <row r="2552" spans="1:4" x14ac:dyDescent="0.2">
      <c r="A2552" s="10">
        <v>2491</v>
      </c>
      <c r="D2552" s="2" t="str">
        <f t="shared" si="38"/>
        <v>OK</v>
      </c>
    </row>
    <row r="2553" spans="1:4" x14ac:dyDescent="0.2">
      <c r="A2553" s="5">
        <v>2492</v>
      </c>
      <c r="B2553" s="138">
        <f>'Acct Summary 7-8'!C6</f>
        <v>1736483</v>
      </c>
      <c r="C2553" s="2" t="s">
        <v>573</v>
      </c>
      <c r="D2553" s="2" t="str">
        <f t="shared" si="38"/>
        <v>Error?</v>
      </c>
    </row>
    <row r="2554" spans="1:4" x14ac:dyDescent="0.2">
      <c r="A2554" s="5">
        <v>2493</v>
      </c>
      <c r="B2554" s="138">
        <f>'Acct Summary 7-8'!C7</f>
        <v>437316</v>
      </c>
      <c r="C2554" s="2" t="s">
        <v>573</v>
      </c>
      <c r="D2554" s="2" t="str">
        <f t="shared" si="38"/>
        <v>Error?</v>
      </c>
    </row>
    <row r="2555" spans="1:4" x14ac:dyDescent="0.2">
      <c r="A2555" s="5">
        <v>2494</v>
      </c>
      <c r="B2555" s="138">
        <f>'Acct Summary 7-8'!C8</f>
        <v>3238817</v>
      </c>
      <c r="C2555" s="2" t="s">
        <v>573</v>
      </c>
      <c r="D2555" s="2" t="str">
        <f t="shared" si="38"/>
        <v>Error?</v>
      </c>
    </row>
    <row r="2556" spans="1:4" x14ac:dyDescent="0.2">
      <c r="A2556" s="5">
        <v>2495</v>
      </c>
      <c r="B2556" s="138">
        <f>'Acct Summary 7-8'!C12</f>
        <v>2129918</v>
      </c>
      <c r="C2556" s="2" t="s">
        <v>573</v>
      </c>
      <c r="D2556" s="2" t="str">
        <f t="shared" si="38"/>
        <v>Error?</v>
      </c>
    </row>
    <row r="2557" spans="1:4" x14ac:dyDescent="0.2">
      <c r="A2557" s="5">
        <v>2496</v>
      </c>
      <c r="B2557" s="138">
        <f>'Acct Summary 7-8'!C13</f>
        <v>850521</v>
      </c>
      <c r="C2557" s="2" t="s">
        <v>573</v>
      </c>
      <c r="D2557" s="2" t="str">
        <f t="shared" si="38"/>
        <v>Error?</v>
      </c>
    </row>
    <row r="2558" spans="1:4" x14ac:dyDescent="0.2">
      <c r="A2558" s="5">
        <v>2497</v>
      </c>
      <c r="B2558" s="138">
        <f>'Acct Summary 7-8'!C14</f>
        <v>20291</v>
      </c>
      <c r="C2558" s="2" t="s">
        <v>573</v>
      </c>
      <c r="D2558" s="2" t="str">
        <f t="shared" si="38"/>
        <v>Error?</v>
      </c>
    </row>
    <row r="2559" spans="1:4" x14ac:dyDescent="0.2">
      <c r="A2559" s="5">
        <v>2498</v>
      </c>
      <c r="B2559" s="138">
        <f>'Acct Summary 7-8'!C15</f>
        <v>177125</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3177855</v>
      </c>
      <c r="C2561" s="2" t="s">
        <v>573</v>
      </c>
      <c r="D2561" s="2" t="str">
        <f t="shared" si="39"/>
        <v>Error?</v>
      </c>
    </row>
    <row r="2562" spans="1:4" x14ac:dyDescent="0.2">
      <c r="A2562" s="5">
        <v>2501</v>
      </c>
      <c r="B2562" s="138">
        <f>'Acct Summary 7-8'!C20</f>
        <v>60962</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278386</v>
      </c>
      <c r="C2564" s="2" t="s">
        <v>573</v>
      </c>
      <c r="D2564" s="2" t="str">
        <f t="shared" si="39"/>
        <v>Error?</v>
      </c>
    </row>
    <row r="2565" spans="1:4" x14ac:dyDescent="0.2">
      <c r="A2565" s="10">
        <v>2504</v>
      </c>
      <c r="D2565" s="2" t="str">
        <f t="shared" si="39"/>
        <v>OK</v>
      </c>
    </row>
    <row r="2566" spans="1:4" x14ac:dyDescent="0.2">
      <c r="A2566" s="5">
        <v>2505</v>
      </c>
      <c r="B2566" s="138">
        <f>'Acct Summary 7-8'!D6</f>
        <v>7522</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285908</v>
      </c>
      <c r="C2568" s="2" t="s">
        <v>573</v>
      </c>
      <c r="D2568" s="2" t="str">
        <f t="shared" si="39"/>
        <v>Error?</v>
      </c>
    </row>
    <row r="2569" spans="1:4" x14ac:dyDescent="0.2">
      <c r="A2569" s="5">
        <v>2508</v>
      </c>
      <c r="B2569" s="138">
        <f>'Acct Summary 7-8'!D13</f>
        <v>334585</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334585</v>
      </c>
      <c r="C2573" s="2" t="s">
        <v>573</v>
      </c>
      <c r="D2573" s="2" t="str">
        <f t="shared" si="39"/>
        <v>Error?</v>
      </c>
    </row>
    <row r="2574" spans="1:4" x14ac:dyDescent="0.2">
      <c r="A2574" s="5">
        <v>2513</v>
      </c>
      <c r="B2574" s="138">
        <f>'Acct Summary 7-8'!D20</f>
        <v>-48677</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103850</v>
      </c>
      <c r="C2591" s="2" t="s">
        <v>573</v>
      </c>
      <c r="D2591" s="2" t="str">
        <f t="shared" si="39"/>
        <v>Error?</v>
      </c>
    </row>
    <row r="2592" spans="1:4" x14ac:dyDescent="0.2">
      <c r="A2592" s="10">
        <v>2531</v>
      </c>
      <c r="D2592" s="2" t="str">
        <f t="shared" si="39"/>
        <v>OK</v>
      </c>
    </row>
    <row r="2593" spans="1:4" x14ac:dyDescent="0.2">
      <c r="A2593" s="5">
        <v>2532</v>
      </c>
      <c r="B2593" s="138">
        <f>'Acct Summary 7-8'!F6</f>
        <v>252802</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356652</v>
      </c>
      <c r="C2595" s="2" t="s">
        <v>573</v>
      </c>
      <c r="D2595" s="2" t="str">
        <f t="shared" si="39"/>
        <v>Error?</v>
      </c>
    </row>
    <row r="2596" spans="1:4" x14ac:dyDescent="0.2">
      <c r="A2596" s="5">
        <v>2535</v>
      </c>
      <c r="B2596" s="138">
        <f>'Acct Summary 7-8'!F13</f>
        <v>424264</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424264</v>
      </c>
      <c r="C2600" s="2" t="s">
        <v>573</v>
      </c>
      <c r="D2600" s="2" t="str">
        <f t="shared" si="39"/>
        <v>Error?</v>
      </c>
    </row>
    <row r="2601" spans="1:4" x14ac:dyDescent="0.2">
      <c r="A2601" s="5">
        <v>2540</v>
      </c>
      <c r="B2601" s="138">
        <f>'Acct Summary 7-8'!F20</f>
        <v>-67612</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147134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147134</v>
      </c>
      <c r="C2606" s="2" t="s">
        <v>573</v>
      </c>
      <c r="D2606" s="2" t="str">
        <f t="shared" si="39"/>
        <v>Error?</v>
      </c>
    </row>
    <row r="2607" spans="1:4" x14ac:dyDescent="0.2">
      <c r="A2607" s="5">
        <v>2546</v>
      </c>
      <c r="B2607" s="138">
        <f>'Acct Summary 7-8'!G12</f>
        <v>50227</v>
      </c>
      <c r="C2607" s="2" t="s">
        <v>573</v>
      </c>
      <c r="D2607" s="2" t="str">
        <f t="shared" si="39"/>
        <v>Error?</v>
      </c>
    </row>
    <row r="2608" spans="1:4" x14ac:dyDescent="0.2">
      <c r="A2608" s="5">
        <v>2547</v>
      </c>
      <c r="B2608" s="138">
        <f>'Acct Summary 7-8'!G13</f>
        <v>67298</v>
      </c>
      <c r="C2608" s="2" t="s">
        <v>573</v>
      </c>
      <c r="D2608" s="2" t="str">
        <f t="shared" si="39"/>
        <v>Error?</v>
      </c>
    </row>
    <row r="2609" spans="1:4" x14ac:dyDescent="0.2">
      <c r="A2609" s="5">
        <v>2548</v>
      </c>
      <c r="B2609" s="138">
        <f>'Acct Summary 7-8'!G14</f>
        <v>3043</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120568</v>
      </c>
      <c r="C2612" s="2" t="s">
        <v>573</v>
      </c>
      <c r="D2612" s="2" t="str">
        <f t="shared" si="39"/>
        <v>Error?</v>
      </c>
    </row>
    <row r="2613" spans="1:4" x14ac:dyDescent="0.2">
      <c r="A2613" s="5">
        <v>2552</v>
      </c>
      <c r="B2613" s="138">
        <f>'Acct Summary 7-8'!G20</f>
        <v>26566</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432435</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432435</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1508474</v>
      </c>
      <c r="C2634" s="2" t="s">
        <v>573</v>
      </c>
      <c r="D2634" s="2" t="str">
        <f t="shared" si="40"/>
        <v>Error?</v>
      </c>
    </row>
    <row r="2635" spans="1:4" x14ac:dyDescent="0.2">
      <c r="A2635" s="5">
        <v>2574</v>
      </c>
      <c r="B2635" s="138">
        <f>'Acct Summary 7-8'!E17</f>
        <v>1508474</v>
      </c>
      <c r="C2635" s="2" t="s">
        <v>573</v>
      </c>
      <c r="D2635" s="2" t="str">
        <f t="shared" si="40"/>
        <v>Error?</v>
      </c>
    </row>
    <row r="2636" spans="1:4" x14ac:dyDescent="0.2">
      <c r="A2636" s="5">
        <v>2575</v>
      </c>
      <c r="B2636" s="138">
        <f>'Acct Summary 7-8'!E20</f>
        <v>-1076039</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53454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53454</v>
      </c>
      <c r="C2658" s="2" t="s">
        <v>573</v>
      </c>
      <c r="D2658" s="2" t="str">
        <f t="shared" si="40"/>
        <v>Error?</v>
      </c>
    </row>
    <row r="2659" spans="1:4" x14ac:dyDescent="0.2">
      <c r="A2659" s="5">
        <v>2598</v>
      </c>
      <c r="B2659" s="138">
        <f>'Acct Summary 7-8'!H13</f>
        <v>12789</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12789</v>
      </c>
      <c r="C2661" s="2" t="s">
        <v>573</v>
      </c>
      <c r="D2661" s="2" t="str">
        <f t="shared" si="40"/>
        <v>Error?</v>
      </c>
    </row>
    <row r="2662" spans="1:4" x14ac:dyDescent="0.2">
      <c r="A2662" s="5">
        <v>2601</v>
      </c>
      <c r="B2662" s="138">
        <f>'Acct Summary 7-8'!H20</f>
        <v>40665</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2466</v>
      </c>
      <c r="D2720" s="2" t="str">
        <f t="shared" si="41"/>
        <v>Error?</v>
      </c>
    </row>
    <row r="2721" spans="1:4" x14ac:dyDescent="0.2">
      <c r="A2721" s="5">
        <v>2660</v>
      </c>
      <c r="B2721" s="138">
        <f>'Expenditures 15-22'!F51</f>
        <v>255</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2721</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84319</v>
      </c>
      <c r="C2789" s="2" t="s">
        <v>573</v>
      </c>
      <c r="D2789" s="2" t="str">
        <f t="shared" si="42"/>
        <v>Error?</v>
      </c>
    </row>
    <row r="2790" spans="1:4" x14ac:dyDescent="0.2">
      <c r="A2790" s="5">
        <v>2729</v>
      </c>
      <c r="B2790" s="138">
        <f>'Expenditures 15-22'!E102</f>
        <v>84319</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3389</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178386</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3389</v>
      </c>
      <c r="D2912" s="2" t="str">
        <f t="shared" si="44"/>
        <v>Error?</v>
      </c>
    </row>
    <row r="2913" spans="1:4" x14ac:dyDescent="0.2">
      <c r="A2913" s="5">
        <v>2852</v>
      </c>
      <c r="B2913" s="138">
        <f>'Assets-Liab 5-6'!I41</f>
        <v>3389</v>
      </c>
      <c r="C2913" s="2" t="s">
        <v>573</v>
      </c>
      <c r="D2913" s="2" t="str">
        <f t="shared" si="44"/>
        <v>Error?</v>
      </c>
    </row>
    <row r="2914" spans="1:4" x14ac:dyDescent="0.2">
      <c r="A2914" s="5">
        <v>2853</v>
      </c>
      <c r="B2914" s="138">
        <f>'Assets-Liab 5-6'!L33</f>
        <v>178386</v>
      </c>
      <c r="D2914" s="2" t="str">
        <f t="shared" si="44"/>
        <v>Error?</v>
      </c>
    </row>
    <row r="2915" spans="1:4" x14ac:dyDescent="0.2">
      <c r="A2915" s="10">
        <v>2854</v>
      </c>
      <c r="D2915" s="2" t="str">
        <f t="shared" si="44"/>
        <v>OK</v>
      </c>
    </row>
    <row r="2916" spans="1:4" x14ac:dyDescent="0.2">
      <c r="A2916" s="5">
        <v>2855</v>
      </c>
      <c r="B2916" s="138">
        <f>'Assets-Liab 5-6'!L34</f>
        <v>178386</v>
      </c>
      <c r="C2916" s="2" t="s">
        <v>573</v>
      </c>
      <c r="D2916" s="2" t="str">
        <f t="shared" si="44"/>
        <v>Error?</v>
      </c>
    </row>
    <row r="2917" spans="1:4" x14ac:dyDescent="0.2">
      <c r="A2917" s="5">
        <v>2856</v>
      </c>
      <c r="B2917" s="138">
        <f>'Assets-Liab 5-6'!L41</f>
        <v>178386</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14126</v>
      </c>
      <c r="D2949" s="2" t="str">
        <f t="shared" si="45"/>
        <v>Error?</v>
      </c>
    </row>
    <row r="2950" spans="1:4" x14ac:dyDescent="0.2">
      <c r="A2950" s="5">
        <v>2889</v>
      </c>
      <c r="B2950" s="138">
        <f>'Expenditures 15-22'!E79</f>
        <v>70193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14126</v>
      </c>
      <c r="C2973" s="2" t="s">
        <v>573</v>
      </c>
      <c r="D2973" s="2" t="str">
        <f t="shared" si="45"/>
        <v>Error?</v>
      </c>
    </row>
    <row r="2974" spans="1:4" x14ac:dyDescent="0.2">
      <c r="A2974" s="5">
        <v>2913</v>
      </c>
      <c r="B2974" s="138">
        <f>'Expenditures 15-22'!K79</f>
        <v>70193</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58276</v>
      </c>
      <c r="D3055" s="2" t="str">
        <f t="shared" si="46"/>
        <v>Error?</v>
      </c>
    </row>
    <row r="3056" spans="1:4" x14ac:dyDescent="0.2">
      <c r="A3056" s="5">
        <v>2995</v>
      </c>
      <c r="B3056" s="138">
        <f>'Expenditures 15-22'!D10</f>
        <v>16601</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36430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111307</v>
      </c>
      <c r="C3062" s="2" t="s">
        <v>573</v>
      </c>
      <c r="D3062" s="2" t="str">
        <f t="shared" si="46"/>
        <v>Error?</v>
      </c>
    </row>
    <row r="3063" spans="1:4" x14ac:dyDescent="0.2">
      <c r="A3063" s="10">
        <v>3002</v>
      </c>
      <c r="D3063" s="2" t="str">
        <f t="shared" si="46"/>
        <v>OK</v>
      </c>
    </row>
    <row r="3064" spans="1:4" x14ac:dyDescent="0.2">
      <c r="A3064" s="5">
        <v>3003</v>
      </c>
      <c r="B3064" s="138">
        <f>'Expenditures 15-22'!D219</f>
        <v>835</v>
      </c>
      <c r="D3064" s="2" t="str">
        <f t="shared" si="46"/>
        <v>Error?</v>
      </c>
    </row>
    <row r="3065" spans="1:4" x14ac:dyDescent="0.2">
      <c r="A3065" s="5">
        <v>3004</v>
      </c>
      <c r="B3065" s="138">
        <f>'Expenditures 15-22'!K219</f>
        <v>835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20434</v>
      </c>
      <c r="C3225" s="2" t="s">
        <v>573</v>
      </c>
      <c r="D3225" s="2" t="str">
        <f t="shared" si="49"/>
        <v>Error?</v>
      </c>
    </row>
    <row r="3226" spans="1:4" x14ac:dyDescent="0.2">
      <c r="A3226" s="5">
        <v>3165</v>
      </c>
      <c r="B3226" s="138">
        <f>'Acct Summary 7-8'!I8</f>
        <v>20434</v>
      </c>
      <c r="C3226" s="2" t="s">
        <v>573</v>
      </c>
      <c r="D3226" s="2" t="str">
        <f t="shared" si="49"/>
        <v>Error?</v>
      </c>
    </row>
    <row r="3227" spans="1:4" x14ac:dyDescent="0.2">
      <c r="A3227" s="5">
        <v>3166</v>
      </c>
      <c r="B3227" s="138">
        <f>'Acct Summary 7-8'!I20</f>
        <v>20434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15000</v>
      </c>
      <c r="C3231" s="2" t="s">
        <v>573</v>
      </c>
      <c r="D3231" s="2" t="str">
        <f t="shared" si="49"/>
        <v>Error?</v>
      </c>
    </row>
    <row r="3232" spans="1:4" x14ac:dyDescent="0.2">
      <c r="A3232" s="5">
        <v>3171</v>
      </c>
      <c r="B3232" s="138">
        <f>'Acct Summary 7-8'!C77</f>
        <v>-15000</v>
      </c>
      <c r="C3232" s="2" t="s">
        <v>573</v>
      </c>
      <c r="D3232" s="2" t="str">
        <f t="shared" si="49"/>
        <v>Error?</v>
      </c>
    </row>
    <row r="3233" spans="1:4" x14ac:dyDescent="0.2">
      <c r="A3233" s="5">
        <v>3172</v>
      </c>
      <c r="B3233" s="138">
        <f>'Acct Summary 7-8'!C78</f>
        <v>45962</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15000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15000</v>
      </c>
      <c r="C3238" s="2" t="s">
        <v>573</v>
      </c>
      <c r="D3238" s="2" t="str">
        <f t="shared" si="49"/>
        <v>Error?</v>
      </c>
    </row>
    <row r="3239" spans="1:4" x14ac:dyDescent="0.2">
      <c r="A3239" s="5">
        <v>3178</v>
      </c>
      <c r="B3239" s="138">
        <f>'Acct Summary 7-8'!D78</f>
        <v>-33677</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-67612</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26566</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19450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19450</v>
      </c>
      <c r="C3277" s="2" t="s">
        <v>573</v>
      </c>
      <c r="D3277" s="2" t="str">
        <f t="shared" si="50"/>
        <v>Error?</v>
      </c>
    </row>
    <row r="3278" spans="1:4" x14ac:dyDescent="0.2">
      <c r="A3278" s="5">
        <v>3217</v>
      </c>
      <c r="B3278" s="138">
        <f>'Acct Summary 7-8'!E78</f>
        <v>-1056589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40665</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19450</v>
      </c>
      <c r="C3318" s="2" t="s">
        <v>573</v>
      </c>
      <c r="D3318" s="2" t="str">
        <f t="shared" si="50"/>
        <v>Error?</v>
      </c>
    </row>
    <row r="3319" spans="1:4" x14ac:dyDescent="0.2">
      <c r="A3319" s="5">
        <v>3258</v>
      </c>
      <c r="B3319" s="138">
        <f>'Acct Summary 7-8'!I77</f>
        <v>-19450</v>
      </c>
      <c r="C3319" s="2" t="s">
        <v>573</v>
      </c>
      <c r="D3319" s="2" t="str">
        <f t="shared" si="50"/>
        <v>Error?</v>
      </c>
    </row>
    <row r="3320" spans="1:4" x14ac:dyDescent="0.2">
      <c r="A3320" s="5">
        <v>3259</v>
      </c>
      <c r="B3320" s="138">
        <f>'Acct Summary 7-8'!I78</f>
        <v>984</v>
      </c>
      <c r="C3320" s="2" t="s">
        <v>573</v>
      </c>
      <c r="D3320" s="2" t="str">
        <f t="shared" si="50"/>
        <v>Error?</v>
      </c>
    </row>
    <row r="3321" spans="1:4" x14ac:dyDescent="0.2">
      <c r="A3321" s="5">
        <v>3260</v>
      </c>
      <c r="B3321" s="138">
        <f>'Acct Summary 7-8'!I79</f>
        <v>2405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3389</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385043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44650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17062</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12428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1243</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460426</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15297</v>
      </c>
      <c r="D3387" s="2" t="str">
        <f t="shared" si="51"/>
        <v>Error?</v>
      </c>
    </row>
    <row r="3388" spans="1:4" x14ac:dyDescent="0.2">
      <c r="A3388" s="5">
        <v>3327</v>
      </c>
      <c r="B3388" s="138">
        <f>'Expenditures 15-22'!D217</f>
        <v>29069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15297</v>
      </c>
      <c r="C3390" s="2" t="s">
        <v>573</v>
      </c>
      <c r="D3390" s="2" t="str">
        <f t="shared" si="51"/>
        <v>Error?</v>
      </c>
    </row>
    <row r="3391" spans="1:4" x14ac:dyDescent="0.2">
      <c r="A3391" s="5">
        <v>3330</v>
      </c>
      <c r="B3391" s="138">
        <f>'Expenditures 15-22'!K217</f>
        <v>29069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552912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77278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379</v>
      </c>
      <c r="D3417" s="2" t="str">
        <f t="shared" si="52"/>
        <v>Error?</v>
      </c>
    </row>
    <row r="3418" spans="1:4" x14ac:dyDescent="0.2">
      <c r="A3418" s="10">
        <v>3357</v>
      </c>
      <c r="D3418" s="2" t="str">
        <f t="shared" si="52"/>
        <v>OK</v>
      </c>
    </row>
    <row r="3419" spans="1:4" x14ac:dyDescent="0.2">
      <c r="A3419" s="5">
        <v>3358</v>
      </c>
      <c r="B3419" s="138">
        <f>'Assets-Liab 5-6'!F4</f>
        <v>250211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201539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261129</v>
      </c>
      <c r="D3425" s="2" t="str">
        <f t="shared" si="52"/>
        <v>Error?</v>
      </c>
    </row>
    <row r="3426" spans="1:4" x14ac:dyDescent="0.2">
      <c r="A3426" s="10">
        <v>3365</v>
      </c>
      <c r="D3426" s="2" t="str">
        <f t="shared" si="52"/>
        <v>OK</v>
      </c>
    </row>
    <row r="3427" spans="1:4" x14ac:dyDescent="0.2">
      <c r="A3427" s="5">
        <v>3366</v>
      </c>
      <c r="B3427" s="138">
        <f>'Assets-Liab 5-6'!I4</f>
        <v>3389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178386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68454</v>
      </c>
      <c r="C3446" s="2" t="s">
        <v>573</v>
      </c>
      <c r="D3446" s="2" t="str">
        <f t="shared" si="52"/>
        <v>Error?</v>
      </c>
    </row>
    <row r="3447" spans="1:4" x14ac:dyDescent="0.2">
      <c r="A3447" s="5">
        <v>3386</v>
      </c>
      <c r="B3447" s="138">
        <f>'Tax Sched 23'!D16</f>
        <v>68454</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68500</v>
      </c>
      <c r="C3449" s="2" t="s">
        <v>573</v>
      </c>
      <c r="D3449" s="2" t="str">
        <f t="shared" si="52"/>
        <v>Error?</v>
      </c>
    </row>
    <row r="3450" spans="1:4" x14ac:dyDescent="0.2">
      <c r="A3450" s="5">
        <v>3389</v>
      </c>
      <c r="B3450" s="138">
        <f>'Tax Sched 23'!E16</f>
        <v>68500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90372</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90372</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90372</v>
      </c>
      <c r="D3567" s="2" t="str">
        <f t="shared" si="54"/>
        <v>Error?</v>
      </c>
    </row>
    <row r="3568" spans="1:4" x14ac:dyDescent="0.2">
      <c r="A3568" s="5">
        <v>3507</v>
      </c>
      <c r="B3568" s="138">
        <f>'Assets-Liab 5-6'!K41</f>
        <v>90372</v>
      </c>
      <c r="C3568" s="2" t="s">
        <v>573</v>
      </c>
      <c r="D3568" s="2" t="str">
        <f t="shared" si="54"/>
        <v>Error?</v>
      </c>
    </row>
    <row r="3569" spans="1:4" x14ac:dyDescent="0.2">
      <c r="A3569" s="5">
        <v>3508</v>
      </c>
      <c r="B3569" s="138">
        <f>'Acct Summary 7-8'!K4</f>
        <v>20434</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20434</v>
      </c>
      <c r="C3571" s="2" t="s">
        <v>573</v>
      </c>
      <c r="D3571" s="2" t="str">
        <f t="shared" si="54"/>
        <v>Error?</v>
      </c>
    </row>
    <row r="3572" spans="1:4" x14ac:dyDescent="0.2">
      <c r="A3572" s="5">
        <v>3511</v>
      </c>
      <c r="B3572" s="138">
        <f>'Acct Summary 7-8'!K13</f>
        <v>1777</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1777</v>
      </c>
      <c r="C3575" s="2" t="s">
        <v>573</v>
      </c>
      <c r="D3575" s="2" t="str">
        <f t="shared" si="54"/>
        <v>Error?</v>
      </c>
    </row>
    <row r="3576" spans="1:4" x14ac:dyDescent="0.2">
      <c r="A3576" s="5">
        <v>3515</v>
      </c>
      <c r="B3576" s="138">
        <f>'Acct Summary 7-8'!K20</f>
        <v>18657</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18657</v>
      </c>
      <c r="C3588" s="2" t="s">
        <v>573</v>
      </c>
      <c r="D3588" s="2" t="str">
        <f t="shared" si="55"/>
        <v>Error?</v>
      </c>
    </row>
    <row r="3589" spans="1:4" x14ac:dyDescent="0.2">
      <c r="A3589" s="5">
        <v>3528</v>
      </c>
      <c r="B3589" s="138">
        <f>'Acct Summary 7-8'!K79</f>
        <v>71715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90372</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1533</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1533</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1533</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244</v>
      </c>
      <c r="D3639" s="2" t="str">
        <f t="shared" si="55"/>
        <v>Error?</v>
      </c>
    </row>
    <row r="3640" spans="1:4" x14ac:dyDescent="0.2">
      <c r="A3640" s="5">
        <v>3579</v>
      </c>
      <c r="B3640" s="138">
        <f>'Expenditures 15-22'!F350</f>
        <v>244</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244</v>
      </c>
      <c r="C3642" s="2" t="s">
        <v>573</v>
      </c>
      <c r="D3642" s="2" t="str">
        <f t="shared" si="55"/>
        <v>Error?</v>
      </c>
    </row>
    <row r="3643" spans="1:4" x14ac:dyDescent="0.2">
      <c r="A3643" s="5">
        <v>3582</v>
      </c>
      <c r="B3643" s="138">
        <f>'Expenditures 15-22'!F367</f>
        <v>244</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1533</v>
      </c>
      <c r="C3668" s="2" t="s">
        <v>573</v>
      </c>
      <c r="D3668" s="2" t="str">
        <f t="shared" si="56"/>
        <v>Error?</v>
      </c>
    </row>
    <row r="3669" spans="1:4" x14ac:dyDescent="0.2">
      <c r="A3669" s="5">
        <v>3608</v>
      </c>
      <c r="B3669" s="138">
        <f>'Expenditures 15-22'!K349</f>
        <v>244</v>
      </c>
      <c r="C3669" s="2" t="s">
        <v>573</v>
      </c>
      <c r="D3669" s="2" t="str">
        <f t="shared" si="56"/>
        <v>Error?</v>
      </c>
    </row>
    <row r="3670" spans="1:4" x14ac:dyDescent="0.2">
      <c r="A3670" s="5">
        <v>3609</v>
      </c>
      <c r="B3670" s="138">
        <f>'Expenditures 15-22'!K350</f>
        <v>1777</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1777</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1777</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18657</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20434</v>
      </c>
      <c r="C3725" s="2" t="s">
        <v>573</v>
      </c>
      <c r="D3725" s="2" t="str">
        <f t="shared" si="57"/>
        <v>Error?</v>
      </c>
    </row>
    <row r="3726" spans="1:4" x14ac:dyDescent="0.2">
      <c r="A3726" s="5">
        <v>3665</v>
      </c>
      <c r="B3726" s="138">
        <f>'Tax Sched 23'!D13</f>
        <v>20434</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21520</v>
      </c>
      <c r="C3728" s="2" t="s">
        <v>573</v>
      </c>
      <c r="D3728" s="2" t="str">
        <f t="shared" si="57"/>
        <v>Error?</v>
      </c>
    </row>
    <row r="3729" spans="1:4" x14ac:dyDescent="0.2">
      <c r="A3729" s="5">
        <v>3668</v>
      </c>
      <c r="B3729" s="138">
        <f>'Tax Sched 23'!E13</f>
        <v>21520</v>
      </c>
      <c r="D3729" s="2" t="str">
        <f t="shared" si="57"/>
        <v>Error?</v>
      </c>
    </row>
    <row r="3730" spans="1:4" x14ac:dyDescent="0.2">
      <c r="A3730" s="5">
        <v>3669</v>
      </c>
      <c r="B3730" s="138">
        <f>'ICR Computation 30'!E10</f>
        <v>149179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1331421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4570238</v>
      </c>
      <c r="C4122" s="2" t="s">
        <v>573</v>
      </c>
      <c r="D4122" s="2" t="str">
        <f t="shared" si="63"/>
        <v>Error?</v>
      </c>
    </row>
    <row r="4123" spans="1:4" x14ac:dyDescent="0.2">
      <c r="A4123" s="5">
        <v>4062</v>
      </c>
      <c r="B4123" s="138">
        <f>'Acct Summary 7-8'!D10</f>
        <v>285908</v>
      </c>
      <c r="C4123" s="2" t="s">
        <v>573</v>
      </c>
      <c r="D4123" s="2" t="str">
        <f t="shared" si="63"/>
        <v>Error?</v>
      </c>
    </row>
    <row r="4124" spans="1:4" x14ac:dyDescent="0.2">
      <c r="A4124" s="5">
        <v>4063</v>
      </c>
      <c r="B4124" s="138">
        <f>'Acct Summary 7-8'!E10</f>
        <v>432435</v>
      </c>
      <c r="C4124" s="2" t="s">
        <v>573</v>
      </c>
      <c r="D4124" s="2" t="str">
        <f t="shared" si="63"/>
        <v>Error?</v>
      </c>
    </row>
    <row r="4125" spans="1:4" x14ac:dyDescent="0.2">
      <c r="A4125" s="5">
        <v>4064</v>
      </c>
      <c r="B4125" s="138">
        <f>'Acct Summary 7-8'!F10</f>
        <v>356652</v>
      </c>
      <c r="C4125" s="2" t="s">
        <v>573</v>
      </c>
      <c r="D4125" s="2" t="str">
        <f t="shared" si="63"/>
        <v>Error?</v>
      </c>
    </row>
    <row r="4126" spans="1:4" x14ac:dyDescent="0.2">
      <c r="A4126" s="5">
        <v>4065</v>
      </c>
      <c r="B4126" s="138">
        <f>'Acct Summary 7-8'!G10</f>
        <v>147134</v>
      </c>
      <c r="C4126" s="2" t="s">
        <v>573</v>
      </c>
      <c r="D4126" s="2" t="str">
        <f t="shared" si="63"/>
        <v>Error?</v>
      </c>
    </row>
    <row r="4127" spans="1:4" x14ac:dyDescent="0.2">
      <c r="A4127" s="5">
        <v>4066</v>
      </c>
      <c r="B4127" s="138">
        <f>'Acct Summary 7-8'!H10</f>
        <v>53454</v>
      </c>
      <c r="C4127" s="2" t="s">
        <v>573</v>
      </c>
      <c r="D4127" s="2" t="str">
        <f t="shared" si="63"/>
        <v>Error?</v>
      </c>
    </row>
    <row r="4128" spans="1:4" x14ac:dyDescent="0.2">
      <c r="A4128" s="5">
        <v>4067</v>
      </c>
      <c r="B4128" s="138">
        <f>'Acct Summary 7-8'!I10</f>
        <v>20434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20434</v>
      </c>
      <c r="C4130" s="2" t="s">
        <v>573</v>
      </c>
      <c r="D4130" s="2" t="str">
        <f t="shared" si="63"/>
        <v>Error?</v>
      </c>
    </row>
    <row r="4131" spans="1:4" x14ac:dyDescent="0.2">
      <c r="A4131" s="5">
        <v>4070</v>
      </c>
      <c r="B4131" s="138">
        <f>'Acct Summary 7-8'!C18</f>
        <v>1331421</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4509276</v>
      </c>
      <c r="C4136" s="2" t="s">
        <v>573</v>
      </c>
      <c r="D4136" s="2" t="str">
        <f t="shared" si="63"/>
        <v>Error?</v>
      </c>
    </row>
    <row r="4137" spans="1:4" x14ac:dyDescent="0.2">
      <c r="A4137" s="5">
        <v>4076</v>
      </c>
      <c r="B4137" s="138">
        <f>'Acct Summary 7-8'!D19</f>
        <v>334585</v>
      </c>
      <c r="C4137" s="2" t="s">
        <v>573</v>
      </c>
      <c r="D4137" s="2" t="str">
        <f t="shared" si="63"/>
        <v>Error?</v>
      </c>
    </row>
    <row r="4138" spans="1:4" x14ac:dyDescent="0.2">
      <c r="A4138" s="5">
        <v>4077</v>
      </c>
      <c r="B4138" s="138">
        <f>'Acct Summary 7-8'!E19</f>
        <v>1508474</v>
      </c>
      <c r="C4138" s="2" t="s">
        <v>573</v>
      </c>
      <c r="D4138" s="2" t="str">
        <f t="shared" si="63"/>
        <v>Error?</v>
      </c>
    </row>
    <row r="4139" spans="1:4" x14ac:dyDescent="0.2">
      <c r="A4139" s="5">
        <v>4078</v>
      </c>
      <c r="B4139" s="138">
        <f>'Acct Summary 7-8'!F19</f>
        <v>424264</v>
      </c>
      <c r="C4139" s="2" t="s">
        <v>573</v>
      </c>
      <c r="D4139" s="2" t="str">
        <f t="shared" si="63"/>
        <v>Error?</v>
      </c>
    </row>
    <row r="4140" spans="1:4" x14ac:dyDescent="0.2">
      <c r="A4140" s="5">
        <v>4079</v>
      </c>
      <c r="B4140" s="138">
        <f>'Acct Summary 7-8'!G19</f>
        <v>120568</v>
      </c>
      <c r="C4140" s="2" t="s">
        <v>573</v>
      </c>
      <c r="D4140" s="2" t="str">
        <f t="shared" si="63"/>
        <v>Error?</v>
      </c>
    </row>
    <row r="4141" spans="1:4" x14ac:dyDescent="0.2">
      <c r="A4141" s="5">
        <v>4080</v>
      </c>
      <c r="B4141" s="138">
        <f>'Acct Summary 7-8'!H19</f>
        <v>12789</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1777</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2947300</v>
      </c>
      <c r="C4171" s="2" t="s">
        <v>573</v>
      </c>
      <c r="D4171" s="2" t="str">
        <f t="shared" si="64"/>
        <v>Error?</v>
      </c>
    </row>
    <row r="4172" spans="1:4" x14ac:dyDescent="0.2">
      <c r="A4172" s="5">
        <v>4111</v>
      </c>
      <c r="B4172" s="138">
        <f>'Short-Term Long-Term Debt 24'!J49</f>
        <v>2946921</v>
      </c>
      <c r="C4172" s="2" t="s">
        <v>573</v>
      </c>
      <c r="D4172" s="2" t="str">
        <f t="shared" si="64"/>
        <v>Error?</v>
      </c>
    </row>
    <row r="4173" spans="1:4" x14ac:dyDescent="0.2">
      <c r="A4173" s="5">
        <v>4112</v>
      </c>
      <c r="B4173" s="138">
        <f>'Short-Term Long-Term Debt 24'!H49</f>
        <v>1384900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1784.3600000000001</v>
      </c>
      <c r="C4265" s="2" t="s">
        <v>573</v>
      </c>
      <c r="D4265" s="2" t="str">
        <f t="shared" si="65"/>
        <v>Error?</v>
      </c>
      <c r="E4265" s="128"/>
    </row>
    <row r="4266" spans="1:5" x14ac:dyDescent="0.2">
      <c r="A4266" s="12">
        <v>4205</v>
      </c>
      <c r="B4266" s="138">
        <f>('FP Info 3'!F10)*100000</f>
        <v>557.61</v>
      </c>
      <c r="C4266" s="2" t="s">
        <v>573</v>
      </c>
      <c r="D4266" s="2" t="str">
        <f t="shared" si="65"/>
        <v>Error?</v>
      </c>
      <c r="E4266" s="128"/>
    </row>
    <row r="4267" spans="1:5" x14ac:dyDescent="0.2">
      <c r="A4267" s="12">
        <v>4206</v>
      </c>
      <c r="B4267" s="138">
        <f>('FP Info 3'!H10)*100000</f>
        <v>193.95000000000002</v>
      </c>
      <c r="C4267" s="2" t="s">
        <v>573</v>
      </c>
      <c r="D4267" s="2" t="str">
        <f t="shared" si="65"/>
        <v>Error?</v>
      </c>
      <c r="E4267" s="128"/>
    </row>
    <row r="4268" spans="1:5" x14ac:dyDescent="0.2">
      <c r="A4268" s="12">
        <v>4207</v>
      </c>
      <c r="B4268" s="138">
        <f>('FP Info 3'!J10)*100000</f>
        <v>2536</v>
      </c>
      <c r="C4268" s="2" t="s">
        <v>573</v>
      </c>
      <c r="D4268" s="2" t="str">
        <f t="shared" si="65"/>
        <v>Error?</v>
      </c>
    </row>
    <row r="4269" spans="1:5" x14ac:dyDescent="0.2">
      <c r="A4269" s="12">
        <v>4208</v>
      </c>
      <c r="B4269" s="138">
        <f>'FP Info 3'!J16</f>
        <v>883790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24332</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10760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26942</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11588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48.49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5954</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44381846</v>
      </c>
      <c r="D4995" s="2" t="str">
        <f t="shared" si="77"/>
        <v>Error?</v>
      </c>
    </row>
    <row r="4996" spans="1:4" x14ac:dyDescent="0.2">
      <c r="A4996" s="12">
        <v>4935</v>
      </c>
      <c r="B4996" s="138">
        <f>'FP Info 3'!H31</f>
        <v>6124694.7480000006</v>
      </c>
      <c r="D4996" s="2" t="str">
        <f t="shared" si="77"/>
        <v>Error?</v>
      </c>
    </row>
    <row r="4997" spans="1:4" x14ac:dyDescent="0.2">
      <c r="A4997" s="12">
        <v>4936</v>
      </c>
      <c r="B4997" s="138">
        <f>'FP Info 3'!H37</f>
        <v>2947300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15000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15000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20434</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751995</v>
      </c>
      <c r="D5061" s="2" t="str">
        <f t="shared" si="78"/>
        <v>Error?</v>
      </c>
    </row>
    <row r="5062" spans="1:4" x14ac:dyDescent="0.2">
      <c r="A5062" s="10">
        <v>5001</v>
      </c>
      <c r="D5062" s="2" t="str">
        <f t="shared" si="78"/>
        <v>OK</v>
      </c>
    </row>
    <row r="5063" spans="1:4" x14ac:dyDescent="0.2">
      <c r="A5063" s="5">
        <v>5002</v>
      </c>
      <c r="B5063" s="138">
        <f>'Revenues 9-14'!C7</f>
        <v>16347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788776</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84765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84765</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4179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4179</v>
      </c>
      <c r="C5090" s="2" t="s">
        <v>573</v>
      </c>
      <c r="D5090" s="2" t="str">
        <f t="shared" si="78"/>
        <v>Error?</v>
      </c>
    </row>
    <row r="5091" spans="1:4" x14ac:dyDescent="0.2">
      <c r="A5091" s="5">
        <v>5030</v>
      </c>
      <c r="B5091" s="138">
        <f>'Revenues 9-14'!C70</f>
        <v>2</v>
      </c>
      <c r="D5091" s="2" t="str">
        <f t="shared" si="78"/>
        <v>Error?</v>
      </c>
    </row>
    <row r="5092" spans="1:4" x14ac:dyDescent="0.2">
      <c r="A5092" s="5">
        <v>5031</v>
      </c>
      <c r="B5092" s="138">
        <f>'Revenues 9-14'!C71</f>
        <v>0</v>
      </c>
      <c r="D5092" s="2" t="str">
        <f t="shared" si="78"/>
        <v>Error?</v>
      </c>
    </row>
    <row r="5093" spans="1:4" x14ac:dyDescent="0.2">
      <c r="A5093" s="5">
        <v>5032</v>
      </c>
      <c r="B5093" s="138">
        <f>'Revenues 9-14'!C72</f>
        <v>1399</v>
      </c>
      <c r="D5093" s="2" t="str">
        <f t="shared" si="78"/>
        <v>Error?</v>
      </c>
    </row>
    <row r="5094" spans="1:4" x14ac:dyDescent="0.2">
      <c r="A5094" s="5">
        <v>5033</v>
      </c>
      <c r="B5094" s="138">
        <f>'Revenues 9-14'!C73</f>
        <v>6812</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8213</v>
      </c>
      <c r="C5096" s="2" t="s">
        <v>573</v>
      </c>
      <c r="D5096" s="2" t="str">
        <f t="shared" si="78"/>
        <v>Error?</v>
      </c>
    </row>
    <row r="5097" spans="1:4" x14ac:dyDescent="0.2">
      <c r="A5097" s="5">
        <v>5036</v>
      </c>
      <c r="B5097" s="138">
        <f>'Revenues 9-14'!C77</f>
        <v>23806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9250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33056</v>
      </c>
      <c r="C5102" s="2" t="s">
        <v>573</v>
      </c>
      <c r="D5102" s="2" t="str">
        <f t="shared" si="78"/>
        <v>Error?</v>
      </c>
    </row>
    <row r="5103" spans="1:4" x14ac:dyDescent="0.2">
      <c r="A5103" s="5">
        <v>5042</v>
      </c>
      <c r="B5103" s="138">
        <f>'Revenues 9-14'!C84</f>
        <v>7182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2560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9742</v>
      </c>
      <c r="C5112" s="2" t="s">
        <v>573</v>
      </c>
      <c r="D5112" s="2" t="str">
        <f t="shared" si="78"/>
        <v>Error?</v>
      </c>
    </row>
    <row r="5113" spans="1:4" x14ac:dyDescent="0.2">
      <c r="A5113" s="5">
        <v>5052</v>
      </c>
      <c r="B5113" s="138">
        <f>'Revenues 9-14'!C95</f>
        <v>40550</v>
      </c>
      <c r="D5113" s="2" t="str">
        <f t="shared" si="78"/>
        <v>Error?</v>
      </c>
    </row>
    <row r="5114" spans="1:4" x14ac:dyDescent="0.2">
      <c r="A5114" s="5">
        <v>5053</v>
      </c>
      <c r="B5114" s="138">
        <f>'Revenues 9-14'!C96</f>
        <v>89038</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1378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100</v>
      </c>
      <c r="D5118" s="2" t="str">
        <f t="shared" si="78"/>
        <v>Error?</v>
      </c>
    </row>
    <row r="5119" spans="1:4" x14ac:dyDescent="0.2">
      <c r="A5119" s="5">
        <v>5058</v>
      </c>
      <c r="B5119" s="138">
        <f>'Revenues 9-14'!C107</f>
        <v>4121</v>
      </c>
      <c r="D5119" s="2" t="str">
        <f t="shared" ref="D5119:D5182" si="79">IF(ISBLANK(B5119),"OK",IF(A5119-B5119=0,"OK","Error?"))</f>
        <v>Error?</v>
      </c>
    </row>
    <row r="5120" spans="1:4" x14ac:dyDescent="0.2">
      <c r="A5120" s="5">
        <v>5059</v>
      </c>
      <c r="B5120" s="138">
        <f>'Revenues 9-14'!C108</f>
        <v>136287</v>
      </c>
      <c r="C5120" s="2" t="s">
        <v>573</v>
      </c>
      <c r="D5120" s="2" t="str">
        <f t="shared" si="79"/>
        <v>Error?</v>
      </c>
    </row>
    <row r="5121" spans="1:4" x14ac:dyDescent="0.2">
      <c r="A5121" s="5">
        <v>5060</v>
      </c>
      <c r="B5121" s="138">
        <f>'Revenues 9-14'!C109</f>
        <v>1065018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1643079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1643079</v>
      </c>
      <c r="C5132" s="2" t="s">
        <v>573</v>
      </c>
      <c r="D5132" s="2" t="str">
        <f t="shared" si="79"/>
        <v>Error?</v>
      </c>
    </row>
    <row r="5133" spans="1:4" x14ac:dyDescent="0.2">
      <c r="A5133" s="5">
        <v>5072</v>
      </c>
      <c r="B5133" s="138">
        <f>'Revenues 9-14'!C125</f>
        <v>22460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16311</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38771</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6541</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19041</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5021</v>
      </c>
      <c r="D5167" s="2" t="str">
        <f t="shared" si="79"/>
        <v>Error?</v>
      </c>
    </row>
    <row r="5168" spans="1:4" x14ac:dyDescent="0.2">
      <c r="A5168" s="5">
        <v>5107</v>
      </c>
      <c r="B5168" s="138">
        <f>'Revenues 9-14'!C148</f>
        <v>4677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25144</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93404</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1736483</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140875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83210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224085</v>
      </c>
      <c r="C5246" s="2" t="s">
        <v>573</v>
      </c>
      <c r="D5246" s="2" t="str">
        <f t="shared" si="80"/>
        <v>Error?</v>
      </c>
    </row>
    <row r="5247" spans="1:4" x14ac:dyDescent="0.2">
      <c r="A5247" s="5">
        <v>5186</v>
      </c>
      <c r="B5247" s="138">
        <f>'Revenues 9-14'!C200</f>
        <v>114096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138428</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19559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19559</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437316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437316</v>
      </c>
      <c r="C5326" s="2" t="s">
        <v>573</v>
      </c>
      <c r="D5326" s="2" t="str">
        <f t="shared" si="82"/>
        <v>Error?</v>
      </c>
    </row>
    <row r="5327" spans="1:5" x14ac:dyDescent="0.2">
      <c r="A5327" s="5">
        <v>5266</v>
      </c>
      <c r="B5327" s="138">
        <f>'Revenues 9-14'!C268</f>
        <v>3238817</v>
      </c>
      <c r="C5327" s="2" t="s">
        <v>573</v>
      </c>
      <c r="D5327" s="2" t="str">
        <f t="shared" si="82"/>
        <v>Error?</v>
      </c>
    </row>
    <row r="5328" spans="1:5" x14ac:dyDescent="0.2">
      <c r="A5328" s="5">
        <v>5267</v>
      </c>
      <c r="B5328" s="138">
        <f>'Revenues 9-14'!D5</f>
        <v>234996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234996</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43000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390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43390</v>
      </c>
      <c r="C5355" s="2" t="s">
        <v>573</v>
      </c>
      <c r="D5355" s="2" t="str">
        <f t="shared" si="82"/>
        <v>Error?</v>
      </c>
    </row>
    <row r="5356" spans="1:4" x14ac:dyDescent="0.2">
      <c r="A5356" s="5">
        <v>5295</v>
      </c>
      <c r="B5356" s="138">
        <f>'Revenues 9-14'!D109</f>
        <v>278386</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7522</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7522</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7522</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285908</v>
      </c>
      <c r="C5508" s="2" t="s">
        <v>573</v>
      </c>
      <c r="D5508" s="2" t="str">
        <f t="shared" si="85"/>
        <v>Error?</v>
      </c>
    </row>
    <row r="5509" spans="1:4" x14ac:dyDescent="0.2">
      <c r="A5509" s="5">
        <v>5448</v>
      </c>
      <c r="B5509" s="138">
        <f>'Revenues 9-14'!E5</f>
        <v>339835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339835</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733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733</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91867</v>
      </c>
      <c r="C5526" s="2" t="s">
        <v>573</v>
      </c>
      <c r="D5526" s="2" t="str">
        <f t="shared" si="85"/>
        <v>Error?</v>
      </c>
    </row>
    <row r="5527" spans="1:4" x14ac:dyDescent="0.2">
      <c r="A5527" s="5">
        <v>5466</v>
      </c>
      <c r="B5527" s="138">
        <f>'Revenues 9-14'!E109</f>
        <v>432435</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432435</v>
      </c>
      <c r="C5552" s="2" t="s">
        <v>573</v>
      </c>
      <c r="D5552" s="2" t="str">
        <f t="shared" si="85"/>
        <v>Error?</v>
      </c>
    </row>
    <row r="5553" spans="1:4" x14ac:dyDescent="0.2">
      <c r="A5553" s="5">
        <v>5492</v>
      </c>
      <c r="B5553" s="138">
        <f>'Revenues 9-14'!F5</f>
        <v>81738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81738</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20400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20400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1712</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1712</v>
      </c>
      <c r="C5587" s="2" t="s">
        <v>573</v>
      </c>
      <c r="D5587" s="2" t="str">
        <f t="shared" si="86"/>
        <v>Error?</v>
      </c>
    </row>
    <row r="5588" spans="1:4" x14ac:dyDescent="0.2">
      <c r="A5588" s="5">
        <v>5527</v>
      </c>
      <c r="B5588" s="138">
        <f>'Revenues 9-14'!F109</f>
        <v>103850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5</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5</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151279</v>
      </c>
      <c r="D5615" s="2" t="str">
        <f t="shared" si="86"/>
        <v>Error?</v>
      </c>
    </row>
    <row r="5616" spans="1:4" x14ac:dyDescent="0.2">
      <c r="A5616" s="10">
        <v>5555</v>
      </c>
      <c r="D5616" s="2" t="str">
        <f t="shared" si="86"/>
        <v>OK</v>
      </c>
    </row>
    <row r="5617" spans="1:5" x14ac:dyDescent="0.2">
      <c r="A5617" s="5">
        <v>5556</v>
      </c>
      <c r="B5617" s="138">
        <f>'Revenues 9-14'!F153</f>
        <v>101518</v>
      </c>
      <c r="D5617" s="2" t="str">
        <f t="shared" si="86"/>
        <v>Error?</v>
      </c>
    </row>
    <row r="5618" spans="1:5" x14ac:dyDescent="0.2">
      <c r="A5618" s="5">
        <v>5557</v>
      </c>
      <c r="B5618" s="138">
        <f>'Revenues 9-14'!F155</f>
        <v>252797</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252797</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252802</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356652</v>
      </c>
      <c r="C5720" s="2" t="s">
        <v>573</v>
      </c>
      <c r="D5720" s="2" t="str">
        <f t="shared" si="88"/>
        <v>Error?</v>
      </c>
    </row>
    <row r="5721" spans="1:4" x14ac:dyDescent="0.2">
      <c r="A5721" s="5">
        <v>5660</v>
      </c>
      <c r="B5721" s="138">
        <f>'Revenues 9-14'!G5</f>
        <v>68455</v>
      </c>
      <c r="D5721" s="2" t="str">
        <f t="shared" si="88"/>
        <v>Error?</v>
      </c>
    </row>
    <row r="5722" spans="1:4" x14ac:dyDescent="0.2">
      <c r="A5722" s="5">
        <v>5661</v>
      </c>
      <c r="B5722" s="138">
        <f>'Revenues 9-14'!G7</f>
        <v>0</v>
      </c>
      <c r="D5722" s="2" t="str">
        <f t="shared" si="88"/>
        <v>Error?</v>
      </c>
    </row>
    <row r="5723" spans="1:4" x14ac:dyDescent="0.2">
      <c r="A5723" s="5">
        <v>5662</v>
      </c>
      <c r="B5723" s="138">
        <f>'Revenues 9-14'!G8</f>
        <v>68454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136909</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10225</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10225</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147134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53454</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53454</v>
      </c>
      <c r="C5915" s="2" t="s">
        <v>573</v>
      </c>
      <c r="D5915" s="2" t="str">
        <f t="shared" si="91"/>
        <v>Error?</v>
      </c>
    </row>
    <row r="5916" spans="1:4" x14ac:dyDescent="0.2">
      <c r="A5916" s="5">
        <v>5855</v>
      </c>
      <c r="B5916" s="138">
        <f>'Revenues 9-14'!I5</f>
        <v>20434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20434</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20434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20434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20434</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20434</v>
      </c>
      <c r="C6023" s="2" t="s">
        <v>573</v>
      </c>
      <c r="D6023" s="2" t="str">
        <f t="shared" si="93"/>
        <v>Error?</v>
      </c>
    </row>
    <row r="6024" spans="1:5" x14ac:dyDescent="0.2">
      <c r="A6024" s="5">
        <v>5963</v>
      </c>
      <c r="B6024" s="138">
        <f>'Revenues 9-14'!G109</f>
        <v>147134</v>
      </c>
      <c r="C6024" s="2" t="s">
        <v>573</v>
      </c>
      <c r="D6024" s="2" t="str">
        <f t="shared" si="93"/>
        <v>Error?</v>
      </c>
    </row>
    <row r="6025" spans="1:5" x14ac:dyDescent="0.2">
      <c r="A6025" s="5">
        <v>5964</v>
      </c>
      <c r="B6025" s="138">
        <f>'Revenues 9-14'!H109</f>
        <v>53454</v>
      </c>
      <c r="C6025" s="2" t="s">
        <v>573</v>
      </c>
      <c r="D6025" s="2" t="str">
        <f t="shared" si="93"/>
        <v>Error?</v>
      </c>
    </row>
    <row r="6026" spans="1:5" x14ac:dyDescent="0.2">
      <c r="A6026" s="5">
        <v>5965</v>
      </c>
      <c r="B6026" s="138">
        <f>'Revenues 9-14'!I109</f>
        <v>20434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20434</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13466</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331.6</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265933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265933</v>
      </c>
      <c r="D6215" s="2" t="str">
        <f t="shared" si="96"/>
        <v>Error?</v>
      </c>
      <c r="E6215" s="2" t="s">
        <v>190</v>
      </c>
    </row>
    <row r="6216" spans="1:5" x14ac:dyDescent="0.2">
      <c r="A6216">
        <v>6155</v>
      </c>
      <c r="B6216" s="138">
        <f>'Assets-Liab 5-6'!J41</f>
        <v>265933</v>
      </c>
      <c r="D6216" s="2" t="str">
        <f t="shared" si="96"/>
        <v>Error?</v>
      </c>
      <c r="E6216" s="2" t="s">
        <v>190</v>
      </c>
    </row>
    <row r="6217" spans="1:5" x14ac:dyDescent="0.2">
      <c r="A6217">
        <v>6156</v>
      </c>
      <c r="B6217" s="138">
        <f>'Assets-Liab 5-6'!J4</f>
        <v>265933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514735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514735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514735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472929</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472929</v>
      </c>
      <c r="D6229" s="2" t="str">
        <f t="shared" si="96"/>
        <v>Error?</v>
      </c>
      <c r="E6229" s="2" t="s">
        <v>190</v>
      </c>
    </row>
    <row r="6230" spans="1:5" x14ac:dyDescent="0.2">
      <c r="A6230">
        <v>6169</v>
      </c>
      <c r="B6230" s="138">
        <f>'Acct Summary 7-8'!J20</f>
        <v>41806</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41806</v>
      </c>
      <c r="D6263" s="2" t="str">
        <f t="shared" si="96"/>
        <v>Error?</v>
      </c>
      <c r="E6263" s="2" t="s">
        <v>190</v>
      </c>
    </row>
    <row r="6264" spans="1:5" x14ac:dyDescent="0.2">
      <c r="A6264">
        <v>6203</v>
      </c>
      <c r="B6264" s="138">
        <f>'Acct Summary 7-8'!J79</f>
        <v>224127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265933</v>
      </c>
      <c r="D6266" s="2" t="str">
        <f t="shared" si="96"/>
        <v>Error?</v>
      </c>
      <c r="E6266" s="2" t="s">
        <v>190</v>
      </c>
    </row>
    <row r="6267" spans="1:5" x14ac:dyDescent="0.2">
      <c r="A6267">
        <v>6206</v>
      </c>
      <c r="B6267" s="138">
        <f>'Acct Summary 7-8'!C82</f>
        <v>45962</v>
      </c>
      <c r="D6267" s="2" t="str">
        <f t="shared" si="96"/>
        <v>Error?</v>
      </c>
      <c r="E6267" s="2" t="s">
        <v>190</v>
      </c>
    </row>
    <row r="6268" spans="1:5" x14ac:dyDescent="0.2">
      <c r="A6268">
        <v>6207</v>
      </c>
      <c r="B6268" s="138">
        <f>'Acct Summary 7-8'!D82</f>
        <v>-33677</v>
      </c>
      <c r="D6268" s="2" t="str">
        <f t="shared" si="96"/>
        <v>Error?</v>
      </c>
      <c r="E6268" s="2" t="s">
        <v>190</v>
      </c>
    </row>
    <row r="6269" spans="1:5" x14ac:dyDescent="0.2">
      <c r="A6269">
        <v>6208</v>
      </c>
      <c r="B6269" s="138">
        <f>'Acct Summary 7-8'!E82</f>
        <v>-1056589</v>
      </c>
      <c r="D6269" s="2" t="str">
        <f t="shared" si="96"/>
        <v>Error?</v>
      </c>
      <c r="E6269" s="2" t="s">
        <v>190</v>
      </c>
    </row>
    <row r="6270" spans="1:5" x14ac:dyDescent="0.2">
      <c r="A6270">
        <v>6209</v>
      </c>
      <c r="B6270" s="138">
        <f>'Acct Summary 7-8'!F82</f>
        <v>-67612</v>
      </c>
      <c r="D6270" s="2" t="str">
        <f t="shared" si="96"/>
        <v>Error?</v>
      </c>
      <c r="E6270" s="2" t="s">
        <v>190</v>
      </c>
    </row>
    <row r="6271" spans="1:5" x14ac:dyDescent="0.2">
      <c r="A6271">
        <v>6210</v>
      </c>
      <c r="B6271" s="138">
        <f>'Acct Summary 7-8'!G82</f>
        <v>26566</v>
      </c>
      <c r="D6271" s="2" t="str">
        <f t="shared" ref="D6271:D6334" si="97">IF(ISBLANK(B6271),"OK",IF(A6271-B6271=0,"OK","Error?"))</f>
        <v>Error?</v>
      </c>
      <c r="E6271" s="2" t="s">
        <v>190</v>
      </c>
    </row>
    <row r="6272" spans="1:5" x14ac:dyDescent="0.2">
      <c r="A6272">
        <v>6211</v>
      </c>
      <c r="B6272" s="138">
        <f>'Acct Summary 7-8'!H82</f>
        <v>40665</v>
      </c>
      <c r="D6272" s="2" t="str">
        <f t="shared" si="97"/>
        <v>Error?</v>
      </c>
      <c r="E6272" s="2" t="s">
        <v>190</v>
      </c>
    </row>
    <row r="6273" spans="1:5" x14ac:dyDescent="0.2">
      <c r="A6273">
        <v>6212</v>
      </c>
      <c r="B6273" s="138">
        <f>'Acct Summary 7-8'!I82</f>
        <v>984</v>
      </c>
      <c r="D6273" s="2" t="str">
        <f t="shared" si="97"/>
        <v>Error?</v>
      </c>
      <c r="E6273" s="2" t="s">
        <v>190</v>
      </c>
    </row>
    <row r="6274" spans="1:5" x14ac:dyDescent="0.2">
      <c r="A6274">
        <v>6213</v>
      </c>
      <c r="B6274" s="138">
        <f>'Acct Summary 7-8'!J82</f>
        <v>41806</v>
      </c>
      <c r="D6274" s="2" t="str">
        <f t="shared" si="97"/>
        <v>Error?</v>
      </c>
      <c r="E6274" s="2" t="s">
        <v>190</v>
      </c>
    </row>
    <row r="6275" spans="1:5" x14ac:dyDescent="0.2">
      <c r="A6275">
        <v>6214</v>
      </c>
      <c r="B6275" s="138">
        <f>'Acct Summary 7-8'!K82</f>
        <v>18657</v>
      </c>
      <c r="D6275" s="2" t="str">
        <f t="shared" si="97"/>
        <v>Error?</v>
      </c>
      <c r="E6275" s="2" t="s">
        <v>190</v>
      </c>
    </row>
    <row r="6276" spans="1:5" x14ac:dyDescent="0.2">
      <c r="A6276">
        <v>6215</v>
      </c>
      <c r="B6276" s="138">
        <f>'Acct Summary 7-8'!C83</f>
        <v>8.3127152241224647E-2</v>
      </c>
      <c r="D6276" s="2" t="str">
        <f t="shared" si="97"/>
        <v>Error?</v>
      </c>
      <c r="E6276" s="2" t="s">
        <v>190</v>
      </c>
    </row>
    <row r="6277" spans="1:5" x14ac:dyDescent="0.2">
      <c r="A6277">
        <v>6216</v>
      </c>
      <c r="B6277" s="138">
        <f>'Acct Summary 7-8'!D83</f>
        <v>-0.43579026372318125</v>
      </c>
      <c r="D6277" s="2" t="str">
        <f t="shared" si="97"/>
        <v>Error?</v>
      </c>
      <c r="E6277" s="2" t="s">
        <v>190</v>
      </c>
    </row>
    <row r="6278" spans="1:5" x14ac:dyDescent="0.2">
      <c r="A6278">
        <v>6217</v>
      </c>
      <c r="B6278" s="138">
        <f>'Acct Summary 7-8'!E83</f>
        <v>-2787.8337730870712</v>
      </c>
      <c r="D6278" s="2" t="str">
        <f t="shared" si="97"/>
        <v>Error?</v>
      </c>
      <c r="E6278" s="2" t="s">
        <v>190</v>
      </c>
    </row>
    <row r="6279" spans="1:5" x14ac:dyDescent="0.2">
      <c r="A6279">
        <v>6218</v>
      </c>
      <c r="B6279" s="138">
        <f>'Acct Summary 7-8'!F83</f>
        <v>-0.27021993437538716</v>
      </c>
      <c r="D6279" s="2" t="str">
        <f t="shared" si="97"/>
        <v>Error?</v>
      </c>
      <c r="E6279" s="2" t="s">
        <v>190</v>
      </c>
    </row>
    <row r="6280" spans="1:5" x14ac:dyDescent="0.2">
      <c r="A6280">
        <v>6219</v>
      </c>
      <c r="B6280" s="138">
        <f>'Acct Summary 7-8'!G83</f>
        <v>0.13181567835505784</v>
      </c>
      <c r="D6280" s="2" t="str">
        <f t="shared" si="97"/>
        <v>Error?</v>
      </c>
      <c r="E6280" s="2" t="s">
        <v>190</v>
      </c>
    </row>
    <row r="6281" spans="1:5" x14ac:dyDescent="0.2">
      <c r="A6281">
        <v>6220</v>
      </c>
      <c r="B6281" s="138">
        <f>'Acct Summary 7-8'!H83</f>
        <v>0.15572762887308572</v>
      </c>
      <c r="D6281" s="2" t="str">
        <f t="shared" si="97"/>
        <v>Error?</v>
      </c>
      <c r="E6281" s="2" t="s">
        <v>190</v>
      </c>
    </row>
    <row r="6282" spans="1:5" x14ac:dyDescent="0.2">
      <c r="A6282">
        <v>6221</v>
      </c>
      <c r="B6282" s="138">
        <f>'Acct Summary 7-8'!I83</f>
        <v>0.29035113602832696</v>
      </c>
      <c r="D6282" s="2" t="str">
        <f t="shared" si="97"/>
        <v>Error?</v>
      </c>
      <c r="E6282" s="2" t="s">
        <v>190</v>
      </c>
    </row>
    <row r="6283" spans="1:5" x14ac:dyDescent="0.2">
      <c r="A6283">
        <v>6222</v>
      </c>
      <c r="B6283" s="138">
        <f>'Acct Summary 7-8'!J83</f>
        <v>0.15720501028454537</v>
      </c>
      <c r="D6283" s="2" t="str">
        <f t="shared" si="97"/>
        <v>Error?</v>
      </c>
      <c r="E6283" s="2" t="s">
        <v>190</v>
      </c>
    </row>
    <row r="6284" spans="1:5" x14ac:dyDescent="0.2">
      <c r="A6284">
        <v>6223</v>
      </c>
      <c r="B6284" s="138">
        <f>'Acct Summary 7-8'!K83</f>
        <v>0.20644668702695526</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514662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514662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73</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1100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73</v>
      </c>
      <c r="D6351" s="2" t="str">
        <f t="shared" si="98"/>
        <v>Error?</v>
      </c>
      <c r="E6351" s="2" t="s">
        <v>190</v>
      </c>
    </row>
    <row r="6352" spans="1:5" x14ac:dyDescent="0.2">
      <c r="A6352">
        <v>6291</v>
      </c>
      <c r="B6352" s="138">
        <f>'Revenues 9-14'!J109</f>
        <v>514735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12500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63824</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75376</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11850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1000</v>
      </c>
      <c r="D6981" s="2" t="str">
        <f t="shared" si="108"/>
        <v>Error?</v>
      </c>
    </row>
    <row r="6982" spans="1:4" x14ac:dyDescent="0.2">
      <c r="A6982">
        <v>6921</v>
      </c>
      <c r="B6982" s="138">
        <f>'Expenditures 15-22'!K85</f>
        <v>1000</v>
      </c>
      <c r="D6982" s="2" t="str">
        <f t="shared" si="108"/>
        <v>Error?</v>
      </c>
    </row>
    <row r="6983" spans="1:4" x14ac:dyDescent="0.2">
      <c r="A6983">
        <v>6922</v>
      </c>
      <c r="B6983" s="138">
        <f>'Expenditures 15-22'!H86</f>
        <v>91806</v>
      </c>
      <c r="D6983" s="2" t="str">
        <f t="shared" si="108"/>
        <v>Error?</v>
      </c>
    </row>
    <row r="6984" spans="1:4" x14ac:dyDescent="0.2">
      <c r="A6984">
        <v>6923</v>
      </c>
      <c r="B6984" s="138">
        <f>'Expenditures 15-22'!K86</f>
        <v>91806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92806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472929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514735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3023</v>
      </c>
      <c r="D7073" s="2" t="str">
        <f t="shared" si="109"/>
        <v>Error?</v>
      </c>
    </row>
    <row r="7074" spans="1:4" x14ac:dyDescent="0.2">
      <c r="A7074">
        <v>7013</v>
      </c>
      <c r="B7074" s="138">
        <f>'Expenditures 15-22'!K216</f>
        <v>3023</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137</v>
      </c>
      <c r="D7079" s="2" t="str">
        <f t="shared" si="109"/>
        <v>Error?</v>
      </c>
    </row>
    <row r="7080" spans="1:4" x14ac:dyDescent="0.2">
      <c r="A7080">
        <v>7019</v>
      </c>
      <c r="B7080" s="138">
        <f>'Expenditures 15-22'!K226</f>
        <v>137</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18125</v>
      </c>
      <c r="D7093" s="2" t="str">
        <f t="shared" si="109"/>
        <v>Error?</v>
      </c>
    </row>
    <row r="7094" spans="1:4" x14ac:dyDescent="0.2">
      <c r="A7094">
        <v>7033</v>
      </c>
      <c r="B7094" s="138">
        <f>'Expenditures 15-22'!K254</f>
        <v>18125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17670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17670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2223</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2223</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41611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41611</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341626</v>
      </c>
      <c r="D7172" s="2" t="str">
        <f t="shared" si="111"/>
        <v>Error?</v>
      </c>
    </row>
    <row r="7173" spans="1:4" x14ac:dyDescent="0.2">
      <c r="A7173">
        <v>7112</v>
      </c>
      <c r="B7173" s="138">
        <f>'Expenditures 15-22'!D325</f>
        <v>53337</v>
      </c>
      <c r="D7173" s="2" t="str">
        <f t="shared" si="111"/>
        <v>Error?</v>
      </c>
    </row>
    <row r="7174" spans="1:4" x14ac:dyDescent="0.2">
      <c r="A7174">
        <v>7113</v>
      </c>
      <c r="B7174" s="138">
        <f>'Expenditures 15-22'!E325</f>
        <v>12784</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407747</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3678</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3678</v>
      </c>
      <c r="D7198" s="2" t="str">
        <f t="shared" si="111"/>
        <v>Error?</v>
      </c>
    </row>
    <row r="7199" spans="1:4" x14ac:dyDescent="0.2">
      <c r="A7199">
        <v>7138</v>
      </c>
      <c r="B7199" s="138">
        <f>'Expenditures 15-22'!C330</f>
        <v>341626</v>
      </c>
      <c r="D7199" s="2" t="str">
        <f t="shared" si="111"/>
        <v>Error?</v>
      </c>
    </row>
    <row r="7200" spans="1:4" x14ac:dyDescent="0.2">
      <c r="A7200">
        <v>7139</v>
      </c>
      <c r="B7200" s="138">
        <f>'Expenditures 15-22'!D330</f>
        <v>53337</v>
      </c>
      <c r="D7200" s="2" t="str">
        <f t="shared" si="111"/>
        <v>Error?</v>
      </c>
    </row>
    <row r="7201" spans="1:4" x14ac:dyDescent="0.2">
      <c r="A7201">
        <v>7140</v>
      </c>
      <c r="B7201" s="138">
        <f>'Expenditures 15-22'!E330</f>
        <v>77966</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472929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341626</v>
      </c>
      <c r="D7216" s="2" t="str">
        <f t="shared" si="111"/>
        <v>Error?</v>
      </c>
    </row>
    <row r="7217" spans="1:4" x14ac:dyDescent="0.2">
      <c r="A7217">
        <v>7156</v>
      </c>
      <c r="B7217" s="138">
        <f>'Expenditures 15-22'!D342</f>
        <v>53337</v>
      </c>
      <c r="D7217" s="2" t="str">
        <f t="shared" si="111"/>
        <v>Error?</v>
      </c>
    </row>
    <row r="7218" spans="1:4" x14ac:dyDescent="0.2">
      <c r="A7218">
        <v>7157</v>
      </c>
      <c r="B7218" s="138">
        <f>'Expenditures 15-22'!E342</f>
        <v>77966</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472929</v>
      </c>
      <c r="D7224" s="2" t="str">
        <f t="shared" si="111"/>
        <v>Error?</v>
      </c>
    </row>
    <row r="7225" spans="1:4" x14ac:dyDescent="0.2">
      <c r="A7225">
        <v>7164</v>
      </c>
      <c r="B7225" s="138">
        <f>'Expenditures 15-22'!K343</f>
        <v>41806</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11421</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131</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9464</v>
      </c>
      <c r="D7263" s="2" t="str">
        <f t="shared" si="112"/>
        <v>Error?</v>
      </c>
    </row>
    <row r="7264" spans="1:4" x14ac:dyDescent="0.2">
      <c r="A7264">
        <f t="shared" si="113"/>
        <v>7203</v>
      </c>
      <c r="B7264" s="138">
        <f>'Expenditures 15-22'!D17</f>
        <v>1877</v>
      </c>
      <c r="D7264" s="2" t="str">
        <f t="shared" si="112"/>
        <v>Error?</v>
      </c>
    </row>
    <row r="7265" spans="1:5" x14ac:dyDescent="0.2">
      <c r="A7265">
        <f t="shared" si="113"/>
        <v>7204</v>
      </c>
      <c r="B7265" s="138">
        <f>'Expenditures 15-22'!E17</f>
        <v>195</v>
      </c>
      <c r="D7265" s="2" t="str">
        <f t="shared" si="112"/>
        <v>Error?</v>
      </c>
    </row>
    <row r="7266" spans="1:5" x14ac:dyDescent="0.2">
      <c r="A7266">
        <f t="shared" si="113"/>
        <v>7205</v>
      </c>
      <c r="B7266" s="138">
        <f>'Expenditures 15-22'!F17</f>
        <v>314</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33282</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33282</v>
      </c>
      <c r="D7600" s="2" t="str">
        <f t="shared" si="122"/>
        <v>Error?</v>
      </c>
      <c r="E7600" s="2" t="s">
        <v>19</v>
      </c>
    </row>
    <row r="7601" spans="1:5" x14ac:dyDescent="0.2">
      <c r="A7601">
        <f t="shared" si="123"/>
        <v>7540</v>
      </c>
      <c r="B7601" s="138">
        <f>'Cap Outlay Deprec 26'!H6</f>
        <v>28136</v>
      </c>
      <c r="D7601" s="2" t="str">
        <f t="shared" si="122"/>
        <v>Error?</v>
      </c>
      <c r="E7601" s="2" t="s">
        <v>19</v>
      </c>
    </row>
    <row r="7602" spans="1:5" x14ac:dyDescent="0.2">
      <c r="A7602">
        <f t="shared" si="123"/>
        <v>7541</v>
      </c>
      <c r="B7602" s="138">
        <f>'Cap Outlay Deprec 26'!I6</f>
        <v>700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28836</v>
      </c>
      <c r="D7604" s="2" t="str">
        <f t="shared" si="122"/>
        <v>Error?</v>
      </c>
      <c r="E7604" s="2" t="s">
        <v>19</v>
      </c>
    </row>
    <row r="7605" spans="1:5" x14ac:dyDescent="0.2">
      <c r="A7605">
        <f t="shared" si="123"/>
        <v>7544</v>
      </c>
      <c r="B7605" s="138">
        <f>'Cap Outlay Deprec 26'!L6</f>
        <v>4446</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203696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220464</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1100</v>
      </c>
      <c r="D7712" s="2" t="str">
        <f t="shared" si="126"/>
        <v>Error?</v>
      </c>
      <c r="E7712" s="2" t="s">
        <v>827</v>
      </c>
    </row>
    <row r="7713" spans="1:6" x14ac:dyDescent="0.2">
      <c r="A7713">
        <v>7652</v>
      </c>
      <c r="B7713" s="138">
        <f>'Rest Tax Levies-Tort Im 25'!J8</f>
        <v>145321</v>
      </c>
      <c r="D7713" s="2" t="str">
        <f t="shared" si="126"/>
        <v>Error?</v>
      </c>
      <c r="E7713" s="2" t="s">
        <v>827</v>
      </c>
    </row>
    <row r="7714" spans="1:6" x14ac:dyDescent="0.2">
      <c r="A7714">
        <v>7653</v>
      </c>
      <c r="B7714" s="138">
        <f>'Rest Tax Levies-Tort Im 25'!K9</f>
        <v>4677</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145321</v>
      </c>
      <c r="D7718" s="2" t="str">
        <f t="shared" si="126"/>
        <v>Error?</v>
      </c>
      <c r="E7718" s="2" t="s">
        <v>827</v>
      </c>
    </row>
    <row r="7719" spans="1:6" x14ac:dyDescent="0.2">
      <c r="A7719">
        <v>7658</v>
      </c>
      <c r="B7719" s="138">
        <f>'Rest Tax Levies-Tort Im 25'!K12</f>
        <v>5777</v>
      </c>
      <c r="D7719" s="2" t="str">
        <f t="shared" si="126"/>
        <v>Error?</v>
      </c>
      <c r="E7719" s="2" t="s">
        <v>827</v>
      </c>
    </row>
    <row r="7720" spans="1:6" x14ac:dyDescent="0.2">
      <c r="A7720">
        <v>7659</v>
      </c>
      <c r="B7720" s="138">
        <f>'Rest Tax Levies-Tort Im 25'!H14</f>
        <v>16347</v>
      </c>
      <c r="D7720" s="2" t="str">
        <f t="shared" si="126"/>
        <v>Error?</v>
      </c>
      <c r="E7720" s="2" t="s">
        <v>827</v>
      </c>
    </row>
    <row r="7721" spans="1:6" x14ac:dyDescent="0.2">
      <c r="A7721">
        <v>7660</v>
      </c>
      <c r="B7721" s="138">
        <f>'Rest Tax Levies-Tort Im 25'!K14</f>
        <v>5777</v>
      </c>
      <c r="D7721" s="2" t="str">
        <f t="shared" si="126"/>
        <v>Error?</v>
      </c>
      <c r="E7721" s="2" t="s">
        <v>827</v>
      </c>
    </row>
    <row r="7722" spans="1:6" x14ac:dyDescent="0.2">
      <c r="A7722">
        <v>7661</v>
      </c>
      <c r="B7722" s="138">
        <f>'Rest Tax Levies-Tort Im 25'!J15</f>
        <v>12789</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7498</v>
      </c>
      <c r="D7724" s="2" t="str">
        <f t="shared" si="126"/>
        <v>Error?</v>
      </c>
      <c r="E7724" s="2" t="s">
        <v>827</v>
      </c>
      <c r="F7724" s="2"/>
    </row>
    <row r="7725" spans="1:6" x14ac:dyDescent="0.2">
      <c r="A7725">
        <v>7664</v>
      </c>
      <c r="B7725" s="138">
        <f>'Rest Tax Levies-Tort Im 25'!J19</f>
        <v>84369</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91867</v>
      </c>
      <c r="D7727" s="2" t="str">
        <f t="shared" si="126"/>
        <v>Error?</v>
      </c>
      <c r="E7727" s="2" t="s">
        <v>827</v>
      </c>
    </row>
    <row r="7728" spans="1:6" x14ac:dyDescent="0.2">
      <c r="A7728">
        <v>7667</v>
      </c>
      <c r="B7728" s="138">
        <f>'Revenues 9-14'!E103</f>
        <v>91867</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104656</v>
      </c>
      <c r="D7730" s="2" t="str">
        <f t="shared" si="126"/>
        <v>Error?</v>
      </c>
      <c r="E7730" s="2" t="s">
        <v>827</v>
      </c>
    </row>
    <row r="7731" spans="1:6" x14ac:dyDescent="0.2">
      <c r="A7731">
        <v>7670</v>
      </c>
      <c r="B7731" s="138">
        <f>'Revenues 9-14'!H103</f>
        <v>53454</v>
      </c>
      <c r="D7731" s="2" t="str">
        <f t="shared" si="126"/>
        <v>Error?</v>
      </c>
      <c r="E7731" s="2" t="s">
        <v>827</v>
      </c>
    </row>
    <row r="7732" spans="1:6" x14ac:dyDescent="0.2">
      <c r="A7732">
        <v>7671</v>
      </c>
      <c r="B7732" s="138">
        <f>'Rest Tax Levies-Tort Im 25'!J24</f>
        <v>261129</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261129</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19450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421461</v>
      </c>
      <c r="D7797" s="2" t="str">
        <f t="shared" si="127"/>
        <v>Error?</v>
      </c>
      <c r="E7797" s="4" t="s">
        <v>1904</v>
      </c>
    </row>
    <row r="7798" spans="1:5" x14ac:dyDescent="0.2">
      <c r="A7798">
        <v>7737</v>
      </c>
      <c r="B7798" s="138">
        <f>'Contracts Paid in CY 29'!F141</f>
        <v>57163</v>
      </c>
      <c r="D7798" s="2" t="str">
        <f t="shared" si="127"/>
        <v>Error?</v>
      </c>
      <c r="E7798" s="4" t="s">
        <v>1904</v>
      </c>
    </row>
    <row r="7799" spans="1:5" x14ac:dyDescent="0.2">
      <c r="A7799">
        <v>7738</v>
      </c>
      <c r="B7799" s="138">
        <f>'Contracts Paid in CY 29'!G141</f>
        <v>364298</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3" t="s">
        <v>1191</v>
      </c>
      <c r="B2" s="2403"/>
      <c r="C2" s="2403"/>
      <c r="D2" s="2403"/>
      <c r="E2" s="2403"/>
      <c r="F2" s="2403"/>
      <c r="G2" s="2403"/>
      <c r="H2" s="2403"/>
      <c r="I2" s="2403"/>
      <c r="J2" s="2403"/>
      <c r="K2" s="2403"/>
      <c r="L2" s="2403"/>
    </row>
    <row r="3" spans="1:29" ht="13.5" customHeight="1" x14ac:dyDescent="0.2">
      <c r="A3" s="2389" t="s">
        <v>1190</v>
      </c>
      <c r="B3" s="2389"/>
      <c r="C3" s="2389"/>
      <c r="D3" s="2389"/>
      <c r="E3" s="2389"/>
      <c r="F3" s="2389"/>
      <c r="G3" s="2389"/>
      <c r="H3" s="2389"/>
      <c r="I3" s="2389"/>
      <c r="J3" s="2389"/>
      <c r="K3" s="2389"/>
      <c r="L3" s="2389"/>
    </row>
    <row r="4" spans="1:29" ht="13.5" customHeight="1" x14ac:dyDescent="0.2">
      <c r="A4" s="2403" t="s">
        <v>1989</v>
      </c>
      <c r="B4" s="2420"/>
      <c r="C4" s="2420"/>
      <c r="D4" s="2420"/>
      <c r="E4" s="2420"/>
      <c r="F4" s="2420"/>
      <c r="G4" s="2420"/>
      <c r="H4" s="2420"/>
      <c r="I4" s="2420"/>
      <c r="J4" s="2420"/>
      <c r="K4" s="2420"/>
      <c r="L4" s="2420"/>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3" t="str">
        <f>COVER!A17</f>
        <v>Griggsville-Perry CUSD 4</v>
      </c>
      <c r="B7" s="2384"/>
      <c r="C7" s="2384"/>
      <c r="D7" s="2421"/>
      <c r="E7" s="2422">
        <f>COVER!A13</f>
        <v>1075004026</v>
      </c>
      <c r="F7" s="2423"/>
      <c r="G7" s="2390" t="str">
        <f>COVER!T23</f>
        <v>066-004993</v>
      </c>
      <c r="H7" s="2391"/>
      <c r="I7" s="2391"/>
      <c r="J7" s="2391"/>
      <c r="K7" s="2391"/>
      <c r="L7" s="239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3"/>
      <c r="B9" s="2394"/>
      <c r="C9" s="2394"/>
      <c r="D9" s="2394"/>
      <c r="E9" s="2394"/>
      <c r="F9" s="2395"/>
      <c r="G9" s="2396" t="str">
        <f>COVER!T13</f>
        <v>Zumbahlen, Eyth, Surratt, Foote &amp; Flynn, Ltd.</v>
      </c>
      <c r="H9" s="2397"/>
      <c r="I9" s="2397"/>
      <c r="J9" s="2397"/>
      <c r="K9" s="2397"/>
      <c r="L9" s="2398"/>
    </row>
    <row r="10" spans="1:29" ht="13.5" customHeight="1" x14ac:dyDescent="0.2">
      <c r="A10" s="2380" t="str">
        <f>COVER!A38</f>
        <v>Kent Hawley</v>
      </c>
      <c r="B10" s="2381"/>
      <c r="C10" s="2381"/>
      <c r="D10" s="2381"/>
      <c r="E10" s="2381"/>
      <c r="F10" s="2382"/>
      <c r="G10" s="2396" t="str">
        <f>COVER!T17</f>
        <v>1395 Lincoln Ave</v>
      </c>
      <c r="H10" s="2409"/>
      <c r="I10" s="2409"/>
      <c r="J10" s="2409"/>
      <c r="K10" s="2409"/>
      <c r="L10" s="2410"/>
    </row>
    <row r="11" spans="1:29" ht="13.5" customHeight="1" x14ac:dyDescent="0.2">
      <c r="A11" s="1184" t="s">
        <v>1519</v>
      </c>
      <c r="B11" s="1185"/>
      <c r="C11" s="1186"/>
      <c r="D11" s="1191"/>
      <c r="E11" s="1186"/>
      <c r="F11" s="1190"/>
      <c r="G11" s="2396" t="str">
        <f>COVER!T19</f>
        <v>Jacksonville</v>
      </c>
      <c r="H11" s="2409"/>
      <c r="I11" s="2409"/>
      <c r="J11" s="2409"/>
      <c r="K11" s="2409"/>
      <c r="L11" s="2410"/>
    </row>
    <row r="12" spans="1:29" ht="13.5" customHeight="1" x14ac:dyDescent="0.2">
      <c r="A12" s="2414" t="s">
        <v>1518</v>
      </c>
      <c r="B12" s="2415"/>
      <c r="C12" s="2415"/>
      <c r="D12" s="2415"/>
      <c r="E12" s="2415"/>
      <c r="F12" s="2416"/>
      <c r="G12" s="2411"/>
      <c r="H12" s="2412"/>
      <c r="I12" s="2412"/>
      <c r="J12" s="2412"/>
      <c r="K12" s="2412"/>
      <c r="L12" s="2413"/>
    </row>
    <row r="13" spans="1:29" ht="13.5" customHeight="1" x14ac:dyDescent="0.2">
      <c r="A13" s="2396"/>
      <c r="B13" s="2409"/>
      <c r="C13" s="2409"/>
      <c r="D13" s="2409"/>
      <c r="E13" s="2409"/>
      <c r="F13" s="2410"/>
      <c r="G13" s="2404" t="s">
        <v>1520</v>
      </c>
      <c r="H13" s="2405"/>
      <c r="I13" s="2417" t="str">
        <f>COVER!T25</f>
        <v>ssteckel@zescpa.com</v>
      </c>
      <c r="J13" s="2418"/>
      <c r="K13" s="2418"/>
      <c r="L13" s="2419"/>
    </row>
    <row r="14" spans="1:29" ht="13.5" customHeight="1" x14ac:dyDescent="0.2">
      <c r="A14" s="2396" t="str">
        <f>COVER!A19</f>
        <v>P.O. Box 439</v>
      </c>
      <c r="B14" s="2409"/>
      <c r="C14" s="2409"/>
      <c r="D14" s="2409"/>
      <c r="E14" s="2409"/>
      <c r="F14" s="2410"/>
      <c r="G14" s="1195" t="s">
        <v>1185</v>
      </c>
      <c r="H14" s="1193"/>
      <c r="I14" s="1193"/>
      <c r="J14" s="1193"/>
      <c r="K14" s="1193"/>
      <c r="L14" s="1194"/>
    </row>
    <row r="15" spans="1:29" ht="13.5" customHeight="1" x14ac:dyDescent="0.2">
      <c r="A15" s="2396" t="str">
        <f>COVER!A21</f>
        <v xml:space="preserve">Griggsville   </v>
      </c>
      <c r="B15" s="2409"/>
      <c r="C15" s="2409"/>
      <c r="D15" s="2409"/>
      <c r="E15" s="2409"/>
      <c r="F15" s="2410"/>
      <c r="G15" s="2406" t="str">
        <f>COVER!T15</f>
        <v>Suzanne Steckel</v>
      </c>
      <c r="H15" s="2407"/>
      <c r="I15" s="2407"/>
      <c r="J15" s="2407"/>
      <c r="K15" s="2407"/>
      <c r="L15" s="2408"/>
    </row>
    <row r="16" spans="1:29" ht="12.2" customHeight="1" x14ac:dyDescent="0.2">
      <c r="A16" s="2386">
        <f>COVER!A25</f>
        <v>62340</v>
      </c>
      <c r="B16" s="2387"/>
      <c r="C16" s="2387"/>
      <c r="D16" s="2387"/>
      <c r="E16" s="2387"/>
      <c r="F16" s="2388"/>
      <c r="G16" s="2399"/>
      <c r="H16" s="2400"/>
      <c r="I16" s="2400"/>
      <c r="J16" s="2400"/>
      <c r="K16" s="2400"/>
      <c r="L16" s="2401"/>
    </row>
    <row r="17" spans="1:13" ht="12.2" customHeight="1" x14ac:dyDescent="0.2">
      <c r="A17" s="2402"/>
      <c r="B17" s="2387"/>
      <c r="C17" s="2387"/>
      <c r="D17" s="2387"/>
      <c r="E17" s="2387"/>
      <c r="F17" s="2388"/>
      <c r="G17" s="1195" t="s">
        <v>1184</v>
      </c>
      <c r="H17" s="1193"/>
      <c r="I17" s="1193"/>
      <c r="J17" s="1193"/>
      <c r="K17" s="1197" t="s">
        <v>1183</v>
      </c>
      <c r="L17" s="1190"/>
      <c r="M17" s="1183"/>
    </row>
    <row r="18" spans="1:13" ht="12.2" customHeight="1" x14ac:dyDescent="0.2">
      <c r="A18" s="2380"/>
      <c r="B18" s="2381"/>
      <c r="C18" s="2381"/>
      <c r="D18" s="2381"/>
      <c r="E18" s="2381"/>
      <c r="F18" s="2382"/>
      <c r="G18" s="2383" t="str">
        <f>COVER!T21</f>
        <v>217-245-5121</v>
      </c>
      <c r="H18" s="2384"/>
      <c r="I18" s="2384"/>
      <c r="J18" s="2384"/>
      <c r="K18" s="2383" t="str">
        <f>COVER!X21</f>
        <v>217-243-3356</v>
      </c>
      <c r="L18" s="238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Griggsville-Perry CUSD 4</v>
      </c>
      <c r="B1" s="2420"/>
      <c r="C1" s="2420"/>
      <c r="D1" s="2420"/>
    </row>
    <row r="2" spans="1:11" s="1212" customFormat="1" ht="12.75" x14ac:dyDescent="0.2">
      <c r="A2" s="2425">
        <f>'Single Audit Cover'!E7</f>
        <v>1075004026</v>
      </c>
      <c r="B2" s="2426"/>
      <c r="C2" s="2426"/>
      <c r="D2" s="2426"/>
    </row>
    <row r="3" spans="1:11" s="1212" customFormat="1" ht="12.75" x14ac:dyDescent="0.2">
      <c r="A3" s="2424" t="s">
        <v>1513</v>
      </c>
      <c r="B3" s="2420"/>
      <c r="C3" s="2420"/>
      <c r="D3" s="2420"/>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Griggsville-Perry CUSD 4</v>
      </c>
      <c r="B1" s="2428"/>
      <c r="C1" s="2428"/>
      <c r="D1" s="2428"/>
      <c r="E1" s="2428"/>
    </row>
    <row r="2" spans="1:5" x14ac:dyDescent="0.2">
      <c r="A2" s="2429">
        <f>'Single Audit Cover'!E7</f>
        <v>1075004026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437316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13466</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-26942</v>
      </c>
    </row>
    <row r="19" spans="1:4" ht="13.5" thickBot="1" x14ac:dyDescent="0.25">
      <c r="A19" s="1262" t="s">
        <v>1235</v>
      </c>
      <c r="D19" s="1263">
        <f>SUM(D10:D17)</f>
        <v>423840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423840</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423840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9" t="str">
        <f>'Single Audit Cover'!A7</f>
        <v>Griggsville-Perry CUSD 4</v>
      </c>
      <c r="C1" s="2432"/>
      <c r="D1" s="2432"/>
      <c r="E1" s="2432"/>
      <c r="F1" s="2432"/>
      <c r="G1" s="2432"/>
      <c r="H1" s="2432"/>
      <c r="I1" s="2432"/>
      <c r="J1" s="2432"/>
      <c r="K1" s="2432"/>
      <c r="L1" s="2432"/>
      <c r="M1" s="2432"/>
    </row>
    <row r="2" spans="2:14" ht="15" x14ac:dyDescent="0.2">
      <c r="B2" s="2433">
        <f>'Single Audit Cover'!E7</f>
        <v>1075004026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7" t="str">
        <f>'Single Audit Cover'!A7</f>
        <v>Griggsville-Perry CUSD 4</v>
      </c>
      <c r="B1" s="2437"/>
      <c r="C1" s="2437"/>
      <c r="D1" s="2437"/>
      <c r="E1" s="2437"/>
      <c r="F1" s="2437"/>
    </row>
    <row r="2" spans="1:7" ht="13.5" customHeight="1" x14ac:dyDescent="0.2">
      <c r="A2" s="2433">
        <f>'Single Audit Cover'!E7</f>
        <v>1075004026</v>
      </c>
      <c r="B2" s="2433"/>
      <c r="C2" s="2433"/>
      <c r="D2" s="2433"/>
      <c r="E2" s="2433"/>
      <c r="F2" s="2433"/>
      <c r="G2" s="1272"/>
    </row>
    <row r="3" spans="1:7" ht="15.75" customHeight="1" x14ac:dyDescent="0.2">
      <c r="A3" s="2438" t="s">
        <v>1271</v>
      </c>
      <c r="B3" s="2438"/>
      <c r="C3" s="2438"/>
      <c r="D3" s="2438"/>
      <c r="E3" s="2438"/>
      <c r="F3" s="2438"/>
    </row>
    <row r="4" spans="1:7" ht="13.5" customHeight="1" x14ac:dyDescent="0.2">
      <c r="A4" s="2439" t="str">
        <f>'Single Audit Cover'!A4</f>
        <v>Year Ending June 30, 2019</v>
      </c>
      <c r="B4" s="2439"/>
      <c r="C4" s="2439"/>
      <c r="D4" s="2439"/>
      <c r="E4" s="2439"/>
      <c r="F4" s="2439"/>
    </row>
    <row r="5" spans="1:7" ht="8.25" customHeight="1" x14ac:dyDescent="0.2">
      <c r="C5" s="317"/>
      <c r="D5" s="317"/>
    </row>
    <row r="6" spans="1:7" ht="13.5" customHeight="1" x14ac:dyDescent="0.2">
      <c r="A6" s="1273" t="s">
        <v>1728</v>
      </c>
      <c r="C6" s="317"/>
      <c r="D6" s="317"/>
    </row>
    <row r="7" spans="1:7" ht="60.95" customHeight="1" x14ac:dyDescent="0.2">
      <c r="A7" s="2436" t="s">
        <v>1729</v>
      </c>
      <c r="B7" s="2436"/>
      <c r="C7" s="2436"/>
      <c r="D7" s="2436"/>
      <c r="E7" s="2436"/>
      <c r="F7" s="2436"/>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6" t="s">
        <v>1731</v>
      </c>
      <c r="B13" s="2436"/>
      <c r="C13" s="2436"/>
      <c r="D13" s="2436"/>
      <c r="E13" s="2436"/>
      <c r="F13" s="2436"/>
    </row>
    <row r="14" spans="1:7" ht="9.75" customHeight="1" x14ac:dyDescent="0.2">
      <c r="C14" s="1257"/>
      <c r="D14" s="1257"/>
    </row>
    <row r="15" spans="1:7" ht="13.5" customHeight="1" x14ac:dyDescent="0.2">
      <c r="C15" s="1846" t="s">
        <v>1270</v>
      </c>
      <c r="D15" s="2441" t="s">
        <v>1269</v>
      </c>
      <c r="E15" s="2441"/>
      <c r="F15" s="2441"/>
    </row>
    <row r="16" spans="1:7" ht="13.5" customHeight="1" x14ac:dyDescent="0.2">
      <c r="A16" s="1279"/>
      <c r="B16" s="1273" t="s">
        <v>1268</v>
      </c>
      <c r="C16" s="1846" t="s">
        <v>1267</v>
      </c>
      <c r="D16" s="2442" t="s">
        <v>1588</v>
      </c>
      <c r="E16" s="2442"/>
      <c r="F16" s="2442"/>
    </row>
    <row r="17" spans="1:6" ht="20.45" customHeight="1" x14ac:dyDescent="0.2">
      <c r="A17" s="1280"/>
      <c r="B17" s="1281"/>
      <c r="C17" s="1282"/>
      <c r="D17" s="2440"/>
      <c r="E17" s="2440"/>
      <c r="F17" s="2440"/>
    </row>
    <row r="18" spans="1:6" ht="20.65" customHeight="1" x14ac:dyDescent="0.2">
      <c r="A18" s="1280"/>
      <c r="B18" s="1281"/>
      <c r="C18" s="1282"/>
      <c r="D18" s="2440"/>
      <c r="E18" s="2440"/>
      <c r="F18" s="2440"/>
    </row>
    <row r="19" spans="1:6" ht="20.65" customHeight="1" x14ac:dyDescent="0.2">
      <c r="A19" s="1280"/>
      <c r="B19" s="1281"/>
      <c r="C19" s="1282"/>
      <c r="D19" s="2440"/>
      <c r="E19" s="2440"/>
      <c r="F19" s="2440"/>
    </row>
    <row r="20" spans="1:6" ht="20.65" customHeight="1" x14ac:dyDescent="0.2">
      <c r="A20" s="1280"/>
      <c r="B20" s="1281"/>
      <c r="C20" s="1282"/>
      <c r="D20" s="2440"/>
      <c r="E20" s="2440"/>
      <c r="F20" s="2440"/>
    </row>
    <row r="21" spans="1:6" ht="20.65" customHeight="1" x14ac:dyDescent="0.2">
      <c r="A21" s="1280"/>
      <c r="B21" s="1281"/>
      <c r="C21" s="1282"/>
      <c r="D21" s="2440"/>
      <c r="E21" s="2440"/>
      <c r="F21" s="2440"/>
    </row>
    <row r="22" spans="1:6" ht="20.65" customHeight="1" x14ac:dyDescent="0.2">
      <c r="A22" s="1280"/>
      <c r="B22" s="1281"/>
      <c r="C22" s="1282"/>
      <c r="D22" s="2440"/>
      <c r="E22" s="2440"/>
      <c r="F22" s="2440"/>
    </row>
    <row r="23" spans="1:6" ht="20.65" customHeight="1" x14ac:dyDescent="0.2">
      <c r="A23" s="1280"/>
      <c r="B23" s="1281"/>
      <c r="C23" s="1282"/>
      <c r="D23" s="2440"/>
      <c r="E23" s="2440"/>
      <c r="F23" s="2440"/>
    </row>
    <row r="24" spans="1:6" ht="20.65" customHeight="1" x14ac:dyDescent="0.2">
      <c r="A24" s="1280"/>
      <c r="B24" s="1281"/>
      <c r="C24" s="1282"/>
      <c r="D24" s="2440"/>
      <c r="E24" s="2440"/>
      <c r="F24" s="2440"/>
    </row>
    <row r="25" spans="1:6" ht="20.65" customHeight="1" x14ac:dyDescent="0.2">
      <c r="A25" s="1280"/>
      <c r="B25" s="1281"/>
      <c r="C25" s="1282"/>
      <c r="D25" s="2440"/>
      <c r="E25" s="2440"/>
      <c r="F25" s="2440"/>
    </row>
    <row r="26" spans="1:6" ht="20.65" customHeight="1" x14ac:dyDescent="0.2">
      <c r="A26" s="1280"/>
      <c r="B26" s="1281"/>
      <c r="C26" s="1282"/>
      <c r="D26" s="2440"/>
      <c r="E26" s="2440"/>
      <c r="F26" s="2440"/>
    </row>
    <row r="27" spans="1:6" ht="20.65" customHeight="1" x14ac:dyDescent="0.2">
      <c r="A27" s="1280"/>
      <c r="B27" s="1281"/>
      <c r="C27" s="1282"/>
      <c r="D27" s="2440"/>
      <c r="E27" s="2440"/>
      <c r="F27" s="2440"/>
    </row>
    <row r="28" spans="1:6" ht="20.65" customHeight="1" x14ac:dyDescent="0.2">
      <c r="A28" s="1280"/>
      <c r="B28" s="1281"/>
      <c r="C28" s="1282"/>
      <c r="D28" s="2440"/>
      <c r="E28" s="2440"/>
      <c r="F28" s="2440"/>
    </row>
    <row r="29" spans="1:6" ht="20.65" customHeight="1" x14ac:dyDescent="0.2">
      <c r="A29" s="1280"/>
      <c r="B29" s="1281"/>
      <c r="C29" s="1282"/>
      <c r="D29" s="2440"/>
      <c r="E29" s="2440"/>
      <c r="F29" s="2440"/>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4" t="s">
        <v>1732</v>
      </c>
      <c r="B32" s="2444"/>
      <c r="C32" s="2444"/>
      <c r="D32" s="2444"/>
      <c r="E32" s="2444"/>
      <c r="F32" s="2444"/>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5">
        <f>+C33+C34</f>
        <v>0</v>
      </c>
      <c r="F34" s="2446"/>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7" t="s">
        <v>1590</v>
      </c>
      <c r="C49" s="2447"/>
      <c r="D49" s="2447"/>
      <c r="E49" s="1396"/>
    </row>
    <row r="50" spans="1:5" s="1297" customFormat="1" ht="3.75" customHeight="1" x14ac:dyDescent="0.2">
      <c r="A50" s="1296"/>
      <c r="B50" s="1845"/>
      <c r="C50" s="1845"/>
      <c r="D50" s="1845"/>
      <c r="E50" s="1396"/>
    </row>
    <row r="51" spans="1:5" s="1297" customFormat="1" ht="20.25" customHeight="1" x14ac:dyDescent="0.2">
      <c r="A51" s="1298">
        <v>6</v>
      </c>
      <c r="B51" s="2443" t="s">
        <v>1551</v>
      </c>
      <c r="C51" s="2443"/>
      <c r="D51" s="2443"/>
    </row>
    <row r="52" spans="1:5" ht="14.25" customHeight="1" x14ac:dyDescent="0.2">
      <c r="A52" s="1298"/>
      <c r="B52" s="2443"/>
      <c r="C52" s="2443"/>
      <c r="D52" s="2443"/>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2" t="str">
        <f>'Single Audit Cover'!A7</f>
        <v>Griggsville-Perry CUSD 4</v>
      </c>
      <c r="C1" s="2453"/>
      <c r="D1" s="2453"/>
      <c r="E1" s="2453"/>
      <c r="F1" s="2453"/>
      <c r="G1" s="2453"/>
      <c r="H1" s="2453"/>
      <c r="I1" s="2453"/>
      <c r="J1" s="1406"/>
    </row>
    <row r="2" spans="2:10" s="317" customFormat="1" ht="12.75" customHeight="1" x14ac:dyDescent="0.2">
      <c r="B2" s="2454">
        <f>'Single Audit Cover'!E7</f>
        <v>1075004026</v>
      </c>
      <c r="C2" s="2455"/>
      <c r="D2" s="2455"/>
      <c r="E2" s="2455"/>
      <c r="F2" s="2455"/>
      <c r="G2" s="2455"/>
      <c r="H2" s="2455"/>
      <c r="I2" s="2455"/>
      <c r="J2" s="1406"/>
    </row>
    <row r="3" spans="2:10" s="317" customFormat="1" ht="12.75" customHeight="1" x14ac:dyDescent="0.2">
      <c r="B3" s="2456" t="s">
        <v>1285</v>
      </c>
      <c r="C3" s="2457"/>
      <c r="D3" s="2457"/>
      <c r="E3" s="2457"/>
      <c r="F3" s="2457"/>
      <c r="G3" s="2457"/>
      <c r="H3" s="2457"/>
      <c r="I3" s="2457"/>
      <c r="J3" s="1407"/>
    </row>
    <row r="4" spans="2:10" s="317" customFormat="1" ht="12.75" customHeight="1" x14ac:dyDescent="0.2">
      <c r="B4" s="2456" t="str">
        <f>'Single Audit Cover'!A4</f>
        <v>Year Ending June 30, 2019</v>
      </c>
      <c r="C4" s="2457"/>
      <c r="D4" s="2457"/>
      <c r="E4" s="2457"/>
      <c r="F4" s="2457"/>
      <c r="G4" s="2457"/>
      <c r="H4" s="2457"/>
      <c r="I4" s="2457"/>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6" t="s">
        <v>1284</v>
      </c>
      <c r="C7" s="2457"/>
      <c r="D7" s="2457"/>
      <c r="E7" s="2457"/>
      <c r="F7" s="2457"/>
      <c r="G7" s="2457"/>
      <c r="H7" s="2457"/>
      <c r="I7" s="2457"/>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8"/>
      <c r="D11" s="2458"/>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9"/>
      <c r="E29" s="2459"/>
      <c r="F29" s="2459"/>
      <c r="G29" s="2459"/>
      <c r="H29" s="2459"/>
      <c r="I29" s="2459"/>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0" t="s">
        <v>1751</v>
      </c>
      <c r="D37" s="2461"/>
      <c r="E37" s="2461"/>
      <c r="F37" s="2462"/>
      <c r="G37" s="2460" t="s">
        <v>1592</v>
      </c>
      <c r="H37" s="2461"/>
      <c r="I37" s="2462"/>
    </row>
    <row r="38" spans="2:9" ht="16.5" customHeight="1" x14ac:dyDescent="0.2">
      <c r="B38" s="1428"/>
      <c r="C38" s="2448"/>
      <c r="D38" s="2449"/>
      <c r="E38" s="2449"/>
      <c r="F38" s="2450"/>
      <c r="G38" s="2463"/>
      <c r="H38" s="2464"/>
      <c r="I38" s="2465"/>
    </row>
    <row r="39" spans="2:9" ht="16.5" customHeight="1" x14ac:dyDescent="0.2">
      <c r="B39" s="1428"/>
      <c r="C39" s="2448"/>
      <c r="D39" s="2449"/>
      <c r="E39" s="2449"/>
      <c r="F39" s="2450"/>
      <c r="G39" s="2451"/>
      <c r="H39" s="2451"/>
      <c r="I39" s="2451"/>
    </row>
    <row r="40" spans="2:9" ht="16.5" customHeight="1" x14ac:dyDescent="0.2">
      <c r="B40" s="1428"/>
      <c r="C40" s="2448"/>
      <c r="D40" s="2449"/>
      <c r="E40" s="2449"/>
      <c r="F40" s="2450"/>
      <c r="G40" s="2451"/>
      <c r="H40" s="2451"/>
      <c r="I40" s="2451"/>
    </row>
    <row r="41" spans="2:9" ht="16.5" customHeight="1" x14ac:dyDescent="0.2">
      <c r="B41" s="1428"/>
      <c r="C41" s="2448"/>
      <c r="D41" s="2449"/>
      <c r="E41" s="2449"/>
      <c r="F41" s="2450"/>
      <c r="G41" s="2451"/>
      <c r="H41" s="2451"/>
      <c r="I41" s="2451"/>
    </row>
    <row r="42" spans="2:9" ht="16.5" customHeight="1" x14ac:dyDescent="0.2">
      <c r="B42" s="1428"/>
      <c r="C42" s="2448"/>
      <c r="D42" s="2449"/>
      <c r="E42" s="2449"/>
      <c r="F42" s="2450"/>
      <c r="G42" s="2451"/>
      <c r="H42" s="2451"/>
      <c r="I42" s="2451"/>
    </row>
    <row r="43" spans="2:9" ht="16.5" customHeight="1" x14ac:dyDescent="0.2">
      <c r="B43" s="1428"/>
      <c r="C43" s="2466" t="s">
        <v>1593</v>
      </c>
      <c r="D43" s="2467"/>
      <c r="E43" s="2467"/>
      <c r="F43" s="2468"/>
      <c r="G43" s="2469">
        <f>SUM(G38:I42)</f>
        <v>0</v>
      </c>
      <c r="H43" s="2469"/>
      <c r="I43" s="2469"/>
    </row>
    <row r="44" spans="2:9" ht="12.75" customHeight="1" x14ac:dyDescent="0.2"/>
    <row r="45" spans="2:9" ht="12.75" customHeight="1" x14ac:dyDescent="0.2">
      <c r="B45" s="1419" t="s">
        <v>1841</v>
      </c>
      <c r="D45" s="2470">
        <v>0</v>
      </c>
      <c r="E45" s="2471"/>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2"/>
      <c r="F49" s="2472"/>
      <c r="G49" s="2472"/>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2" t="str">
        <f>'Single Audit Cover'!A7</f>
        <v>Griggsville-Perry CUSD 4</v>
      </c>
      <c r="C1" s="2452"/>
      <c r="D1" s="2452"/>
      <c r="E1" s="2452"/>
      <c r="F1" s="2452"/>
      <c r="G1" s="2452"/>
      <c r="H1" s="2452"/>
      <c r="I1" s="2452"/>
      <c r="J1" s="2452"/>
      <c r="K1" s="2452"/>
      <c r="L1" s="1371"/>
      <c r="M1" s="1371"/>
    </row>
    <row r="2" spans="1:13" ht="12" customHeight="1" x14ac:dyDescent="0.2">
      <c r="B2" s="2454">
        <f>'Single Audit Cover'!E7</f>
        <v>1075004026</v>
      </c>
      <c r="C2" s="2454"/>
      <c r="D2" s="2454"/>
      <c r="E2" s="2454"/>
      <c r="F2" s="2454"/>
      <c r="G2" s="2454"/>
      <c r="H2" s="2454"/>
      <c r="I2" s="2454"/>
      <c r="J2" s="2454"/>
      <c r="K2" s="2454"/>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9" t="str">
        <f>'Single Audit Cover'!A7</f>
        <v>Griggsville-Perry CUSD 4</v>
      </c>
      <c r="C1" s="2479"/>
      <c r="D1" s="2479"/>
      <c r="E1" s="2479"/>
      <c r="F1" s="2479"/>
      <c r="G1" s="2479"/>
      <c r="H1" s="2479"/>
      <c r="I1" s="2479"/>
      <c r="J1" s="2479"/>
      <c r="K1" s="2479"/>
      <c r="L1" s="1449"/>
    </row>
    <row r="2" spans="1:12" ht="12.75" customHeight="1" x14ac:dyDescent="0.2">
      <c r="B2" s="2480">
        <f>'Single Audit Cover'!E7</f>
        <v>1075004026</v>
      </c>
      <c r="C2" s="2480"/>
      <c r="D2" s="2480"/>
      <c r="E2" s="2480"/>
      <c r="F2" s="2480"/>
      <c r="G2" s="2480"/>
      <c r="H2" s="2480"/>
      <c r="I2" s="2480"/>
      <c r="J2" s="2480"/>
      <c r="K2" s="2480"/>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1" t="s">
        <v>1308</v>
      </c>
      <c r="C6" s="2481"/>
      <c r="D6" s="2481"/>
      <c r="E6" s="2481"/>
      <c r="F6" s="2481"/>
      <c r="G6" s="2481"/>
      <c r="H6" s="2481"/>
      <c r="I6" s="2481"/>
      <c r="J6" s="2481"/>
      <c r="K6" s="2481"/>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9"/>
      <c r="G12" s="2459"/>
      <c r="H12" s="2459"/>
      <c r="I12" s="2459"/>
      <c r="J12" s="2459"/>
      <c r="K12" s="245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2"/>
      <c r="E14" s="2482"/>
      <c r="F14" s="2482"/>
      <c r="H14" s="1459" t="s">
        <v>1303</v>
      </c>
      <c r="I14" s="2483"/>
      <c r="J14" s="2483"/>
      <c r="K14" s="248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3"/>
      <c r="E16" s="2483"/>
      <c r="F16" s="2483"/>
      <c r="G16" s="2483"/>
      <c r="H16" s="2483"/>
      <c r="I16" s="2483"/>
      <c r="J16" s="2483"/>
      <c r="K16" s="2483"/>
      <c r="L16" s="322"/>
    </row>
    <row r="17" spans="2:12" ht="13.5" customHeight="1" x14ac:dyDescent="0.2">
      <c r="B17" s="1384" t="s">
        <v>1301</v>
      </c>
      <c r="C17" s="1384"/>
      <c r="D17" s="2484"/>
      <c r="E17" s="2484"/>
      <c r="F17" s="2484"/>
      <c r="G17" s="2484"/>
      <c r="H17" s="2484"/>
      <c r="I17" s="2484"/>
      <c r="J17" s="2484"/>
      <c r="K17" s="248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2" t="str">
        <f>'Single Audit Cover'!A7</f>
        <v>Griggsville-Perry CUSD 4</v>
      </c>
      <c r="C1" s="2452"/>
      <c r="D1" s="2452"/>
      <c r="E1" s="1469"/>
    </row>
    <row r="2" spans="2:5" s="1279" customFormat="1" ht="12.75" customHeight="1" x14ac:dyDescent="0.2">
      <c r="B2" s="2454">
        <f>'Single Audit Cover'!E7</f>
        <v>1075004026</v>
      </c>
      <c r="C2" s="2454"/>
      <c r="D2" s="2454"/>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2006/documentManagement/types"/>
    <ds:schemaRef ds:uri="http://purl.org/dc/dcmitype/"/>
    <ds:schemaRef ds:uri="http://schemas.microsoft.com/sharepoint/v3"/>
    <ds:schemaRef ds:uri="http://schemas.microsoft.com/office/infopath/2007/PartnerControls"/>
    <ds:schemaRef ds:uri="6ce3111e-7420-4802-b50a-75d4e9a0b980"/>
    <ds:schemaRef ds:uri="http://purl.org/dc/elements/1.1/"/>
    <ds:schemaRef ds:uri="http://www.w3.org/XML/1998/namespace"/>
    <ds:schemaRef ds:uri="4d435f69-8686-490b-bd6d-b153bf22ab50"/>
    <ds:schemaRef ds:uri="d21dc803-237d-4c68-8692-8d731fd29118"/>
    <ds:schemaRef ds:uri="http://schemas.microsoft.com/office/2006/metadata/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HEMBERGER MICHELLE</cp:lastModifiedBy>
  <cp:lastPrinted>2019-09-16T16:29:26Z</cp:lastPrinted>
  <dcterms:created xsi:type="dcterms:W3CDTF">2003-10-29T19:06:34Z</dcterms:created>
  <dcterms:modified xsi:type="dcterms:W3CDTF">2019-10-29T14:14:25Z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