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1DD2D54-D305-4D45-9BC8-493E49BEB86A}" xr6:coauthVersionLast="36" xr6:coauthVersionMax="36" xr10:uidLastSave="{00000000-0000-0000-0000-000000000000}"/>
  <bookViews>
    <workbookView xWindow="-120" yWindow="-12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15">'ICR Computation 30'!$A$1:$H$46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E182" i="29" l="1"/>
  <c r="F18" i="181"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E22" i="181"/>
  <c r="E21" i="181"/>
  <c r="E20" i="181"/>
  <c r="F20" i="181" s="1"/>
  <c r="E19" i="181"/>
  <c r="F19" i="181" s="1"/>
  <c r="F23" i="181" l="1"/>
  <c r="G23" i="181" s="1"/>
  <c r="F22" i="181"/>
  <c r="G22" i="181" s="1"/>
  <c r="F21" i="181"/>
  <c r="G21" i="181" s="1"/>
  <c r="G44" i="18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H342" i="29" l="1"/>
  <c r="F34" i="34"/>
  <c r="C342" i="29"/>
  <c r="B7216" i="106" s="1"/>
  <c r="D7216" i="106" s="1"/>
  <c r="K184" i="29"/>
  <c r="F13" i="4" s="1"/>
  <c r="B2596" i="106" s="1"/>
  <c r="D2596" i="106" s="1"/>
  <c r="L13" i="11"/>
  <c r="B2060" i="106" s="1"/>
  <c r="D2060" i="106" s="1"/>
  <c r="H365" i="29"/>
  <c r="B7242" i="106" s="1"/>
  <c r="D7242" i="106" s="1"/>
  <c r="L367" i="29"/>
  <c r="J352" i="29"/>
  <c r="J367" i="29" s="1"/>
  <c r="B7245" i="106" s="1"/>
  <c r="D7245" i="106" s="1"/>
  <c r="F50" i="34"/>
  <c r="J210" i="29"/>
  <c r="B7072" i="106" s="1"/>
  <c r="D7072" i="106" s="1"/>
  <c r="B3647" i="106"/>
  <c r="D3647" i="106" s="1"/>
  <c r="C352" i="29"/>
  <c r="B3621" i="106" s="1"/>
  <c r="D3621" i="106" s="1"/>
  <c r="G15" i="145"/>
  <c r="I210" i="29"/>
  <c r="B7071" i="106" s="1"/>
  <c r="D7071" i="106" s="1"/>
  <c r="G210" i="29"/>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81" i="106" l="1"/>
  <c r="D1381" i="106" s="1"/>
  <c r="C114" i="29"/>
  <c r="B757" i="106" s="1"/>
  <c r="D757" i="106" s="1"/>
  <c r="B1365" i="106"/>
  <c r="D1365" i="106" s="1"/>
  <c r="F65" i="34"/>
  <c r="B4435" i="106"/>
  <c r="D4435" i="106" s="1"/>
  <c r="D44" i="36"/>
  <c r="D7256" i="106"/>
  <c r="L16" i="11"/>
  <c r="B2061" i="106" s="1"/>
  <c r="D2061" i="106" s="1"/>
  <c r="D41" i="108"/>
  <c r="E43" i="108" s="1"/>
  <c r="G6" i="4"/>
  <c r="B2604" i="106" s="1"/>
  <c r="D2604" i="106" s="1"/>
  <c r="D7254" i="106"/>
  <c r="L114" i="29"/>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0" i="4"/>
  <c r="B6225" i="106" s="1"/>
  <c r="D6225" i="106" s="1"/>
  <c r="D8" i="146"/>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<sst xmlns="http://schemas.openxmlformats.org/spreadsheetml/2006/main" count="5081" uniqueCount="2101">
  <si>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</si>
  <si>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</si>
  <si>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</si>
  <si>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</si>
  <si>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</si>
  <si>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</si>
  <si>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</si>
  <si>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</si>
  <si>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</si>
  <si>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</si>
  <si>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</si>
  <si>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</si>
  <si>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</si>
  <si>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</si>
  <si>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</si>
  <si>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</si>
  <si>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</si>
  <si>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</si>
  <si>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</si>
  <si>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</si>
  <si>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</si>
  <si>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</si>
  <si>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</si>
  <si>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</si>
  <si>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</si>
  <si>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</si>
  <si>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</si>
  <si>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</si>
  <si>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</si>
  <si>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</si>
  <si>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</si>
  <si>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</si>
  <si>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</si>
  <si>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</si>
  <si>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</si>
  <si>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</si>
  <si>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</si>
  <si>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</si>
  <si>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</si>
  <si>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</si>
  <si>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</si>
  <si>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</si>
  <si>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</si>
  <si>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</si>
  <si>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</si>
  <si>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</si>
  <si>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</si>
  <si>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</si>
  <si>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</si>
  <si>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</si>
  <si>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</si>
  <si>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</si>
  <si>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</si>
  <si>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</si>
  <si>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</si>
  <si>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</si>
  <si>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</si>
  <si>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</si>
  <si>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</si>
  <si>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</si>
  <si>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</si>
  <si>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</si>
  <si>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</si>
  <si>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</si>
  <si>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</si>
  <si>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</si>
  <si>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</si>
  <si>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</si>
  <si>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</si>
  <si>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</si>
  <si>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</si>
  <si>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</si>
  <si>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</si>
  <si>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</si>
  <si>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</si>
  <si>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</si>
  <si>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</si>
  <si>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</si>
  <si>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</si>
  <si>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</si>
  <si>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</si>
  <si>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</si>
  <si>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</si>
  <si>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</si>
  <si>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</si>
  <si>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</si>
  <si>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</si>
  <si>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</si>
  <si>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</si>
  <si>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</si>
  <si>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</si>
  <si>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</si>
  <si>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</si>
  <si>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</si>
  <si>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</si>
  <si>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</si>
  <si>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</si>
  <si>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</si>
  <si>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</si>
  <si>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</si>
  <si>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</si>
  <si>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</si>
  <si>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</si>
  <si>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</si>
  <si>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</si>
  <si>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</si>
  <si>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</si>
  <si>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</si>
  <si>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</si>
  <si>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</si>
  <si>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</si>
  <si>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</si>
  <si>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</si>
  <si>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</si>
  <si>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</si>
  <si>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</si>
  <si>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</si>
  <si>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</si>
  <si>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</si>
  <si>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</si>
  <si>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</si>
  <si>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</si>
  <si>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</si>
  <si>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</si>
  <si>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</si>
  <si>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</si>
  <si>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</si>
  <si>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</si>
  <si>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</si>
  <si>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</si>
  <si>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</si>
  <si>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</si>
  <si>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</si>
  <si>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</si>
  <si>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</si>
  <si>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</si>
  <si>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</si>
  <si>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</si>
  <si>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</si>
  <si>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</si>
  <si>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</si>
  <si>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</si>
  <si>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</si>
  <si>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</si>
  <si>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</si>
  <si>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</si>
  <si>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</si>
  <si>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</si>
  <si>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</si>
  <si>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</si>
  <si>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</si>
  <si>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</si>
  <si>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</si>
  <si>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</si>
  <si>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</si>
  <si>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</si>
  <si>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</si>
  <si>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</si>
  <si>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</si>
  <si>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</si>
  <si>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</si>
  <si>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</si>
  <si>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</si>
  <si>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</si>
  <si>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</si>
  <si>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</si>
  <si>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</si>
  <si>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</si>
  <si>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</si>
  <si>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</si>
  <si>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</si>
  <si>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</si>
  <si>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</si>
  <si>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</si>
  <si>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</si>
  <si>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</si>
  <si>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</si>
  <si>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</si>
  <si>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</si>
  <si>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</si>
  <si>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</si>
  <si>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</si>
  <si>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</si>
  <si>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</si>
  <si>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</si>
  <si>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</si>
  <si>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</si>
  <si>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</si>
  <si>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</si>
  <si>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</si>
  <si>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</si>
  <si>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</si>
  <si>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</si>
  <si>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</si>
  <si>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</si>
  <si>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</si>
  <si>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</si>
  <si>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</si>
  <si>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</si>
  <si>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</si>
  <si>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</si>
  <si>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</si>
  <si>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</si>
  <si>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</si>
  <si>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</si>
  <si>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</si>
  <si>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</si>
  <si>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</si>
  <si>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</si>
  <si>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</si>
  <si>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</si>
  <si>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</si>
  <si>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</si>
  <si>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</si>
  <si>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</si>
  <si>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</si>
  <si>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</si>
  <si>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</si>
  <si>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</si>
  <si>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</si>
  <si>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</si>
  <si>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</si>
  <si>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</si>
  <si>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</si>
  <si>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</si>
  <si>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</si>
  <si>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</si>
  <si>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</si>
  <si>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</si>
  <si>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</si>
  <si>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</si>
  <si>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</si>
  <si>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</si>
  <si>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</si>
  <si>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</si>
  <si>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</si>
  <si>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</si>
  <si>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</si>
  <si>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</si>
  <si>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</si>
  <si>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</si>
  <si>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</si>
  <si>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</si>
  <si>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</si>
  <si>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</si>
  <si>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</si>
  <si>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</si>
  <si>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</si>
  <si>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</si>
  <si>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</si>
  <si>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</si>
  <si>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</si>
  <si>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</si>
  <si>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</si>
  <si>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</si>
  <si>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</si>
  <si>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</si>
  <si>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</si>
  <si>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</si>
  <si>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</si>
  <si>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</si>
  <si>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</si>
  <si>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</si>
  <si>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</si>
  <si>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</si>
  <si>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</si>
  <si>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</si>
  <si>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</si>
  <si>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</si>
  <si>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</si>
  <si>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</si>
  <si>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</si>
  <si>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</si>
  <si>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</si>
  <si>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</si>
  <si>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</si>
  <si>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</si>
  <si>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</si>
  <si>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</si>
  <si>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</si>
  <si>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</si>
  <si>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</si>
  <si>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</si>
  <si>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</si>
  <si>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</si>
  <si>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</si>
  <si>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</si>
  <si>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</si>
  <si>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</si>
  <si>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</si>
  <si>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</si>
  <si>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</si>
  <si>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</si>
  <si>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</si>
  <si>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</si>
  <si>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</si>
  <si>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</si>
  <si>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</si>
  <si>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</si>
  <si>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</si>
  <si>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</si>
  <si>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</si>
  <si>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</si>
  <si>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</si>
  <si>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</si>
  <si>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</si>
  <si>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</si>
  <si>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</si>
  <si>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</si>
  <si>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</si>
  <si>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</si>
  <si>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</si>
  <si>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</si>
  <si>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</si>
  <si>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</si>
  <si>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</si>
  <si>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</si>
  <si>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</si>
  <si>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</si>
  <si>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</si>
  <si>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</si>
  <si>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</si>
  <si>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</si>
  <si>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</si>
  <si>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</si>
  <si>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</si>
  <si>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</si>
  <si>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</si>
  <si>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</si>
  <si>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</si>
  <si>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</si>
  <si>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</si>
  <si>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</si>
  <si>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</si>
  <si>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</si>
  <si>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</si>
  <si>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</si>
  <si>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</si>
  <si>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</si>
  <si>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</si>
  <si>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</si>
  <si>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</si>
  <si>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</si>
  <si>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</si>
  <si>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</si>
  <si>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</si>
  <si>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</si>
  <si>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</si>
  <si>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</si>
  <si>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</si>
  <si>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</si>
  <si>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</si>
  <si>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</si>
  <si>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</si>
  <si>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</si>
  <si>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</si>
  <si>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</si>
  <si>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</si>
  <si>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</si>
  <si>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</si>
  <si>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</si>
  <si>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</si>
  <si>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</si>
  <si>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</si>
  <si>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</si>
  <si>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</si>
  <si>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</si>
  <si>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</si>
  <si>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</si>
  <si>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</si>
  <si>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</si>
  <si>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</si>
  <si>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</si>
  <si>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</si>
  <si>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</si>
  <si>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</si>
  <si>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</si>
  <si>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</si>
  <si>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</si>
  <si>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</si>
  <si>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</si>
  <si>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</si>
  <si>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</si>
  <si>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</si>
  <si>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</si>
  <si>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</si>
  <si>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</si>
  <si>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</si>
  <si>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</si>
  <si>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</si>
  <si>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</si>
  <si>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</si>
  <si>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</si>
  <si>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</si>
  <si>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</si>
  <si>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</si>
  <si>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</si>
  <si>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</si>
  <si>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</si>
  <si>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</si>
  <si>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</si>
  <si>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</si>
  <si>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</si>
  <si>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</si>
  <si>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</si>
  <si>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</si>
  <si>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</si>
  <si>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</si>
  <si>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</si>
  <si>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</si>
  <si>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</si>
  <si>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</si>
  <si>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</si>
  <si>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</si>
  <si>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</si>
  <si>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</si>
  <si>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</si>
  <si>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</si>
  <si>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</si>
  <si>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</si>
  <si>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</si>
  <si>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</si>
  <si>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</si>
  <si>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</si>
  <si>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</si>
  <si>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</si>
  <si>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</si>
  <si>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</si>
  <si>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</si>
  <si>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</si>
  <si>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</si>
  <si>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</si>
  <si>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</si>
  <si>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</si>
  <si>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</si>
  <si>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</si>
  <si>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</si>
  <si>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</si>
  <si>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</si>
  <si>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</si>
  <si>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</si>
  <si>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</si>
  <si>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</si>
  <si>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</si>
  <si>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</si>
  <si>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</si>
  <si>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</si>
  <si>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</si>
  <si>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</si>
  <si>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</si>
  <si>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</si>
  <si>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</si>
  <si>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</si>
  <si>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</si>
  <si>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</si>
  <si>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</si>
  <si>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</si>
  <si>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</si>
  <si>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</si>
  <si>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</si>
  <si>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</si>
  <si>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</si>
  <si>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</si>
  <si>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</si>
  <si>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</si>
  <si>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</si>
  <si>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</si>
  <si>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</si>
  <si>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</si>
  <si>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</si>
  <si>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</si>
  <si>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</si>
  <si>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</si>
  <si>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</si>
  <si>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</si>
  <si>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</si>
  <si>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</si>
  <si>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</si>
  <si>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</si>
  <si>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</si>
  <si>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</si>
  <si>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</si>
  <si>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</si>
  <si>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</si>
  <si>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</si>
  <si>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</si>
  <si>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</si>
  <si>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</si>
  <si>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</si>
  <si>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</si>
  <si>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</si>
  <si>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</si>
  <si>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</si>
  <si>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</si>
  <si>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</si>
  <si>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</si>
  <si>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</si>
  <si>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</si>
  <si>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</si>
  <si>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</si>
  <si>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</si>
  <si>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</si>
  <si>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</si>
  <si>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</si>
  <si>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</si>
  <si>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</si>
  <si>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</si>
  <si>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</si>
  <si>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</si>
  <si>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</si>
  <si>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</si>
  <si>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</si>
  <si>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</si>
  <si>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</si>
  <si>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</si>
  <si>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</si>
  <si>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</si>
  <si>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</si>
  <si>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</si>
  <si>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</si>
  <si>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</si>
  <si>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</si>
  <si>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</si>
  <si>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</si>
  <si>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</si>
  <si>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</si>
  <si>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</si>
  <si>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</si>
  <si>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</si>
  <si>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</si>
  <si>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</si>
  <si>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</si>
  <si>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</si>
  <si>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</si>
  <si>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</si>
  <si>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</si>
  <si>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</si>
  <si>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</si>
  <si>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</si>
  <si>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</si>
  <si>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</si>
  <si>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</si>
  <si>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</si>
  <si>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</si>
  <si>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</si>
  <si>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</si>
  <si>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</si>
  <si>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</si>
  <si>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</si>
  <si>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</si>
  <si>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</si>
  <si>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</si>
  <si>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</si>
  <si>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</si>
  <si>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</si>
  <si>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</si>
  <si>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</si>
  <si>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</si>
  <si>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</si>
  <si>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</si>
  <si>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</si>
  <si>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</si>
  <si>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</si>
  <si>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</si>
  <si>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</si>
  <si>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</si>
  <si>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</si>
  <si>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</si>
  <si>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</si>
  <si>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</si>
  <si>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</si>
  <si>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</si>
  <si>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</si>
  <si>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</si>
  <si>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</si>
  <si>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</si>
  <si>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</si>
  <si>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</si>
  <si>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</si>
  <si>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</si>
  <si>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</si>
  <si>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</si>
  <si>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</si>
  <si>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</si>
  <si>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</si>
  <si>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</si>
  <si>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</si>
  <si>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</si>
  <si>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</si>
  <si>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</si>
  <si>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</si>
  <si>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</si>
  <si>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</si>
  <si>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</si>
  <si>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</si>
  <si>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</si>
  <si>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</si>
  <si>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</si>
  <si>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</si>
  <si>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</si>
  <si>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</si>
  <si>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</si>
  <si>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</si>
  <si>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</si>
  <si>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</si>
  <si>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</si>
  <si>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</si>
  <si>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</si>
  <si>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</si>
  <si>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</si>
  <si>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</si>
  <si>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</si>
  <si>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</si>
  <si>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</si>
  <si>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</si>
  <si>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</si>
  <si>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</si>
  <si>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</si>
  <si>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</si>
  <si>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</si>
  <si>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</si>
  <si>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</si>
  <si>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</si>
  <si>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</si>
  <si>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</si>
  <si>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</si>
  <si>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</si>
  <si>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</si>
  <si>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</si>
  <si>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</si>
  <si>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</si>
  <si>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</si>
  <si>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</si>
  <si>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</si>
  <si>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</si>
  <si>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</si>
  <si>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</si>
  <si>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</si>
  <si>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</si>
  <si>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</si>
  <si>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</si>
  <si>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</si>
  <si>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</si>
  <si>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</si>
  <si>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</si>
  <si>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</si>
  <si>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</si>
  <si>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</si>
  <si>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</si>
  <si>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</si>
  <si>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</si>
  <si>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</si>
  <si>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</si>
  <si>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</si>
  <si>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</si>
  <si>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</si>
  <si>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</si>
  <si>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</si>
  <si>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</si>
  <si>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</si>
  <si>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</si>
  <si>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</si>
  <si>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</si>
  <si>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</si>
  <si>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</si>
  <si>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</si>
  <si>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</si>
  <si>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</si>
  <si>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</si>
  <si>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</si>
  <si>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</si>
  <si>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</si>
  <si>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</si>
  <si>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</si>
  <si>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</si>
  <si>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</si>
  <si>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</si>
  <si>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</si>
  <si>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</si>
  <si>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</si>
  <si>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</si>
  <si>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</si>
  <si>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</si>
  <si>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</si>
  <si>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</si>
  <si>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</si>
  <si>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</si>
  <si>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</si>
  <si>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</si>
  <si>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</si>
  <si>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</si>
  <si>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</si>
  <si>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</si>
  <si>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</si>
  <si>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</si>
  <si>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</si>
  <si>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</si>
  <si>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</si>
  <si>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</si>
  <si>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</si>
  <si>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</si>
  <si>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</si>
  <si>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</si>
  <si>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</si>
  <si>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</si>
  <si>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</si>
  <si>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</si>
  <si>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</si>
  <si>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</si>
  <si>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</si>
  <si>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</si>
  <si>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</si>
  <si>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</si>
  <si>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</si>
  <si>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</si>
  <si>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</si>
  <si>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</si>
  <si>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</si>
  <si>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</si>
  <si>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</si>
  <si>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</si>
  <si>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</si>
  <si>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</si>
  <si>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</si>
  <si>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</si>
  <si>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</si>
  <si>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</si>
  <si>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</si>
  <si>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</si>
  <si>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</si>
  <si>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</si>
  <si>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</si>
  <si>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</si>
  <si>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</si>
  <si>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</si>
  <si>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</si>
  <si>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</si>
  <si>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</si>
  <si>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</si>
  <si>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</si>
  <si>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</si>
  <si>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</si>
  <si>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</si>
  <si>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</si>
  <si>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</si>
  <si>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</si>
  <si>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</si>
  <si>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</si>
  <si>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</si>
  <si>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</si>
  <si>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</si>
  <si>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</si>
  <si>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</si>
  <si>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</si>
  <si>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</si>
  <si>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</si>
  <si>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</si>
  <si>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</si>
  <si>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</si>
  <si>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</si>
  <si>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</si>
  <si>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</si>
  <si>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</si>
  <si>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</si>
  <si>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</si>
  <si>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</si>
  <si>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</si>
  <si>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</si>
  <si>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</si>
  <si>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</si>
  <si>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</si>
  <si>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</si>
  <si>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</si>
  <si>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</si>
  <si>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</si>
  <si>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</si>
  <si>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</si>
  <si>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</si>
  <si>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</si>
  <si>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</si>
  <si>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</si>
  <si>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</si>
  <si>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</si>
  <si>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</si>
  <si>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</si>
  <si>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</si>
  <si>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</si>
  <si>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</si>
  <si>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</si>
  <si>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</si>
  <si>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</si>
  <si>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</si>
  <si>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</si>
  <si>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</si>
  <si>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</si>
  <si>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</si>
  <si>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</si>
  <si>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</si>
  <si>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</si>
  <si>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</si>
  <si>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</si>
  <si>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</si>
  <si>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</si>
  <si>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</si>
  <si>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</si>
  <si>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</si>
  <si>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</si>
  <si>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</si>
  <si>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</si>
  <si>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</si>
  <si>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</si>
  <si>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</si>
  <si>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</si>
  <si>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</si>
  <si>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</si>
  <si>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</si>
  <si>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</si>
  <si>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</si>
  <si>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</si>
  <si>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</si>
  <si>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</si>
  <si>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</si>
  <si>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</si>
  <si>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</si>
  <si>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</si>
  <si>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</si>
  <si>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</si>
  <si>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</si>
  <si>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</si>
  <si>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</si>
  <si>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</si>
  <si>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</si>
  <si>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</si>
  <si>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</si>
  <si>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</si>
  <si>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</si>
  <si>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</si>
  <si>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</si>
  <si>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</si>
  <si>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</si>
  <si>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</si>
  <si>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</si>
  <si>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</si>
  <si>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</si>
  <si>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</si>
  <si>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</si>
  <si>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</si>
  <si>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</si>
  <si>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</si>
  <si>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</si>
  <si>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</si>
  <si>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</si>
  <si>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</si>
  <si>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</si>
  <si>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</si>
  <si>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</si>
  <si>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</si>
  <si>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</si>
  <si>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</si>
  <si>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</si>
  <si>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</si>
  <si>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</si>
  <si>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</si>
  <si>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</si>
  <si>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</si>
  <si>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</si>
  <si>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</si>
  <si>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</si>
  <si>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</si>
  <si>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</si>
  <si>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</si>
  <si>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</si>
  <si>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</si>
  <si>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</si>
  <si>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</si>
  <si>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</si>
  <si>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</si>
  <si>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</si>
  <si>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</si>
  <si>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</si>
  <si>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</si>
  <si>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</si>
  <si>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</si>
  <si>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</si>
  <si>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</si>
  <si>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</si>
  <si>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</si>
  <si>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</si>
  <si>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</si>
  <si>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</si>
  <si>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</si>
  <si>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</si>
  <si>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</si>
  <si>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</si>
  <si>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</si>
  <si>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</si>
  <si>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</si>
  <si>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</si>
  <si>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</si>
  <si>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</si>
  <si>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</si>
  <si>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</si>
  <si>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</si>
  <si>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</si>
  <si>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</si>
  <si>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</si>
  <si>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</si>
  <si>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</si>
  <si>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</si>
  <si>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</si>
  <si>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</si>
  <si>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</si>
  <si>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</si>
  <si>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</si>
  <si>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</si>
  <si>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</si>
  <si>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</si>
  <si>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</si>
  <si>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</si>
  <si>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</si>
  <si>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</si>
  <si>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</si>
  <si>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</si>
  <si>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</si>
  <si>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</si>
  <si>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</si>
  <si>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</si>
  <si>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</si>
  <si>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</si>
  <si>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</si>
  <si>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</si>
  <si>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</si>
  <si>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</si>
  <si>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</si>
  <si>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</si>
  <si>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</si>
  <si>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</si>
  <si>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</si>
  <si>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</si>
  <si>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</si>
  <si>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</si>
  <si>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</si>
  <si>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</si>
  <si>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</si>
  <si>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</si>
  <si>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</si>
  <si>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</si>
  <si>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</si>
  <si>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</si>
  <si>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</si>
  <si>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</si>
  <si>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</si>
  <si>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</si>
  <si>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</si>
  <si>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</si>
  <si>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</si>
  <si>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</si>
  <si>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</si>
  <si>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</si>
  <si>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</si>
  <si>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</si>
  <si>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</si>
  <si>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</si>
  <si>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</si>
  <si>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</si>
  <si>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</si>
  <si>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</si>
  <si>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</si>
  <si>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</si>
  <si>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</si>
  <si>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</si>
  <si>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</si>
  <si>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</si>
  <si>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</si>
  <si>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</si>
  <si>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</si>
  <si>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</si>
  <si>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</si>
  <si>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</si>
  <si>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</si>
  <si>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</si>
  <si>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</si>
  <si>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</si>
  <si>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</si>
  <si>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</si>
  <si>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</si>
  <si>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</si>
  <si>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</si>
  <si>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</si>
  <si>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</si>
  <si>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</si>
  <si>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</si>
  <si>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</si>
  <si>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</si>
  <si>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</si>
  <si>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</si>
  <si>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</si>
  <si>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</si>
  <si>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</si>
  <si>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</si>
  <si>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</si>
  <si>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</si>
  <si>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</si>
  <si>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</si>
  <si>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</si>
  <si>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</si>
  <si>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</si>
  <si>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</si>
  <si>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</si>
  <si>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</si>
  <si>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</si>
  <si>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</si>
  <si>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</si>
  <si>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</si>
  <si>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</si>
  <si>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</si>
  <si>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</si>
  <si>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</si>
  <si>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</si>
  <si>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</si>
  <si>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</si>
  <si>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</si>
  <si>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</si>
  <si>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</si>
  <si>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</si>
  <si>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</si>
  <si>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</si>
  <si>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</si>
  <si>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</si>
  <si>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</si>
  <si>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</si>
  <si>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</si>
  <si>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</si>
  <si>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</si>
  <si>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</si>
  <si>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</si>
  <si>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</si>
  <si>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</si>
  <si>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</si>
  <si>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</si>
  <si>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</si>
  <si>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</si>
  <si>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</si>
  <si>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</si>
  <si>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</si>
  <si>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</si>
  <si>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</si>
  <si>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</si>
  <si>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</si>
  <si>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</si>
  <si>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</si>
  <si>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</si>
  <si>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</si>
  <si>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</si>
  <si>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</si>
  <si>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</si>
  <si>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</si>
  <si>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</si>
  <si>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</si>
  <si>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</si>
  <si>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</si>
  <si>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</si>
  <si>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</si>
  <si>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</si>
  <si>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</si>
  <si>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</si>
  <si>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</si>
  <si>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</si>
  <si>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</si>
  <si>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</si>
  <si>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</si>
  <si>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</si>
  <si>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</si>
  <si>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</si>
  <si>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</si>
  <si>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</si>
  <si>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</si>
  <si>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</si>
  <si>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</si>
  <si>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</si>
  <si>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</si>
  <si>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</si>
  <si>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</si>
  <si>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</si>
  <si>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</si>
  <si>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</si>
  <si>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</si>
  <si>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</si>
  <si>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</si>
  <si>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</si>
  <si>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</si>
  <si>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</si>
  <si>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</si>
  <si>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</si>
  <si>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</si>
  <si>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</si>
  <si>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</si>
  <si>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</si>
  <si>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</si>
  <si>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</si>
  <si>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</si>
  <si>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</si>
  <si>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</si>
  <si>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</si>
  <si>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</si>
  <si>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</si>
  <si>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</si>
  <si>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</si>
  <si>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</si>
  <si>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</si>
  <si>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</si>
  <si>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</si>
  <si>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</si>
  <si>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</si>
  <si>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</si>
  <si>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</si>
  <si>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</si>
  <si>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</si>
  <si>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</si>
  <si>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</si>
  <si>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</si>
  <si>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</si>
  <si>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</si>
  <si>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</si>
  <si>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</si>
  <si>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</si>
  <si>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</si>
  <si>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</si>
  <si>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</si>
  <si>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</si>
  <si>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</si>
  <si>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</si>
  <si>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</si>
  <si>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</si>
  <si>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</si>
  <si>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</si>
  <si>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</si>
  <si>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</si>
  <si>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</si>
  <si>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</si>
  <si>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</si>
  <si>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</si>
  <si>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</si>
  <si>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</si>
  <si>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</si>
  <si>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</si>
  <si>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</si>
  <si>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</si>
  <si>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</si>
  <si>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</si>
  <si>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</si>
  <si>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</si>
  <si>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</si>
  <si>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</si>
  <si>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</si>
  <si>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</si>
  <si>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</si>
  <si>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</si>
  <si>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</si>
  <si>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</si>
  <si>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</si>
  <si>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</si>
  <si>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</si>
  <si>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</si>
  <si>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</si>
  <si>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</si>
  <si>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</si>
  <si>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</si>
  <si>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</si>
  <si>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</si>
  <si>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</si>
  <si>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</si>
  <si>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</si>
  <si>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</si>
  <si>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</si>
  <si>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</si>
  <si>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</si>
  <si>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</si>
  <si>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</si>
  <si>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</si>
  <si>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</si>
  <si>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</si>
  <si>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</si>
  <si>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</si>
  <si>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</si>
  <si>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</si>
  <si>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</si>
  <si>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</si>
  <si>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</si>
  <si>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</si>
  <si>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</si>
  <si>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</si>
  <si>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</si>
  <si>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</si>
  <si>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</si>
  <si>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</si>
  <si>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</si>
  <si>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</si>
  <si>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</si>
  <si>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</si>
  <si>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</si>
  <si>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</si>
  <si>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</si>
  <si>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</si>
  <si>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</si>
  <si>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</si>
  <si>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</si>
  <si>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</si>
  <si>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</si>
  <si>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</si>
  <si>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</si>
  <si>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</si>
  <si>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</si>
  <si>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</si>
  <si>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</si>
  <si>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</si>
  <si>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</si>
  <si>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</si>
  <si>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</si>
  <si>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</si>
  <si>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</si>
  <si>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</si>
  <si>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</si>
  <si>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</si>
  <si>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</si>
  <si>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</si>
  <si>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</si>
  <si>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</si>
  <si>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</si>
  <si>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</si>
  <si>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</si>
  <si>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</si>
  <si>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</si>
  <si>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</si>
  <si>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</si>
  <si>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</si>
  <si>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</si>
  <si>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</si>
  <si>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</si>
  <si>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</si>
  <si>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</si>
  <si>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</si>
  <si>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</si>
  <si>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</si>
  <si>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</si>
  <si>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</si>
  <si>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</si>
  <si>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</si>
  <si>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</si>
  <si>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</si>
  <si>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</si>
  <si>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</si>
  <si>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</si>
  <si>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</si>
  <si>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</si>
  <si>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</si>
  <si>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</si>
  <si>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</si>
  <si>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</si>
  <si>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</si>
  <si>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</si>
  <si>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</si>
  <si>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</si>
  <si>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</si>
  <si>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</si>
  <si>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</si>
  <si>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</si>
  <si>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</si>
  <si>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</si>
  <si>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</si>
  <si>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</si>
  <si>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</si>
  <si>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</si>
  <si>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</si>
  <si>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</si>
  <si>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</si>
  <si>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</si>
  <si>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</si>
  <si>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</si>
  <si>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</si>
  <si>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</si>
  <si>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</si>
  <si>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</si>
  <si>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</si>
  <si>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</si>
  <si>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</si>
  <si>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</si>
  <si>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</si>
  <si>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</si>
  <si>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</si>
  <si>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</si>
  <si>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</si>
  <si>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</si>
  <si>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</si>
  <si>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</si>
  <si>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</si>
  <si>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</si>
  <si>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</si>
  <si>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</si>
  <si>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</si>
  <si>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</si>
  <si>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</si>
  <si>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</si>
  <si>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</si>
  <si>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</si>
  <si>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</si>
  <si>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</si>
  <si>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</si>
  <si>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</si>
  <si>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</si>
  <si>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</si>
  <si>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</si>
  <si>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</si>
  <si>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</si>
  <si>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</si>
  <si>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</si>
  <si>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</si>
  <si>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</si>
  <si>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</si>
  <si>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</si>
  <si>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</si>
  <si>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</si>
  <si>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</si>
  <si>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</si>
  <si>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</si>
  <si>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</si>
  <si>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</si>
  <si>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</si>
  <si>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</si>
  <si>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</si>
  <si>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</si>
  <si>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</si>
  <si>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</si>
  <si>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</si>
  <si>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</si>
  <si>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</si>
  <si>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</si>
  <si>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</si>
  <si>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</si>
  <si>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</si>
  <si>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</si>
  <si>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</si>
  <si>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</si>
  <si>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</si>
  <si>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</si>
  <si>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</si>
  <si>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</si>
  <si>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</si>
  <si>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</si>
  <si>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</si>
  <si>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</si>
  <si>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</si>
  <si>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</si>
  <si>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</si>
  <si>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</si>
  <si>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</si>
  <si>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</si>
  <si>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</si>
  <si>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</si>
  <si>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</si>
  <si>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</si>
  <si>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</si>
  <si>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</si>
  <si>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</si>
  <si>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</si>
  <si>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</si>
  <si>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</si>
  <si>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</si>
  <si>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</si>
  <si>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</si>
  <si>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</si>
  <si>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</si>
  <si>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</si>
  <si>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</si>
  <si>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</si>
  <si>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</si>
  <si>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</si>
  <si>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</si>
  <si>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</si>
  <si>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</si>
  <si>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</si>
  <si>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</si>
  <si>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</si>
  <si>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</si>
  <si>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</si>
  <si>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</si>
  <si>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</si>
  <si>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</si>
  <si>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</si>
  <si>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</si>
  <si>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</si>
  <si>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</si>
  <si>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</si>
  <si>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</si>
  <si>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</si>
  <si>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</si>
  <si>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</si>
  <si>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</si>
  <si>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</si>
  <si>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</si>
  <si>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</si>
  <si>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</si>
  <si>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</si>
  <si>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</si>
  <si>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</si>
  <si>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</si>
  <si>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</si>
  <si>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</si>
  <si>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</si>
  <si>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</si>
  <si>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</si>
  <si>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</si>
  <si>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</si>
  <si>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</si>
  <si>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</si>
  <si>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</si>
  <si>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</si>
  <si>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</si>
  <si>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</si>
  <si>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</si>
  <si>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</si>
  <si>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</si>
  <si>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</si>
  <si>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</si>
  <si>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</si>
  <si>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</si>
  <si>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</si>
  <si>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</si>
  <si>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</si>
  <si>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</si>
  <si>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</si>
  <si>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</si>
  <si>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</si>
  <si>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</si>
  <si>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</si>
  <si>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</si>
  <si>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</si>
  <si>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</si>
  <si>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</si>
  <si>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</si>
  <si>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</si>
  <si>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</si>
  <si>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</si>
  <si>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</si>
  <si>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</si>
  <si>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</si>
  <si>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</si>
  <si>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</si>
  <si>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</si>
  <si>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</si>
  <si>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</si>
  <si>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</si>
  <si>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</si>
  <si>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</si>
  <si>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</si>
  <si>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</si>
  <si>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</si>
  <si>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</si>
  <si>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</si>
  <si>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</si>
  <si>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</si>
  <si>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</si>
  <si>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</si>
  <si>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</si>
  <si>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</si>
  <si>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</si>
  <si>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</si>
  <si>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</si>
  <si>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</si>
  <si>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</si>
  <si>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</si>
  <si>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</si>
  <si>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</si>
  <si>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</si>
  <si>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</si>
  <si>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</si>
  <si>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</si>
  <si>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</si>
  <si>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</si>
  <si>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</si>
  <si>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</si>
  <si>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</si>
  <si>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</si>
  <si>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</si>
  <si>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</si>
  <si>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</si>
  <si>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</si>
  <si>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</si>
  <si>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</si>
  <si>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</si>
  <si>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</si>
  <si>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</si>
  <si>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</si>
  <si>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</si>
  <si>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</si>
  <si>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</si>
  <si>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</si>
  <si>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</si>
  <si>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</si>
  <si>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</si>
  <si>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</si>
  <si>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</si>
  <si>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</si>
  <si>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</si>
  <si>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</si>
  <si>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</si>
  <si>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</si>
  <si>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</si>
  <si>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</si>
  <si>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</si>
  <si>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</si>
  <si>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</si>
  <si>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</si>
  <si>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</si>
  <si>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</si>
  <si>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</si>
  <si>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</si>
  <si>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</si>
  <si>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</si>
  <si>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</si>
  <si>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</si>
  <si>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</si>
  <si>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</si>
  <si>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</si>
  <si>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</si>
  <si>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</si>
  <si>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</si>
  <si>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</si>
  <si>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</si>
  <si>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</si>
  <si>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</si>
  <si>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</si>
  <si>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</si>
  <si>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</si>
  <si>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</si>
  <si>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</si>
  <si>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</si>
  <si>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</si>
  <si>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</si>
  <si>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</si>
  <si>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</si>
  <si>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</si>
  <si>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</si>
  <si>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</si>
  <si>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</si>
  <si>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</si>
  <si>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</si>
  <si>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</si>
  <si>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</si>
  <si>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</si>
  <si>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</si>
  <si>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</si>
  <si>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</si>
  <si>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</si>
  <si>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</si>
  <si>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</si>
  <si>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</si>
  <si>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</si>
  <si>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</si>
  <si>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</si>
  <si>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</si>
  <si>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</si>
  <si>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</si>
  <si>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</si>
  <si>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</si>
  <si>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</si>
  <si>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</si>
  <si>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</si>
  <si>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</si>
  <si>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</si>
  <si>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</si>
  <si>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</si>
  <si>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</si>
  <si>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</si>
  <si>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</si>
  <si>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</si>
  <si>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</si>
  <si>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</si>
  <si>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</si>
  <si>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</si>
  <si>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</si>
  <si>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</si>
  <si>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</si>
  <si>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</si>
  <si>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</si>
  <si>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</si>
  <si>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</si>
  <si>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</si>
  <si>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</si>
  <si>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</si>
  <si>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</si>
  <si>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</si>
  <si>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</si>
  <si>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</si>
  <si>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</si>
  <si>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</si>
  <si>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</si>
  <si>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</si>
  <si>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</si>
  <si>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</si>
  <si>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</si>
  <si>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</si>
  <si>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</si>
  <si>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</si>
  <si>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</si>
  <si>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</si>
  <si>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</si>
  <si>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</si>
  <si>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</si>
  <si>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</si>
  <si>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</si>
  <si>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</si>
  <si>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</si>
  <si>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</si>
  <si>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</si>
  <si>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</si>
  <si>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</si>
  <si>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</si>
  <si>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</si>
  <si>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</si>
  <si>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</si>
  <si>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</si>
  <si>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</si>
  <si>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</si>
  <si>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</si>
  <si>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</si>
  <si>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</si>
  <si>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</si>
  <si>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</si>
  <si>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</si>
  <si>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</si>
  <si>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</si>
  <si>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</si>
  <si>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</si>
  <si>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</si>
  <si>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</si>
  <si>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</si>
  <si>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</si>
  <si>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</si>
  <si>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</si>
  <si>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</si>
  <si>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</si>
  <si>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</si>
  <si>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</si>
  <si>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</si>
  <si>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</si>
  <si>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</si>
  <si>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</si>
  <si>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</si>
  <si>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</si>
  <si>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</si>
  <si>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</si>
  <si>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</si>
  <si>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</si>
  <si>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</si>
  <si>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</si>
  <si>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</si>
  <si>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</si>
  <si>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</si>
  <si>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</si>
  <si>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</si>
  <si>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</si>
  <si>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</si>
  <si>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</si>
  <si>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</si>
  <si>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</si>
  <si>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</si>
  <si>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</si>
  <si>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</si>
  <si>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</si>
  <si>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</si>
  <si>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</si>
  <si>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</si>
  <si>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</si>
  <si>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</si>
  <si>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</si>
  <si>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</si>
  <si>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</si>
  <si>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</si>
  <si>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</si>
  <si>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</si>
  <si>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</si>
  <si>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</si>
  <si>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</si>
  <si>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</si>
  <si>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</si>
  <si>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</si>
  <si>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</si>
  <si>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</si>
  <si>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</si>
  <si>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</si>
  <si>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</si>
  <si>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</si>
  <si>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</si>
  <si>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</si>
  <si>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</si>
  <si>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</si>
  <si>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</si>
  <si>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</si>
  <si>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</si>
  <si>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</si>
  <si>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</si>
  <si>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</si>
  <si>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</si>
  <si>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</si>
  <si>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</si>
  <si>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</si>
  <si>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</si>
  <si>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</si>
  <si>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</si>
  <si>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</si>
  <si>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</si>
  <si>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</si>
  <si>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</si>
  <si>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</si>
  <si>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</si>
  <si>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</si>
  <si>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</si>
  <si>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</si>
  <si>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</si>
  <si>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</si>
  <si>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</si>
  <si>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</si>
  <si>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</si>
  <si>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</si>
  <si>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</si>
  <si>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</si>
  <si>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</si>
  <si>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</si>
  <si>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</si>
  <si>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</si>
  <si>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</si>
  <si>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</si>
  <si>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</si>
  <si>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</si>
  <si>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</si>
  <si>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</si>
  <si>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</si>
  <si>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</si>
  <si>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</si>
  <si>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</si>
  <si>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</si>
  <si>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</si>
  <si>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</si>
  <si>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</si>
  <si>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</si>
  <si>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</si>
  <si>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</si>
  <si>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</si>
  <si>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</si>
  <si>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</si>
  <si>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</si>
  <si>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</si>
  <si>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</si>
  <si>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</si>
  <si>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</si>
  <si>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</si>
  <si>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</si>
  <si>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</si>
  <si>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</si>
  <si>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</si>
  <si>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</si>
  <si>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</si>
  <si>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</si>
  <si>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</si>
  <si>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</si>
  <si>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</si>
  <si>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</si>
  <si>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</si>
  <si>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</si>
  <si>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</si>
  <si>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</si>
  <si>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</si>
  <si>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</si>
  <si>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</si>
  <si>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</si>
  <si>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</si>
  <si>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</si>
  <si>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</si>
  <si>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</si>
  <si>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</si>
  <si>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</si>
  <si>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</si>
  <si>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</si>
  <si>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</si>
  <si>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</si>
  <si>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</si>
  <si>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</si>
  <si>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</si>
  <si>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</si>
  <si>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</si>
  <si>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</si>
  <si>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</si>
  <si>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</si>
  <si>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</si>
  <si>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</si>
  <si>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</si>
  <si>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</si>
  <si>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</si>
  <si>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</si>
  <si>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</si>
  <si>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</si>
  <si>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</si>
  <si>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</si>
  <si>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</si>
  <si>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</si>
  <si>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</si>
  <si>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</si>
  <si>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</si>
  <si>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</si>
  <si>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</si>
  <si>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</si>
  <si>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</si>
  <si>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</si>
  <si>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</si>
  <si>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</si>
  <si>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</si>
  <si>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</si>
  <si>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</si>
  <si>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</si>
  <si>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</si>
  <si>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</si>
  <si>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</si>
  <si>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</si>
  <si>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</si>
  <si>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</si>
  <si>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</si>
  <si>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</si>
  <si>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</si>
  <si>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</si>
  <si>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</si>
  <si>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</si>
  <si>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</si>
  <si>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</si>
  <si>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</si>
  <si>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</si>
  <si>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</si>
  <si>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</si>
  <si>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</si>
  <si>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</si>
  <si>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</si>
  <si>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</si>
  <si>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</si>
  <si>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</si>
  <si>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</si>
  <si>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</si>
  <si>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</si>
  <si>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</si>
  <si>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</si>
  <si>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</si>
  <si>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</si>
  <si>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</si>
  <si>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</si>
  <si>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</si>
  <si>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</si>
  <si>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</si>
  <si>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</si>
  <si>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</si>
  <si>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</si>
  <si>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</si>
  <si>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</si>
  <si>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</si>
  <si>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</si>
  <si>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</si>
  <si>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</si>
  <si>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</si>
  <si>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</si>
  <si>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</si>
  <si>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</si>
  <si>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</si>
  <si>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</si>
  <si>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</si>
  <si>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</si>
  <si>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</si>
  <si>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</si>
  <si>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</si>
  <si>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</si>
  <si>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</si>
  <si>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</si>
  <si>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</si>
  <si>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</si>
  <si>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</si>
  <si>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</si>
  <si>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</si>
  <si>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</si>
  <si>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</si>
  <si>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</si>
  <si>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</si>
  <si>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</si>
  <si>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</si>
  <si>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</si>
  <si>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</si>
  <si>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</si>
  <si>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</si>
  <si>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</si>
  <si>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</si>
  <si>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</si>
  <si>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</si>
  <si>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</si>
  <si>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</si>
  <si>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</si>
  <si>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</si>
  <si>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</si>
  <si>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</si>
  <si>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</si>
  <si>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</si>
  <si>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</si>
  <si>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</si>
  <si>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</si>
  <si>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</si>
  <si>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</si>
  <si>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</si>
  <si>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</si>
  <si>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</si>
  <si>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</si>
  <si>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</si>
  <si>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</si>
  <si>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</si>
  <si>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</si>
  <si>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</si>
  <si>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</si>
  <si>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</si>
  <si>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</si>
  <si>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</si>
  <si>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</si>
  <si>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</si>
  <si>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</si>
  <si>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</si>
  <si>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</si>
  <si>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</si>
  <si>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</si>
  <si>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</si>
  <si>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</si>
  <si>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</si>
  <si>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</si>
  <si>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</si>
  <si>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</si>
  <si>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</si>
  <si>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</si>
  <si>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</si>
  <si>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</si>
  <si>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</si>
  <si>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</si>
  <si>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</si>
  <si>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</si>
  <si>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</si>
  <si>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</si>
  <si>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</si>
  <si>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</si>
  <si>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</si>
  <si>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</si>
  <si>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</si>
  <si>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</si>
  <si>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</si>
  <si>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</si>
  <si>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</si>
  <si>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</si>
  <si>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</si>
  <si>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</si>
  <si>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</si>
  <si>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</si>
  <si>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</si>
  <si>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</si>
  <si>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</si>
  <si>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</si>
  <si>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</si>
  <si>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</si>
  <si>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</si>
  <si>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</si>
  <si>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</si>
  <si>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</si>
  <si>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</si>
  <si>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</si>
  <si>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</si>
  <si>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</si>
  <si>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</si>
  <si>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</si>
  <si>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</si>
  <si>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</si>
  <si>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</si>
  <si>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</si>
  <si>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</si>
  <si>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</si>
  <si>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</si>
  <si>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</si>
  <si>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</si>
  <si>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</si>
  <si>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</si>
  <si>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</si>
  <si>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</si>
  <si>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</si>
  <si>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</si>
  <si>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</si>
  <si>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</si>
  <si>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</si>
  <si>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</si>
  <si>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</si>
  <si>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</si>
  <si>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</si>
  <si>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</si>
  <si>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</si>
  <si>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</si>
  <si>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</si>
  <si>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</si>
  <si>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</si>
  <si>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</si>
  <si>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</si>
  <si>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</si>
  <si>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</si>
  <si>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</si>
  <si>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</si>
  <si>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</si>
  <si>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</si>
  <si>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</si>
  <si>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</si>
  <si>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</si>
  <si>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</si>
  <si>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</si>
  <si>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</si>
  <si>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</si>
  <si>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</si>
  <si>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</si>
  <si>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</si>
  <si>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</si>
  <si>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</si>
  <si>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</si>
  <si>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</si>
  <si>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</si>
  <si>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</si>
  <si>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</si>
  <si>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</si>
  <si>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</si>
  <si>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</si>
  <si>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</si>
  <si>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</si>
  <si>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</si>
  <si>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</si>
  <si>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</si>
  <si>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</si>
  <si>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</si>
  <si>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</si>
  <si>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</si>
  <si>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</si>
  <si>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</si>
  <si>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</si>
  <si>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</si>
  <si>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</si>
  <si>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</si>
  <si>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</si>
  <si>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</si>
  <si>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</si>
  <si>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</si>
  <si>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</si>
  <si>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</si>
  <si>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</si>
  <si>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</si>
  <si>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</si>
  <si>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</si>
  <si>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</si>
  <si>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</si>
  <si>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</si>
  <si>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</si>
  <si>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</si>
  <si>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</si>
  <si>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</si>
  <si>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</si>
  <si>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Morgan</t>
  </si>
  <si>
    <t>201 North Miller</t>
  </si>
  <si>
    <t>Waverly</t>
  </si>
  <si>
    <t>dday@waverlyscotties.com</t>
  </si>
  <si>
    <t>Hughes, Cameron &amp; Company, LLC</t>
  </si>
  <si>
    <t>386 S. Koke Mill Rd.</t>
  </si>
  <si>
    <t>Springfield</t>
  </si>
  <si>
    <t>IL</t>
  </si>
  <si>
    <t>(217) 787-8822</t>
  </si>
  <si>
    <t>(217) 787-8823</t>
  </si>
  <si>
    <t>apranaitis@hughescpas.com</t>
  </si>
  <si>
    <t>Amie Pranaitis</t>
  </si>
  <si>
    <t>066-004750</t>
  </si>
  <si>
    <t xml:space="preserve">The Auditor's Report was modified due to the presentation of the financial statements on a regulatory basis and due to lack of presentation of pension liability and other post employment benefits. </t>
  </si>
  <si>
    <t>Series 2015</t>
  </si>
  <si>
    <t>GO Bond</t>
  </si>
  <si>
    <t>Franklin C.U.S.D. #1</t>
  </si>
  <si>
    <t>Four Rivers Special Education District</t>
  </si>
  <si>
    <t>Capital Area Career Center</t>
  </si>
  <si>
    <t>Franklin C.U.S.D. #1, New Berlin C.U.S.D. #16</t>
  </si>
  <si>
    <t>Account 1790 - Other Education Revenue consits of sales of physical education uniforms and athletic fees</t>
  </si>
  <si>
    <t>Account 1999 - Other Local Revenues consists of other general revenues form local sources</t>
  </si>
  <si>
    <t>Account 3999 - Other Restricted Revenues from State Sources was revenues from a library grant</t>
  </si>
  <si>
    <t>ED-Instruction-Purchased Services</t>
  </si>
  <si>
    <t>20-2540-300</t>
  </si>
  <si>
    <t>George Alarm</t>
  </si>
  <si>
    <t>10-2540-300</t>
  </si>
  <si>
    <t>Great America Financial</t>
  </si>
  <si>
    <t>Ideal Environmental</t>
  </si>
  <si>
    <t>F.J. Murphy</t>
  </si>
  <si>
    <t>20-2550-300</t>
  </si>
  <si>
    <t>AT&amp;T</t>
  </si>
  <si>
    <t>Transportation-Support Services-Purchased Services</t>
  </si>
  <si>
    <t>Operation, Building Maintenance-Support Services-Purchased Services</t>
  </si>
  <si>
    <t>Waverly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</si>
</sst>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23380</xdr:colOff>
          <xdr:row>6</xdr:row>
          <xdr:rowOff>122959</xdr:rowOff>
        </xdr:from>
        <xdr:to>
          <xdr:col>1</xdr:col>
          <xdr:colOff>935182</xdr:colOff>
          <xdr:row>10</xdr:row>
          <xdr:rowOff>161059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6</xdr:row>
          <xdr:rowOff>133350</xdr:rowOff>
        </xdr:from>
        <xdr:to>
          <xdr:col>1</xdr:col>
          <xdr:colOff>1943100</xdr:colOff>
          <xdr:row>11</xdr:row>
          <xdr:rowOff>9525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6</xdr:row>
          <xdr:rowOff>142875</xdr:rowOff>
        </xdr:from>
        <xdr:to>
          <xdr:col>1</xdr:col>
          <xdr:colOff>3000375</xdr:colOff>
          <xdr:row>11</xdr:row>
          <xdr:rowOff>19050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view="pageLayout"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8" t="s">
        <v>405</v>
      </c>
      <c r="J1" s="2019"/>
      <c r="K1" s="2019"/>
      <c r="L1" s="2019"/>
      <c r="M1" s="2019"/>
      <c r="N1" s="2019"/>
      <c r="O1" s="2019"/>
      <c r="P1" s="2019"/>
      <c r="Q1" s="2019"/>
      <c r="R1" s="2019"/>
      <c r="S1" s="2019"/>
    </row>
    <row r="2" spans="1:28" ht="12" customHeight="1" x14ac:dyDescent="0.2">
      <c r="A2" s="47" t="s">
        <v>1991</v>
      </c>
      <c r="D2" s="48"/>
      <c r="I2" s="2020" t="s">
        <v>979</v>
      </c>
      <c r="J2" s="2019"/>
      <c r="K2" s="2019"/>
      <c r="L2" s="2019"/>
      <c r="M2" s="2019"/>
      <c r="N2" s="2019"/>
      <c r="O2" s="2019"/>
      <c r="P2" s="2019"/>
      <c r="Q2" s="2019"/>
      <c r="R2" s="2019"/>
      <c r="S2" s="2019"/>
    </row>
    <row r="3" spans="1:28" ht="12" customHeight="1" x14ac:dyDescent="0.2">
      <c r="A3" s="155" t="s">
        <v>1943</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t="s">
        <v>2065</v>
      </c>
      <c r="C5" s="26" t="s">
        <v>910</v>
      </c>
      <c r="D5" s="84"/>
      <c r="E5" s="84"/>
      <c r="H5" s="38"/>
      <c r="I5" s="2027" t="s">
        <v>680</v>
      </c>
      <c r="J5" s="1972"/>
      <c r="K5" s="1972"/>
      <c r="L5" s="1972"/>
      <c r="M5" s="1972"/>
      <c r="N5" s="1972"/>
      <c r="O5" s="1972"/>
      <c r="P5" s="1972"/>
      <c r="Q5" s="1972"/>
      <c r="R5" s="1972"/>
      <c r="S5" s="1972"/>
    </row>
    <row r="6" spans="1:28" ht="14.1" customHeight="1" x14ac:dyDescent="0.2">
      <c r="B6" s="104"/>
      <c r="C6" s="26" t="s">
        <v>911</v>
      </c>
      <c r="D6" s="84"/>
      <c r="E6" s="84"/>
      <c r="I6" s="2026" t="s">
        <v>883</v>
      </c>
      <c r="J6" s="1972"/>
      <c r="K6" s="1972"/>
      <c r="L6" s="1972"/>
      <c r="M6" s="1972"/>
      <c r="N6" s="1972"/>
      <c r="O6" s="1972"/>
      <c r="P6" s="1972"/>
      <c r="Q6" s="1972"/>
      <c r="R6" s="1972"/>
      <c r="S6" s="1972"/>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8" t="s">
        <v>533</v>
      </c>
      <c r="U9" s="1969"/>
      <c r="V9" s="1969"/>
      <c r="W9" s="1969"/>
      <c r="X9" s="1969"/>
      <c r="Y9" s="1969"/>
      <c r="Z9" s="1969"/>
      <c r="AA9" s="1970"/>
    </row>
    <row r="10" spans="1:28" ht="13.5" customHeight="1" x14ac:dyDescent="0.2">
      <c r="A10" s="1977" t="s">
        <v>675</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955</v>
      </c>
      <c r="B11" s="1981"/>
      <c r="C11" s="1981"/>
      <c r="D11" s="1981"/>
      <c r="E11" s="1981"/>
      <c r="F11" s="1981"/>
      <c r="G11" s="1981"/>
      <c r="H11" s="1982"/>
      <c r="I11" s="27"/>
      <c r="J11" s="74"/>
      <c r="K11" s="27"/>
      <c r="O11" s="148" t="s">
        <v>2065</v>
      </c>
      <c r="P11" s="100" t="s">
        <v>201</v>
      </c>
      <c r="Q11" s="30"/>
      <c r="R11" s="28"/>
      <c r="S11" s="27"/>
      <c r="T11" s="1974"/>
      <c r="U11" s="1975"/>
      <c r="V11" s="1975"/>
      <c r="W11" s="1975"/>
      <c r="X11" s="1975"/>
      <c r="Y11" s="1975"/>
      <c r="Z11" s="1975"/>
      <c r="AA11" s="197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8">
        <v>1069006026</v>
      </c>
      <c r="B13" s="1989"/>
      <c r="C13" s="1989"/>
      <c r="D13" s="1989"/>
      <c r="E13" s="1989"/>
      <c r="F13" s="1989"/>
      <c r="G13" s="1989"/>
      <c r="H13" s="1990"/>
      <c r="I13" s="31"/>
      <c r="J13" s="30"/>
      <c r="K13" s="28"/>
      <c r="L13" s="30"/>
      <c r="M13" s="30"/>
      <c r="N13" s="30"/>
      <c r="O13" s="30"/>
      <c r="P13" s="30"/>
      <c r="Q13" s="30"/>
      <c r="R13" s="30"/>
      <c r="S13" s="30"/>
      <c r="T13" s="1993" t="s">
        <v>2070</v>
      </c>
      <c r="U13" s="1994"/>
      <c r="V13" s="1994"/>
      <c r="W13" s="1994"/>
      <c r="X13" s="1994"/>
      <c r="Y13" s="1995"/>
      <c r="Z13" s="1995"/>
      <c r="AA13" s="199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6" t="s">
        <v>2066</v>
      </c>
      <c r="B15" s="1991"/>
      <c r="C15" s="1991"/>
      <c r="D15" s="1991"/>
      <c r="E15" s="1991"/>
      <c r="F15" s="1991"/>
      <c r="G15" s="1991"/>
      <c r="H15" s="1992"/>
      <c r="T15" s="1954" t="s">
        <v>2077</v>
      </c>
      <c r="U15" s="1955"/>
      <c r="V15" s="1955"/>
      <c r="W15" s="1955"/>
      <c r="X15" s="1955"/>
      <c r="Y15" s="1997"/>
      <c r="Z15" s="1997"/>
      <c r="AA15" s="199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6" t="s">
        <v>2100</v>
      </c>
      <c r="B17" s="2016"/>
      <c r="C17" s="2016"/>
      <c r="D17" s="2016"/>
      <c r="E17" s="2016"/>
      <c r="F17" s="2016"/>
      <c r="G17" s="2016"/>
      <c r="H17" s="2017"/>
      <c r="T17" s="2003" t="s">
        <v>2071</v>
      </c>
      <c r="U17" s="2004"/>
      <c r="V17" s="2004"/>
      <c r="W17" s="2004"/>
      <c r="X17" s="2004"/>
      <c r="Y17" s="2004"/>
      <c r="Z17" s="2004"/>
      <c r="AA17" s="2005"/>
    </row>
    <row r="18" spans="1:27" ht="13.5" customHeight="1" x14ac:dyDescent="0.2">
      <c r="A18" s="85" t="s">
        <v>530</v>
      </c>
      <c r="B18" s="76"/>
      <c r="C18" s="72"/>
      <c r="D18" s="76"/>
      <c r="E18" s="76"/>
      <c r="F18" s="76"/>
      <c r="G18" s="76"/>
      <c r="H18" s="56"/>
      <c r="I18" s="2013" t="s">
        <v>676</v>
      </c>
      <c r="J18" s="2014"/>
      <c r="K18" s="2014"/>
      <c r="L18" s="2014"/>
      <c r="M18" s="2014"/>
      <c r="N18" s="2014"/>
      <c r="O18" s="2014"/>
      <c r="P18" s="2014"/>
      <c r="Q18" s="2014"/>
      <c r="R18" s="2014"/>
      <c r="S18" s="2015"/>
      <c r="T18" s="85" t="s">
        <v>711</v>
      </c>
      <c r="U18" s="51"/>
      <c r="V18" s="72"/>
      <c r="W18" s="50"/>
      <c r="X18" s="85" t="s">
        <v>266</v>
      </c>
      <c r="Y18" s="81"/>
      <c r="Z18" s="159" t="s">
        <v>677</v>
      </c>
      <c r="AA18" s="46"/>
    </row>
    <row r="19" spans="1:27" ht="13.5" customHeight="1" x14ac:dyDescent="0.2">
      <c r="A19" s="1986" t="s">
        <v>2067</v>
      </c>
      <c r="B19" s="1987"/>
      <c r="C19" s="1987"/>
      <c r="D19" s="1987"/>
      <c r="E19" s="1987"/>
      <c r="F19" s="1987"/>
      <c r="G19" s="1987"/>
      <c r="H19" s="1985"/>
      <c r="I19" s="30"/>
      <c r="J19" s="99"/>
      <c r="K19" s="40"/>
      <c r="L19" s="38"/>
      <c r="M19" s="112" t="s">
        <v>315</v>
      </c>
      <c r="P19" s="27"/>
      <c r="Q19" s="27"/>
      <c r="R19" s="27"/>
      <c r="S19" s="31"/>
      <c r="T19" s="1986" t="s">
        <v>2072</v>
      </c>
      <c r="U19" s="1984"/>
      <c r="V19" s="1984"/>
      <c r="W19" s="1985"/>
      <c r="X19" s="2001" t="s">
        <v>2073</v>
      </c>
      <c r="Y19" s="2002"/>
      <c r="Z19" s="1999">
        <v>62711</v>
      </c>
      <c r="AA19" s="200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3" t="s">
        <v>2068</v>
      </c>
      <c r="B21" s="1984"/>
      <c r="C21" s="1984"/>
      <c r="D21" s="1984"/>
      <c r="E21" s="1984"/>
      <c r="F21" s="1984"/>
      <c r="G21" s="1984"/>
      <c r="H21" s="1985"/>
      <c r="I21" s="2009" t="s">
        <v>678</v>
      </c>
      <c r="J21" s="1972"/>
      <c r="K21" s="1972"/>
      <c r="L21" s="1972"/>
      <c r="M21" s="1972"/>
      <c r="N21" s="1972"/>
      <c r="O21" s="1972"/>
      <c r="P21" s="1972"/>
      <c r="Q21" s="1972"/>
      <c r="R21" s="1972"/>
      <c r="S21" s="1973"/>
      <c r="T21" s="1951" t="s">
        <v>2074</v>
      </c>
      <c r="U21" s="1952"/>
      <c r="V21" s="1952"/>
      <c r="W21" s="1952"/>
      <c r="X21" s="1965" t="s">
        <v>2075</v>
      </c>
      <c r="Y21" s="1966"/>
      <c r="Z21" s="1966"/>
      <c r="AA21" s="1967"/>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60" t="s">
        <v>1318</v>
      </c>
      <c r="Z22" s="45"/>
      <c r="AA22" s="46"/>
    </row>
    <row r="23" spans="1:27" ht="13.5" customHeight="1" x14ac:dyDescent="0.2">
      <c r="A23" s="2006" t="s">
        <v>2069</v>
      </c>
      <c r="B23" s="2007"/>
      <c r="C23" s="2007"/>
      <c r="D23" s="2007"/>
      <c r="E23" s="2007"/>
      <c r="F23" s="2007"/>
      <c r="G23" s="2007"/>
      <c r="H23" s="2008"/>
      <c r="T23" s="1946" t="s">
        <v>2078</v>
      </c>
      <c r="U23" s="1947"/>
      <c r="V23" s="1947"/>
      <c r="W23" s="1947"/>
      <c r="X23" s="1962">
        <v>44530</v>
      </c>
      <c r="Y23" s="1963"/>
      <c r="Z23" s="1963"/>
      <c r="AA23" s="1964"/>
    </row>
    <row r="24" spans="1:27" ht="14.1" customHeight="1" x14ac:dyDescent="0.2">
      <c r="A24" s="88" t="s">
        <v>677</v>
      </c>
      <c r="B24" s="49"/>
      <c r="C24" s="49"/>
      <c r="D24" s="49"/>
      <c r="E24" s="49"/>
      <c r="F24" s="49"/>
      <c r="G24" s="49"/>
      <c r="H24" s="61"/>
      <c r="J24" s="2048">
        <f>IF(B5="x",IF(AUDITCHECK!D29="AFR form Incomplete.","",IF(AUDITCHECK!D29="Deficit reduction plan is required.","School District must complete a deficit reduction plan in the 2019-2020 Budget",)),"")</f>
        <v>0</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3">
        <v>62692</v>
      </c>
      <c r="B25" s="1984"/>
      <c r="C25" s="1984"/>
      <c r="D25" s="1984"/>
      <c r="E25" s="1984"/>
      <c r="F25" s="1984"/>
      <c r="G25" s="1984"/>
      <c r="H25" s="1985"/>
      <c r="I25" s="113"/>
      <c r="J25" s="2050"/>
      <c r="K25" s="2050"/>
      <c r="L25" s="2050"/>
      <c r="M25" s="2050"/>
      <c r="N25" s="2050"/>
      <c r="O25" s="2050"/>
      <c r="P25" s="2050"/>
      <c r="Q25" s="2050"/>
      <c r="R25" s="2050"/>
      <c r="S25" s="2051"/>
      <c r="T25" s="1943" t="s">
        <v>2076</v>
      </c>
      <c r="U25" s="1944"/>
      <c r="V25" s="1944"/>
      <c r="W25" s="1944"/>
      <c r="X25" s="1944"/>
      <c r="Y25" s="1944"/>
      <c r="Z25" s="1944"/>
      <c r="AA25" s="19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4"/>
      <c r="K27" s="2014"/>
      <c r="L27" s="2014"/>
      <c r="M27" s="2014"/>
      <c r="N27" s="2014"/>
      <c r="O27" s="2014"/>
      <c r="P27" s="2014"/>
      <c r="Q27" s="2014"/>
      <c r="R27" s="2014"/>
      <c r="S27" s="201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7"/>
      <c r="Q35" s="1984"/>
      <c r="R35" s="19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6"/>
      <c r="B38" s="2016"/>
      <c r="C38" s="2016"/>
      <c r="D38" s="2016"/>
      <c r="E38" s="2016"/>
      <c r="F38" s="1984"/>
      <c r="G38" s="1984"/>
      <c r="H38" s="1985"/>
      <c r="I38" s="2035"/>
      <c r="J38" s="1955"/>
      <c r="K38" s="1955"/>
      <c r="L38" s="1955"/>
      <c r="M38" s="1955"/>
      <c r="N38" s="1955"/>
      <c r="O38" s="1955"/>
      <c r="P38" s="1956"/>
      <c r="Q38" s="1956"/>
      <c r="R38" s="1956"/>
      <c r="S38" s="1957"/>
      <c r="T38" s="1954"/>
      <c r="U38" s="1955"/>
      <c r="V38" s="1955"/>
      <c r="W38" s="1955"/>
      <c r="X38" s="1956"/>
      <c r="Y38" s="1956"/>
      <c r="Z38" s="1956"/>
      <c r="AA38" s="1957"/>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c r="B40" s="2043"/>
      <c r="C40" s="2044"/>
      <c r="D40" s="2044"/>
      <c r="E40" s="2044"/>
      <c r="F40" s="2045"/>
      <c r="G40" s="2045"/>
      <c r="H40" s="2046"/>
      <c r="I40" s="1958"/>
      <c r="J40" s="1960"/>
      <c r="K40" s="1960"/>
      <c r="L40" s="1960"/>
      <c r="M40" s="1960"/>
      <c r="N40" s="1960"/>
      <c r="O40" s="1960"/>
      <c r="P40" s="1960"/>
      <c r="Q40" s="1960"/>
      <c r="R40" s="1960"/>
      <c r="S40" s="1961"/>
      <c r="T40" s="1958"/>
      <c r="U40" s="1959"/>
      <c r="V40" s="1960"/>
      <c r="W40" s="1960"/>
      <c r="X40" s="1960"/>
      <c r="Y40" s="1960"/>
      <c r="Z40" s="1960"/>
      <c r="AA40" s="19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c r="B42" s="2033"/>
      <c r="C42" s="2034"/>
      <c r="D42" s="2047"/>
      <c r="E42" s="2033"/>
      <c r="F42" s="2033"/>
      <c r="G42" s="2033"/>
      <c r="H42" s="2034"/>
      <c r="I42" s="1953"/>
      <c r="J42" s="1949"/>
      <c r="K42" s="1949"/>
      <c r="L42" s="1949"/>
      <c r="M42" s="1949"/>
      <c r="N42" s="1949"/>
      <c r="O42" s="1950"/>
      <c r="P42" s="1948"/>
      <c r="Q42" s="1949"/>
      <c r="R42" s="1949"/>
      <c r="S42" s="1950"/>
      <c r="T42" s="1953"/>
      <c r="U42" s="1949"/>
      <c r="V42" s="1949"/>
      <c r="W42" s="1950"/>
      <c r="X42" s="1948"/>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topLeftCell="A52" zoomScale="6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110" zoomScaleNormal="110" workbookViewId="0">
      <selection activeCell="A47" sqref="A47:I4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2065</v>
      </c>
      <c r="C53" s="179">
        <v>22</v>
      </c>
      <c r="D53" s="247" t="s">
        <v>1462</v>
      </c>
      <c r="E53" s="248"/>
      <c r="F53" s="249"/>
      <c r="G53" s="249" t="s">
        <v>1461</v>
      </c>
      <c r="H53" s="250">
        <v>37622</v>
      </c>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t="s">
        <v>2079</v>
      </c>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2070</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9" colorId="8" zoomScale="110" zoomScaleNormal="110" workbookViewId="0">
      <selection activeCell="J32" sqref="J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52713992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3.3283E-2</v>
      </c>
      <c r="E10" s="356" t="s">
        <v>1005</v>
      </c>
      <c r="F10" s="355">
        <v>5.9100000000000003E-3</v>
      </c>
      <c r="G10" s="356" t="s">
        <v>1005</v>
      </c>
      <c r="H10" s="355">
        <v>3.2569999999999999E-3</v>
      </c>
      <c r="I10" s="356" t="s">
        <v>1006</v>
      </c>
      <c r="J10" s="1732">
        <f>ROUND(D10+F10+H10,5)</f>
        <v>4.2450000000000002E-2</v>
      </c>
      <c r="K10" s="222"/>
      <c r="L10" s="355">
        <v>4.1399999999999998E-4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4110229</v>
      </c>
      <c r="E16" s="356"/>
      <c r="F16" s="1733">
        <f>SUM('Acct Summary 7-8'!C17,'Acct Summary 7-8'!D17,'Acct Summary 7-8'!F17)</f>
        <v>3932776</v>
      </c>
      <c r="G16" s="356"/>
      <c r="H16" s="1733">
        <f>SUM(D16-F16)</f>
        <v>177453</v>
      </c>
      <c r="I16" s="222"/>
      <c r="J16" s="1733">
        <f>SUM('Acct Summary 7-8'!C81,'Acct Summary 7-8'!D81,'Acct Summary 7-8'!F81,'Acct Summary 7-8'!I81)</f>
        <v>3344388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7274530.8960000006</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2985000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24" sqref="H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Waverly CUSD 6</v>
      </c>
      <c r="E7" s="391"/>
      <c r="G7" s="252"/>
      <c r="H7" s="387"/>
      <c r="I7" s="387"/>
      <c r="J7" s="387"/>
      <c r="K7" s="387"/>
      <c r="L7" s="329"/>
      <c r="M7" s="329"/>
      <c r="N7" s="329"/>
      <c r="O7" s="329"/>
      <c r="P7" s="329"/>
    </row>
    <row r="8" spans="1:18" ht="12.75" x14ac:dyDescent="0.2">
      <c r="A8" s="329"/>
      <c r="B8" s="329"/>
      <c r="C8" s="389" t="s">
        <v>1125</v>
      </c>
      <c r="D8" s="392">
        <f>COVER!A13</f>
        <v>1069006026</v>
      </c>
      <c r="E8" s="393"/>
      <c r="G8" s="329"/>
      <c r="H8" s="329"/>
      <c r="I8" s="329"/>
      <c r="J8" s="329"/>
      <c r="K8" s="329"/>
      <c r="L8" s="329"/>
      <c r="M8" s="329"/>
      <c r="N8" s="329"/>
      <c r="O8" s="329"/>
      <c r="P8" s="329"/>
    </row>
    <row r="9" spans="1:18" ht="12.75" x14ac:dyDescent="0.2">
      <c r="A9" s="329"/>
      <c r="B9" s="329"/>
      <c r="C9" s="389" t="s">
        <v>713</v>
      </c>
      <c r="D9" s="394" t="str">
        <f>COVER!A15</f>
        <v>Morgan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3344388</v>
      </c>
      <c r="I12" s="404"/>
      <c r="J12" s="404"/>
      <c r="K12" s="405">
        <f>TRUNC((H12/H13*100000),5)/100000</f>
        <v>0.81367437189999992</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4110229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3932776</v>
      </c>
      <c r="I17" s="404"/>
      <c r="J17" s="416"/>
      <c r="K17" s="405">
        <f>TRUNC((H17/H18*100000),5)/100000</f>
        <v>0.9568264930999999</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4110229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3336527</v>
      </c>
      <c r="I24" s="422"/>
      <c r="J24" s="422"/>
      <c r="K24" s="423">
        <f>TRUNC(((H24/H25*100000)/100000),2)</f>
        <v>305.42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10924.377780000001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1902052.6163399999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2985000</v>
      </c>
      <c r="I32" s="420"/>
      <c r="J32" s="420"/>
      <c r="K32" s="423">
        <f>TRUNC(100-((((H32/H33*100))*100)/100),2)</f>
        <v>58.96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7274530.8960000006</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topLeftCell="F1" colorId="8" zoomScale="60" zoomScaleNormal="110" workbookViewId="0">
      <pane ySplit="2" topLeftCell="A3" activePane="bottomLeft" state="frozen"/>
      <selection pane="bottomLeft" activeCell="Q11" sqref="Q1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1280897</v>
      </c>
      <c r="D4" s="466">
        <v>431570</v>
      </c>
      <c r="E4" s="466">
        <v>136176</v>
      </c>
      <c r="F4" s="466">
        <v>490926</v>
      </c>
      <c r="G4" s="466">
        <v>67811</v>
      </c>
      <c r="H4" s="466">
        <v>263531</v>
      </c>
      <c r="I4" s="466">
        <v>244376</v>
      </c>
      <c r="J4" s="467">
        <v>41003</v>
      </c>
      <c r="K4" s="466">
        <v>131342</v>
      </c>
      <c r="L4" s="466">
        <v>203039</v>
      </c>
      <c r="M4" s="468"/>
      <c r="N4" s="469"/>
    </row>
    <row r="5" spans="1:14" x14ac:dyDescent="0.2">
      <c r="A5" s="463" t="s">
        <v>992</v>
      </c>
      <c r="B5" s="470">
        <v>120</v>
      </c>
      <c r="C5" s="465">
        <v>615187</v>
      </c>
      <c r="D5" s="466">
        <v>119856</v>
      </c>
      <c r="E5" s="466">
        <v>40514</v>
      </c>
      <c r="F5" s="466">
        <v>89994</v>
      </c>
      <c r="G5" s="466"/>
      <c r="H5" s="466"/>
      <c r="I5" s="466">
        <v>63721</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1896084</v>
      </c>
      <c r="D13" s="1737">
        <f t="shared" ref="D13:L13" si="0">SUM(D4:D12)</f>
        <v>551426</v>
      </c>
      <c r="E13" s="1737">
        <f t="shared" si="0"/>
        <v>176690</v>
      </c>
      <c r="F13" s="1737">
        <f t="shared" si="0"/>
        <v>580920</v>
      </c>
      <c r="G13" s="1737">
        <f t="shared" si="0"/>
        <v>67811</v>
      </c>
      <c r="H13" s="1737">
        <f t="shared" si="0"/>
        <v>263531</v>
      </c>
      <c r="I13" s="1737">
        <f t="shared" si="0"/>
        <v>308097</v>
      </c>
      <c r="J13" s="1737">
        <f t="shared" si="0"/>
        <v>41003</v>
      </c>
      <c r="K13" s="1737">
        <f t="shared" si="0"/>
        <v>131342</v>
      </c>
      <c r="L13" s="1737">
        <f t="shared" si="0"/>
        <v>203039</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25161</v>
      </c>
      <c r="N16" s="484"/>
    </row>
    <row r="17" spans="1:14" s="485" customFormat="1" ht="12.75" customHeight="1" x14ac:dyDescent="0.2">
      <c r="A17" s="482" t="s">
        <v>1403</v>
      </c>
      <c r="B17" s="483">
        <v>230</v>
      </c>
      <c r="C17" s="477"/>
      <c r="D17" s="477"/>
      <c r="E17" s="477"/>
      <c r="F17" s="477"/>
      <c r="G17" s="477"/>
      <c r="H17" s="477"/>
      <c r="I17" s="477"/>
      <c r="J17" s="477"/>
      <c r="K17" s="477"/>
      <c r="L17" s="477"/>
      <c r="M17" s="467">
        <v>8439365</v>
      </c>
      <c r="N17" s="484"/>
    </row>
    <row r="18" spans="1:14" s="485" customFormat="1" ht="12.75" customHeight="1" x14ac:dyDescent="0.2">
      <c r="A18" s="482" t="s">
        <v>1404</v>
      </c>
      <c r="B18" s="483">
        <v>240</v>
      </c>
      <c r="C18" s="477"/>
      <c r="D18" s="477"/>
      <c r="E18" s="477"/>
      <c r="F18" s="477"/>
      <c r="G18" s="477"/>
      <c r="H18" s="477"/>
      <c r="I18" s="477"/>
      <c r="J18" s="477"/>
      <c r="K18" s="477"/>
      <c r="L18" s="477"/>
      <c r="M18" s="467">
        <v>214640</v>
      </c>
      <c r="N18" s="484"/>
    </row>
    <row r="19" spans="1:14" s="485" customFormat="1" ht="12.75" customHeight="1" x14ac:dyDescent="0.2">
      <c r="A19" s="482" t="s">
        <v>1405</v>
      </c>
      <c r="B19" s="483">
        <v>250</v>
      </c>
      <c r="C19" s="477"/>
      <c r="D19" s="477"/>
      <c r="E19" s="477"/>
      <c r="F19" s="477"/>
      <c r="G19" s="477"/>
      <c r="H19" s="477"/>
      <c r="I19" s="477"/>
      <c r="J19" s="477"/>
      <c r="K19" s="477"/>
      <c r="L19" s="477"/>
      <c r="M19" s="467">
        <v>1095037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176690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2808310</v>
      </c>
    </row>
    <row r="23" spans="1:14" ht="13.5" customHeight="1" thickBot="1" x14ac:dyDescent="0.25">
      <c r="A23" s="1736" t="s">
        <v>643</v>
      </c>
      <c r="B23" s="1741"/>
      <c r="C23" s="468"/>
      <c r="D23" s="468"/>
      <c r="E23" s="468"/>
      <c r="F23" s="468"/>
      <c r="G23" s="468"/>
      <c r="H23" s="468"/>
      <c r="I23" s="468"/>
      <c r="J23" s="468"/>
      <c r="K23" s="468"/>
      <c r="L23" s="468"/>
      <c r="M23" s="1688">
        <f>SUM(M15:M22)</f>
        <v>9774203</v>
      </c>
      <c r="N23" s="1688">
        <f>SUM(N21:N22)</f>
        <v>2985000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-2274</v>
      </c>
      <c r="D31" s="467">
        <v>-3566</v>
      </c>
      <c r="E31" s="467"/>
      <c r="F31" s="466">
        <v>-2021</v>
      </c>
      <c r="G31" s="467">
        <v>-66</v>
      </c>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203039</v>
      </c>
      <c r="M33" s="468"/>
      <c r="N33" s="469"/>
    </row>
    <row r="34" spans="1:14" ht="13.5" customHeight="1" thickBot="1" x14ac:dyDescent="0.25">
      <c r="A34" s="1738" t="s">
        <v>654</v>
      </c>
      <c r="B34" s="1739"/>
      <c r="C34" s="1740">
        <f>SUM(C25:C33)</f>
        <v>-2274</v>
      </c>
      <c r="D34" s="1740">
        <f t="shared" ref="D34:K34" si="1">SUM(D25:D33)</f>
        <v>-3566</v>
      </c>
      <c r="E34" s="1740">
        <f t="shared" si="1"/>
        <v>0</v>
      </c>
      <c r="F34" s="1740">
        <f t="shared" si="1"/>
        <v>-2021</v>
      </c>
      <c r="G34" s="1740">
        <f t="shared" si="1"/>
        <v>-66</v>
      </c>
      <c r="H34" s="1740">
        <f t="shared" si="1"/>
        <v>0</v>
      </c>
      <c r="I34" s="1740">
        <f t="shared" si="1"/>
        <v>0</v>
      </c>
      <c r="J34" s="1740">
        <f t="shared" si="1"/>
        <v>0</v>
      </c>
      <c r="K34" s="1740">
        <f t="shared" si="1"/>
        <v>0</v>
      </c>
      <c r="L34" s="1721">
        <f>SUM(L33)</f>
        <v>203039</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2985000</v>
      </c>
    </row>
    <row r="37" spans="1:14" ht="13.5" thickBot="1" x14ac:dyDescent="0.25">
      <c r="A37" s="1736" t="s">
        <v>653</v>
      </c>
      <c r="B37" s="1741"/>
      <c r="C37" s="477"/>
      <c r="D37" s="477"/>
      <c r="E37" s="477"/>
      <c r="F37" s="477"/>
      <c r="G37" s="477"/>
      <c r="H37" s="477"/>
      <c r="I37" s="477"/>
      <c r="J37" s="477"/>
      <c r="K37" s="477"/>
      <c r="L37" s="480"/>
      <c r="M37" s="468"/>
      <c r="N37" s="1688">
        <f>SUM(N36:N36)</f>
        <v>2985000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1898358</v>
      </c>
      <c r="D39" s="466">
        <v>554992</v>
      </c>
      <c r="E39" s="466">
        <v>176690</v>
      </c>
      <c r="F39" s="466">
        <v>582941</v>
      </c>
      <c r="G39" s="466">
        <v>67877</v>
      </c>
      <c r="H39" s="466">
        <v>263531</v>
      </c>
      <c r="I39" s="466">
        <v>308097</v>
      </c>
      <c r="J39" s="467">
        <v>41003</v>
      </c>
      <c r="K39" s="466">
        <v>131342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9774203</v>
      </c>
      <c r="N40" s="497"/>
    </row>
    <row r="41" spans="1:14" ht="13.5" customHeight="1" thickBot="1" x14ac:dyDescent="0.25">
      <c r="A41" s="1736" t="s">
        <v>655</v>
      </c>
      <c r="B41" s="1706"/>
      <c r="C41" s="1688">
        <f>(SUM(C34,C37,C38,C39))</f>
        <v>1896084</v>
      </c>
      <c r="D41" s="1688">
        <f t="shared" ref="D41:L41" si="2">SUM(D34,D37,D38:D39)</f>
        <v>551426</v>
      </c>
      <c r="E41" s="1688">
        <f t="shared" si="2"/>
        <v>176690</v>
      </c>
      <c r="F41" s="1688">
        <f t="shared" si="2"/>
        <v>580920</v>
      </c>
      <c r="G41" s="1688">
        <f t="shared" si="2"/>
        <v>67811</v>
      </c>
      <c r="H41" s="1688">
        <f t="shared" si="2"/>
        <v>263531</v>
      </c>
      <c r="I41" s="1688">
        <f t="shared" si="2"/>
        <v>308097</v>
      </c>
      <c r="J41" s="1688">
        <f t="shared" si="2"/>
        <v>41003</v>
      </c>
      <c r="K41" s="1688">
        <f t="shared" si="2"/>
        <v>131342</v>
      </c>
      <c r="L41" s="1688">
        <f t="shared" si="2"/>
        <v>203039</v>
      </c>
      <c r="M41" s="1688">
        <f>SUM(M40)</f>
        <v>9774203</v>
      </c>
      <c r="N41" s="1688">
        <f>SUM(N37)</f>
        <v>2985000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1977247</v>
      </c>
      <c r="D4" s="1742">
        <f>'Revenues 9-14'!D109</f>
        <v>407429</v>
      </c>
      <c r="E4" s="1742">
        <f>'Revenues 9-14'!E109</f>
        <v>288025</v>
      </c>
      <c r="F4" s="1742">
        <f>'Revenues 9-14'!F109</f>
        <v>180421</v>
      </c>
      <c r="G4" s="1742">
        <f>'Revenues 9-14'!G109</f>
        <v>120836</v>
      </c>
      <c r="H4" s="1742">
        <f>'Revenues 9-14'!H109</f>
        <v>0</v>
      </c>
      <c r="I4" s="1742">
        <f>'Revenues 9-14'!I109</f>
        <v>22192</v>
      </c>
      <c r="J4" s="1742">
        <f>'Revenues 9-14'!J109</f>
        <v>44369</v>
      </c>
      <c r="K4" s="1742">
        <f>'Revenues 9-14'!K109</f>
        <v>23280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1098815</v>
      </c>
      <c r="D6" s="1743">
        <f>'Revenues 9-14'!D170</f>
        <v>0</v>
      </c>
      <c r="E6" s="1743">
        <f>'Revenues 9-14'!E170</f>
        <v>0</v>
      </c>
      <c r="F6" s="1743">
        <f>'Revenues 9-14'!F170</f>
        <v>143625</v>
      </c>
      <c r="G6" s="1743">
        <f>'Revenues 9-14'!G170</f>
        <v>0</v>
      </c>
      <c r="H6" s="1743">
        <f>'Revenues 9-14'!H170</f>
        <v>227591</v>
      </c>
      <c r="I6" s="1743">
        <f>'Revenues 9-14'!I170</f>
        <v>0</v>
      </c>
      <c r="J6" s="1743">
        <f>'Revenues 9-14'!J170</f>
        <v>17500</v>
      </c>
      <c r="K6" s="1743">
        <f>'Revenues 9-14'!K170</f>
        <v>0</v>
      </c>
      <c r="L6" s="347"/>
      <c r="M6" s="513"/>
    </row>
    <row r="7" spans="1:13" ht="15.75" customHeight="1" x14ac:dyDescent="0.2">
      <c r="A7" s="1576" t="s">
        <v>1502</v>
      </c>
      <c r="B7" s="1578">
        <v>4000</v>
      </c>
      <c r="C7" s="1743">
        <f>'Revenues 9-14'!C267</f>
        <v>280500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3356562</v>
      </c>
      <c r="D8" s="1688">
        <f t="shared" ref="D8:K8" si="0">SUM(D4:D7)</f>
        <v>407429</v>
      </c>
      <c r="E8" s="1688">
        <f t="shared" si="0"/>
        <v>288025</v>
      </c>
      <c r="F8" s="1688">
        <f t="shared" si="0"/>
        <v>324046</v>
      </c>
      <c r="G8" s="1688">
        <f t="shared" si="0"/>
        <v>120836</v>
      </c>
      <c r="H8" s="1688">
        <f t="shared" si="0"/>
        <v>227591</v>
      </c>
      <c r="I8" s="1688">
        <f t="shared" si="0"/>
        <v>22192</v>
      </c>
      <c r="J8" s="1688">
        <f t="shared" si="0"/>
        <v>61869</v>
      </c>
      <c r="K8" s="1688">
        <f t="shared" si="0"/>
        <v>23280</v>
      </c>
      <c r="L8" s="347"/>
    </row>
    <row r="9" spans="1:13" ht="15.75" thickTop="1" x14ac:dyDescent="0.2">
      <c r="A9" s="514" t="s">
        <v>1653</v>
      </c>
      <c r="B9" s="515">
        <v>3998</v>
      </c>
      <c r="C9" s="481">
        <f>182657+24132</f>
        <v>206789</v>
      </c>
      <c r="D9" s="516"/>
      <c r="E9" s="481"/>
      <c r="F9" s="481"/>
      <c r="G9" s="517"/>
      <c r="H9" s="481"/>
      <c r="I9" s="509" t="s">
        <v>1169</v>
      </c>
      <c r="J9" s="478"/>
      <c r="K9" s="481"/>
      <c r="L9" s="347"/>
    </row>
    <row r="10" spans="1:13" s="519" customFormat="1" ht="13.5" thickBot="1" x14ac:dyDescent="0.25">
      <c r="A10" s="1736" t="s">
        <v>1173</v>
      </c>
      <c r="B10" s="1709"/>
      <c r="C10" s="1688">
        <f>SUM(C8:C9)</f>
        <v>3563351</v>
      </c>
      <c r="D10" s="1688">
        <f t="shared" ref="D10:K10" si="1">SUM(D8:D9)</f>
        <v>407429</v>
      </c>
      <c r="E10" s="1688">
        <f t="shared" si="1"/>
        <v>288025</v>
      </c>
      <c r="F10" s="1688">
        <f t="shared" si="1"/>
        <v>324046</v>
      </c>
      <c r="G10" s="1688">
        <f t="shared" si="1"/>
        <v>120836</v>
      </c>
      <c r="H10" s="1688">
        <f t="shared" si="1"/>
        <v>227591</v>
      </c>
      <c r="I10" s="1688">
        <f t="shared" si="1"/>
        <v>22192</v>
      </c>
      <c r="J10" s="1688">
        <f t="shared" si="1"/>
        <v>61869</v>
      </c>
      <c r="K10" s="1688">
        <f t="shared" si="1"/>
        <v>23280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2248332</v>
      </c>
      <c r="D12" s="520" t="s">
        <v>1169</v>
      </c>
      <c r="E12" s="468" t="s">
        <v>1169</v>
      </c>
      <c r="F12" s="468" t="s">
        <v>1169</v>
      </c>
      <c r="G12" s="1742">
        <f>'Expenditures 15-22'!K229</f>
        <v>51009</v>
      </c>
      <c r="H12" s="521"/>
      <c r="I12" s="468" t="s">
        <v>1169</v>
      </c>
      <c r="J12" s="468" t="s">
        <v>1169</v>
      </c>
      <c r="K12" s="521" t="s">
        <v>1169</v>
      </c>
      <c r="L12" s="347"/>
    </row>
    <row r="13" spans="1:13" ht="15.75" customHeight="1" x14ac:dyDescent="0.2">
      <c r="A13" s="1576" t="s">
        <v>457</v>
      </c>
      <c r="B13" s="1578">
        <v>2000</v>
      </c>
      <c r="C13" s="1743">
        <f>'Expenditures 15-22'!K74</f>
        <v>853462</v>
      </c>
      <c r="D13" s="1743">
        <f>'Expenditures 15-22'!K129</f>
        <v>398327</v>
      </c>
      <c r="E13" s="469" t="s">
        <v>1169</v>
      </c>
      <c r="F13" s="1743">
        <f>'Expenditures 15-22'!K184</f>
        <v>298687</v>
      </c>
      <c r="G13" s="1743">
        <f>'Expenditures 15-22'!K279</f>
        <v>65599</v>
      </c>
      <c r="H13" s="1743">
        <f>'Expenditures 15-22'!K303</f>
        <v>237394</v>
      </c>
      <c r="I13" s="468" t="s">
        <v>1169</v>
      </c>
      <c r="J13" s="1743">
        <f>'Expenditures 15-22'!K330</f>
        <v>55578</v>
      </c>
      <c r="K13" s="1747">
        <f>'Expenditures 15-22'!K352</f>
        <v>2330</v>
      </c>
      <c r="L13" s="347"/>
    </row>
    <row r="14" spans="1:13" ht="15.75" customHeight="1" x14ac:dyDescent="0.2">
      <c r="A14" s="1576" t="s">
        <v>449</v>
      </c>
      <c r="B14" s="1578">
        <v>3000</v>
      </c>
      <c r="C14" s="1743">
        <f>'Expenditures 15-22'!K75</f>
        <v>1547</v>
      </c>
      <c r="D14" s="1743">
        <f>'Expenditures 15-22'!K130</f>
        <v>0</v>
      </c>
      <c r="E14" s="520" t="s">
        <v>1169</v>
      </c>
      <c r="F14" s="1743">
        <f>'Expenditures 15-22'!K185</f>
        <v>0</v>
      </c>
      <c r="G14" s="1743">
        <f>'Expenditures 15-22'!K280</f>
        <v>45</v>
      </c>
      <c r="H14" s="512"/>
      <c r="I14" s="468" t="s">
        <v>1169</v>
      </c>
      <c r="J14" s="468" t="s">
        <v>1169</v>
      </c>
      <c r="K14" s="512" t="s">
        <v>1169</v>
      </c>
      <c r="L14" s="347"/>
    </row>
    <row r="15" spans="1:13" ht="15.75" customHeight="1" x14ac:dyDescent="0.2">
      <c r="A15" s="1576" t="s">
        <v>107</v>
      </c>
      <c r="B15" s="1578">
        <v>4000</v>
      </c>
      <c r="C15" s="1743">
        <f>'Expenditures 15-22'!K102</f>
        <v>132421</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301395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3235762</v>
      </c>
      <c r="D17" s="1688">
        <f t="shared" si="2"/>
        <v>398327</v>
      </c>
      <c r="E17" s="1688">
        <f t="shared" si="2"/>
        <v>301395</v>
      </c>
      <c r="F17" s="1688">
        <f t="shared" si="2"/>
        <v>298687</v>
      </c>
      <c r="G17" s="1688">
        <f t="shared" si="2"/>
        <v>116653</v>
      </c>
      <c r="H17" s="1688">
        <f t="shared" si="2"/>
        <v>237394</v>
      </c>
      <c r="I17" s="468"/>
      <c r="J17" s="1688">
        <f>SUM(J12:J16)</f>
        <v>55578</v>
      </c>
      <c r="K17" s="1688">
        <f>SUM(K12:K16)</f>
        <v>2330</v>
      </c>
      <c r="L17" s="347"/>
    </row>
    <row r="18" spans="1:12" ht="15" customHeight="1" thickTop="1" x14ac:dyDescent="0.2">
      <c r="A18" s="1744" t="s">
        <v>1654</v>
      </c>
      <c r="B18" s="1745">
        <v>4180</v>
      </c>
      <c r="C18" s="1742">
        <f t="shared" ref="C18:H18" si="3">C9</f>
        <v>206789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3442551</v>
      </c>
      <c r="D19" s="1688">
        <f t="shared" si="4"/>
        <v>398327</v>
      </c>
      <c r="E19" s="1688">
        <f t="shared" si="4"/>
        <v>301395</v>
      </c>
      <c r="F19" s="1688">
        <f t="shared" si="4"/>
        <v>298687</v>
      </c>
      <c r="G19" s="1688">
        <f t="shared" si="4"/>
        <v>116653</v>
      </c>
      <c r="H19" s="1688">
        <f t="shared" si="4"/>
        <v>237394</v>
      </c>
      <c r="I19" s="468"/>
      <c r="J19" s="1688">
        <f>SUM(J17:J18)</f>
        <v>55578</v>
      </c>
      <c r="K19" s="1688">
        <f>SUM(K17:K18)</f>
        <v>2330</v>
      </c>
      <c r="L19" s="347"/>
    </row>
    <row r="20" spans="1:12" ht="16.5" thickTop="1" thickBot="1" x14ac:dyDescent="0.25">
      <c r="A20" s="2128" t="s">
        <v>1655</v>
      </c>
      <c r="B20" s="2129"/>
      <c r="C20" s="1746">
        <f>C8-C17</f>
        <v>120800</v>
      </c>
      <c r="D20" s="1746">
        <f t="shared" ref="D20:K20" si="5">D8-D17</f>
        <v>9102</v>
      </c>
      <c r="E20" s="1746">
        <f t="shared" si="5"/>
        <v>-13370</v>
      </c>
      <c r="F20" s="1746">
        <f t="shared" si="5"/>
        <v>25359</v>
      </c>
      <c r="G20" s="1746">
        <f t="shared" si="5"/>
        <v>4183</v>
      </c>
      <c r="H20" s="1746">
        <f t="shared" si="5"/>
        <v>-9803</v>
      </c>
      <c r="I20" s="1746">
        <f t="shared" si="5"/>
        <v>22192</v>
      </c>
      <c r="J20" s="1746">
        <f t="shared" si="5"/>
        <v>6291</v>
      </c>
      <c r="K20" s="1746">
        <f t="shared" si="5"/>
        <v>20950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120800</v>
      </c>
      <c r="D78" s="1702">
        <f t="shared" si="9"/>
        <v>9102</v>
      </c>
      <c r="E78" s="1702">
        <f t="shared" si="9"/>
        <v>-13370</v>
      </c>
      <c r="F78" s="1702">
        <f t="shared" si="9"/>
        <v>25359</v>
      </c>
      <c r="G78" s="1702">
        <f t="shared" si="9"/>
        <v>4183</v>
      </c>
      <c r="H78" s="1702">
        <f t="shared" si="9"/>
        <v>-9803</v>
      </c>
      <c r="I78" s="1702">
        <f t="shared" si="9"/>
        <v>22192</v>
      </c>
      <c r="J78" s="1702">
        <f t="shared" si="9"/>
        <v>6291</v>
      </c>
      <c r="K78" s="1702">
        <f t="shared" si="9"/>
        <v>20950</v>
      </c>
      <c r="L78" s="533"/>
    </row>
    <row r="79" spans="1:12" ht="13.5" thickTop="1" x14ac:dyDescent="0.2">
      <c r="A79" s="1494" t="s">
        <v>1947</v>
      </c>
      <c r="B79" s="534"/>
      <c r="C79" s="478">
        <v>1777558</v>
      </c>
      <c r="D79" s="535">
        <v>545890</v>
      </c>
      <c r="E79" s="535">
        <v>190060</v>
      </c>
      <c r="F79" s="535">
        <v>557582</v>
      </c>
      <c r="G79" s="535">
        <v>63694</v>
      </c>
      <c r="H79" s="535">
        <v>273334</v>
      </c>
      <c r="I79" s="535">
        <v>285905</v>
      </c>
      <c r="J79" s="535">
        <v>34712</v>
      </c>
      <c r="K79" s="535">
        <v>110392</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1898358</v>
      </c>
      <c r="D81" s="1688">
        <f>SUM(D78:D80)</f>
        <v>554992</v>
      </c>
      <c r="E81" s="1688">
        <f t="shared" ref="E81:K81" si="10">SUM(E78:E80)</f>
        <v>176690</v>
      </c>
      <c r="F81" s="1688">
        <f t="shared" si="10"/>
        <v>582941</v>
      </c>
      <c r="G81" s="1688">
        <f t="shared" si="10"/>
        <v>67877</v>
      </c>
      <c r="H81" s="1688">
        <f t="shared" si="10"/>
        <v>263531</v>
      </c>
      <c r="I81" s="1688">
        <f t="shared" si="10"/>
        <v>308097</v>
      </c>
      <c r="J81" s="1688">
        <f t="shared" si="10"/>
        <v>41003</v>
      </c>
      <c r="K81" s="1688">
        <f t="shared" si="10"/>
        <v>131342</v>
      </c>
      <c r="L81" s="347"/>
    </row>
    <row r="82" spans="1:12" ht="0.75" customHeight="1" thickTop="1" thickBot="1" x14ac:dyDescent="0.25">
      <c r="A82" s="536" t="s">
        <v>343</v>
      </c>
      <c r="B82" s="537"/>
      <c r="C82" s="538">
        <f>(C81-C79)</f>
        <v>120800</v>
      </c>
      <c r="D82" s="538">
        <f t="shared" ref="D82:K82" si="11">(D81-D79)</f>
        <v>9102</v>
      </c>
      <c r="E82" s="538">
        <f t="shared" si="11"/>
        <v>-13370</v>
      </c>
      <c r="F82" s="538">
        <f t="shared" si="11"/>
        <v>25359</v>
      </c>
      <c r="G82" s="538">
        <f t="shared" si="11"/>
        <v>4183</v>
      </c>
      <c r="H82" s="538">
        <f t="shared" si="11"/>
        <v>-9803</v>
      </c>
      <c r="I82" s="538">
        <f t="shared" si="11"/>
        <v>22192</v>
      </c>
      <c r="J82" s="538">
        <f t="shared" si="11"/>
        <v>6291</v>
      </c>
      <c r="K82" s="538">
        <f t="shared" si="11"/>
        <v>20950</v>
      </c>
    </row>
    <row r="83" spans="1:12" ht="14.25" hidden="1" thickTop="1" thickBot="1" x14ac:dyDescent="0.25">
      <c r="A83" s="539" t="s">
        <v>344</v>
      </c>
      <c r="B83" s="464"/>
      <c r="C83" s="540">
        <f>C82/C81</f>
        <v>6.3633940489623134E-2</v>
      </c>
      <c r="D83" s="540">
        <f t="shared" ref="D83:K83" si="12">D82/D81</f>
        <v>1.6400236399803963E-2</v>
      </c>
      <c r="E83" s="540">
        <f t="shared" si="12"/>
        <v>-7.56692512309695E-2</v>
      </c>
      <c r="F83" s="540">
        <f t="shared" si="12"/>
        <v>4.3501829516194607E-2</v>
      </c>
      <c r="G83" s="540">
        <f t="shared" si="12"/>
        <v>6.1626176760905753E-2</v>
      </c>
      <c r="H83" s="540">
        <f t="shared" si="12"/>
        <v>-3.7198659740220318E-2</v>
      </c>
      <c r="I83" s="540">
        <f t="shared" si="12"/>
        <v>7.2029263511166938E-2</v>
      </c>
      <c r="J83" s="540">
        <f t="shared" si="12"/>
        <v>0.15342779796600248</v>
      </c>
      <c r="K83" s="540">
        <f t="shared" si="12"/>
        <v>0.15950724063894262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5" activePane="bottomLeft" state="frozen"/>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1680205</v>
      </c>
      <c r="D5" s="481">
        <v>298284</v>
      </c>
      <c r="E5" s="466">
        <v>286823</v>
      </c>
      <c r="F5" s="548">
        <v>164392</v>
      </c>
      <c r="G5" s="466">
        <v>58158</v>
      </c>
      <c r="H5" s="466"/>
      <c r="I5" s="466">
        <v>20740</v>
      </c>
      <c r="J5" s="467">
        <v>43094</v>
      </c>
      <c r="K5" s="466">
        <v>23256</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16902</v>
      </c>
      <c r="D7" s="466"/>
      <c r="E7" s="468"/>
      <c r="F7" s="467"/>
      <c r="G7" s="467"/>
      <c r="H7" s="467"/>
      <c r="I7" s="468"/>
      <c r="J7" s="468"/>
      <c r="K7" s="468"/>
    </row>
    <row r="8" spans="1:12" x14ac:dyDescent="0.2">
      <c r="A8" s="463" t="s">
        <v>413</v>
      </c>
      <c r="B8" s="470">
        <v>1150</v>
      </c>
      <c r="C8" s="475"/>
      <c r="D8" s="475"/>
      <c r="E8" s="477"/>
      <c r="F8" s="477"/>
      <c r="G8" s="481">
        <v>58152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1697107</v>
      </c>
      <c r="D12" s="1707">
        <f t="shared" si="0"/>
        <v>298284</v>
      </c>
      <c r="E12" s="1707">
        <f t="shared" si="0"/>
        <v>286823</v>
      </c>
      <c r="F12" s="1707">
        <f t="shared" si="0"/>
        <v>164392</v>
      </c>
      <c r="G12" s="1707">
        <f t="shared" si="0"/>
        <v>116310</v>
      </c>
      <c r="H12" s="1707">
        <f t="shared" si="0"/>
        <v>0</v>
      </c>
      <c r="I12" s="1707">
        <f t="shared" si="0"/>
        <v>20740</v>
      </c>
      <c r="J12" s="1707">
        <f t="shared" si="0"/>
        <v>43094</v>
      </c>
      <c r="K12" s="1688">
        <f t="shared" si="0"/>
        <v>23256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82050</v>
      </c>
      <c r="D16" s="466">
        <v>64409</v>
      </c>
      <c r="E16" s="466"/>
      <c r="F16" s="466"/>
      <c r="G16" s="466">
        <v>4409</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82050</v>
      </c>
      <c r="D18" s="1710">
        <f t="shared" ref="D18:K18" si="1">SUM(D14:D17)</f>
        <v>64409</v>
      </c>
      <c r="E18" s="1710">
        <f t="shared" si="1"/>
        <v>0</v>
      </c>
      <c r="F18" s="1710">
        <f t="shared" si="1"/>
        <v>0</v>
      </c>
      <c r="G18" s="1710">
        <f t="shared" si="1"/>
        <v>4409</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23160</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23160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15606</v>
      </c>
      <c r="D65" s="466">
        <v>2992</v>
      </c>
      <c r="E65" s="466">
        <v>1202</v>
      </c>
      <c r="F65" s="467">
        <v>2186</v>
      </c>
      <c r="G65" s="466">
        <v>117</v>
      </c>
      <c r="H65" s="466"/>
      <c r="I65" s="466">
        <v>1452</v>
      </c>
      <c r="J65" s="467">
        <v>46</v>
      </c>
      <c r="K65" s="466">
        <v>24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15606</v>
      </c>
      <c r="D67" s="1688">
        <f t="shared" ref="D67:K67" si="2">SUM(D65:D66)</f>
        <v>2992</v>
      </c>
      <c r="E67" s="1688">
        <f t="shared" si="2"/>
        <v>1202</v>
      </c>
      <c r="F67" s="1688">
        <f t="shared" si="2"/>
        <v>2186</v>
      </c>
      <c r="G67" s="1688">
        <f t="shared" si="2"/>
        <v>117</v>
      </c>
      <c r="H67" s="1688">
        <f t="shared" si="2"/>
        <v>0</v>
      </c>
      <c r="I67" s="1688">
        <f t="shared" si="2"/>
        <v>1452</v>
      </c>
      <c r="J67" s="1688">
        <f t="shared" si="2"/>
        <v>46</v>
      </c>
      <c r="K67" s="1688">
        <f t="shared" si="2"/>
        <v>24</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42242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42242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9655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4049</v>
      </c>
      <c r="D81" s="466"/>
      <c r="E81" s="468"/>
      <c r="F81" s="468"/>
      <c r="G81" s="468"/>
      <c r="H81" s="468"/>
      <c r="I81" s="468"/>
      <c r="J81" s="468"/>
      <c r="K81" s="468"/>
    </row>
    <row r="82" spans="1:11" ht="12.75" customHeight="1" thickBot="1" x14ac:dyDescent="0.25">
      <c r="A82" s="1708" t="s">
        <v>241</v>
      </c>
      <c r="B82" s="1709"/>
      <c r="C82" s="1707">
        <f>SUM(C77:C81)</f>
        <v>13704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11345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11345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19838</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62831</v>
      </c>
      <c r="D98" s="466"/>
      <c r="E98" s="512"/>
      <c r="F98" s="466"/>
      <c r="G98" s="512"/>
      <c r="H98" s="512"/>
      <c r="I98" s="510"/>
      <c r="J98" s="512"/>
      <c r="K98" s="512"/>
    </row>
    <row r="99" spans="1:12" ht="12.75" customHeight="1" x14ac:dyDescent="0.2">
      <c r="A99" s="463" t="s">
        <v>821</v>
      </c>
      <c r="B99" s="470">
        <v>1950</v>
      </c>
      <c r="C99" s="489">
        <v>7605</v>
      </c>
      <c r="D99" s="466">
        <v>12064</v>
      </c>
      <c r="E99" s="466"/>
      <c r="F99" s="466">
        <v>11343</v>
      </c>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825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934</v>
      </c>
      <c r="D107" s="466">
        <v>29680</v>
      </c>
      <c r="E107" s="466"/>
      <c r="F107" s="466">
        <v>2500</v>
      </c>
      <c r="G107" s="466"/>
      <c r="H107" s="466"/>
      <c r="I107" s="466"/>
      <c r="J107" s="467">
        <v>1229</v>
      </c>
      <c r="K107" s="466"/>
    </row>
    <row r="108" spans="1:12" ht="12.75" customHeight="1" thickBot="1" x14ac:dyDescent="0.25">
      <c r="A108" s="1708" t="s">
        <v>487</v>
      </c>
      <c r="B108" s="1712"/>
      <c r="C108" s="1707">
        <f>SUM(C95:C107)</f>
        <v>92033</v>
      </c>
      <c r="D108" s="1707">
        <f t="shared" ref="D108:K108" si="3">SUM(D95:D107)</f>
        <v>41744</v>
      </c>
      <c r="E108" s="1707">
        <f t="shared" si="3"/>
        <v>0</v>
      </c>
      <c r="F108" s="1707">
        <f t="shared" si="3"/>
        <v>13843</v>
      </c>
      <c r="G108" s="1707">
        <f t="shared" si="3"/>
        <v>0</v>
      </c>
      <c r="H108" s="1707">
        <f t="shared" si="3"/>
        <v>0</v>
      </c>
      <c r="I108" s="1707">
        <f t="shared" si="3"/>
        <v>0</v>
      </c>
      <c r="J108" s="1707">
        <f t="shared" si="3"/>
        <v>1229</v>
      </c>
      <c r="K108" s="1688">
        <f t="shared" si="3"/>
        <v>0</v>
      </c>
    </row>
    <row r="109" spans="1:12" ht="14.25" thickTop="1" thickBot="1" x14ac:dyDescent="0.25">
      <c r="A109" s="1713" t="s">
        <v>248</v>
      </c>
      <c r="B109" s="1714" t="s">
        <v>570</v>
      </c>
      <c r="C109" s="1715">
        <f t="shared" ref="C109:K109" si="4">SUM(C12,C18,C40,C63,C67,C75,C82,C93,C108,)</f>
        <v>1977247</v>
      </c>
      <c r="D109" s="1715">
        <f t="shared" si="4"/>
        <v>407429</v>
      </c>
      <c r="E109" s="1715">
        <f t="shared" si="4"/>
        <v>288025</v>
      </c>
      <c r="F109" s="1715">
        <f t="shared" si="4"/>
        <v>180421</v>
      </c>
      <c r="G109" s="1715">
        <f t="shared" si="4"/>
        <v>120836</v>
      </c>
      <c r="H109" s="1715">
        <f t="shared" si="4"/>
        <v>0</v>
      </c>
      <c r="I109" s="1715">
        <f t="shared" si="4"/>
        <v>22192</v>
      </c>
      <c r="J109" s="1715">
        <f t="shared" si="4"/>
        <v>44369</v>
      </c>
      <c r="K109" s="1702">
        <f t="shared" si="4"/>
        <v>23280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946912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v>17500</v>
      </c>
      <c r="K121" s="466"/>
    </row>
    <row r="122" spans="1:11" ht="12.6" customHeight="1" thickBot="1" x14ac:dyDescent="0.25">
      <c r="A122" s="1708" t="s">
        <v>488</v>
      </c>
      <c r="B122" s="1719"/>
      <c r="C122" s="1707">
        <f t="shared" ref="C122:H122" si="5">SUM(C117:C121)</f>
        <v>946912</v>
      </c>
      <c r="D122" s="1707">
        <f t="shared" si="5"/>
        <v>0</v>
      </c>
      <c r="E122" s="1707">
        <f t="shared" si="5"/>
        <v>0</v>
      </c>
      <c r="F122" s="1707">
        <f t="shared" si="5"/>
        <v>0</v>
      </c>
      <c r="G122" s="1707">
        <f t="shared" si="5"/>
        <v>0</v>
      </c>
      <c r="H122" s="1707">
        <f t="shared" si="5"/>
        <v>0</v>
      </c>
      <c r="I122" s="468"/>
      <c r="J122" s="1707">
        <f>SUM(J117:J121)</f>
        <v>17500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4667</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4667</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1152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4740</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98859</v>
      </c>
      <c r="G152" s="467"/>
      <c r="H152" s="468"/>
      <c r="I152" s="468"/>
      <c r="J152" s="468"/>
      <c r="K152" s="468"/>
    </row>
    <row r="153" spans="1:11" ht="12.75" customHeight="1" x14ac:dyDescent="0.2">
      <c r="A153" s="463" t="s">
        <v>1057</v>
      </c>
      <c r="B153" s="562">
        <v>3510</v>
      </c>
      <c r="C153" s="551"/>
      <c r="D153" s="466"/>
      <c r="E153" s="561"/>
      <c r="F153" s="466">
        <v>44766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143625</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140594</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v>227591</v>
      </c>
      <c r="I168" s="581"/>
      <c r="J168" s="581"/>
      <c r="K168" s="582"/>
    </row>
    <row r="169" spans="1:11" ht="12.75" customHeight="1" thickTop="1" thickBot="1" x14ac:dyDescent="0.25">
      <c r="A169" s="2146" t="s">
        <v>398</v>
      </c>
      <c r="B169" s="2147"/>
      <c r="C169" s="1722">
        <f t="shared" ref="C169:K169" si="6">SUM(C132,C141,C145,C146:C150,C155,C156:C167,C168)</f>
        <v>151903</v>
      </c>
      <c r="D169" s="1722">
        <f t="shared" si="6"/>
        <v>0</v>
      </c>
      <c r="E169" s="1722">
        <f t="shared" si="6"/>
        <v>0</v>
      </c>
      <c r="F169" s="1722">
        <f t="shared" si="6"/>
        <v>143625</v>
      </c>
      <c r="G169" s="1722">
        <f t="shared" si="6"/>
        <v>0</v>
      </c>
      <c r="H169" s="1722">
        <f t="shared" si="6"/>
        <v>227591</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1098815</v>
      </c>
      <c r="D170" s="1715">
        <f t="shared" si="7"/>
        <v>0</v>
      </c>
      <c r="E170" s="1715">
        <f t="shared" si="7"/>
        <v>0</v>
      </c>
      <c r="F170" s="1715">
        <f t="shared" si="7"/>
        <v>143625</v>
      </c>
      <c r="G170" s="1715">
        <f t="shared" si="7"/>
        <v>0</v>
      </c>
      <c r="H170" s="1715">
        <f t="shared" si="7"/>
        <v>227591</v>
      </c>
      <c r="I170" s="1715">
        <f t="shared" si="7"/>
        <v>0</v>
      </c>
      <c r="J170" s="1715">
        <f t="shared" si="7"/>
        <v>17500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42115</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42115</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46510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17287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63797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124184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124184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12119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38285</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280500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280500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3356562</v>
      </c>
      <c r="D268" s="1715">
        <f t="shared" si="12"/>
        <v>407429</v>
      </c>
      <c r="E268" s="1715">
        <f t="shared" si="12"/>
        <v>288025</v>
      </c>
      <c r="F268" s="1715">
        <f t="shared" si="12"/>
        <v>324046</v>
      </c>
      <c r="G268" s="1715">
        <f t="shared" si="12"/>
        <v>120836</v>
      </c>
      <c r="H268" s="1715">
        <f t="shared" si="12"/>
        <v>227591</v>
      </c>
      <c r="I268" s="1715">
        <f t="shared" si="12"/>
        <v>22192</v>
      </c>
      <c r="J268" s="1715">
        <f t="shared" si="12"/>
        <v>61869</v>
      </c>
      <c r="K268" s="1702">
        <f t="shared" si="12"/>
        <v>23280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60" zoomScaleNormal="110" workbookViewId="0">
      <pane ySplit="2" topLeftCell="A270" activePane="bottomLeft" state="frozen"/>
      <selection pane="bottomLeft" activeCell="G374" sqref="G1:G37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1462623</v>
      </c>
      <c r="D5" s="466">
        <v>66427</v>
      </c>
      <c r="E5" s="466">
        <v>161</v>
      </c>
      <c r="F5" s="466">
        <v>43089</v>
      </c>
      <c r="G5" s="466"/>
      <c r="H5" s="466"/>
      <c r="I5" s="467"/>
      <c r="J5" s="467"/>
      <c r="K5" s="1671">
        <f>SUM(C5:J5)</f>
        <v>1572300</v>
      </c>
      <c r="L5" s="466">
        <v>1573727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60701</v>
      </c>
      <c r="D7" s="467">
        <v>10689</v>
      </c>
      <c r="E7" s="467"/>
      <c r="F7" s="467">
        <v>12296</v>
      </c>
      <c r="G7" s="467"/>
      <c r="H7" s="467"/>
      <c r="I7" s="467"/>
      <c r="J7" s="467"/>
      <c r="K7" s="1671">
        <f t="shared" ref="K7:K32" si="0">SUM(C7:J7)</f>
        <v>83686</v>
      </c>
      <c r="L7" s="466">
        <v>87802</v>
      </c>
    </row>
    <row r="8" spans="1:14" x14ac:dyDescent="0.2">
      <c r="A8" s="1504" t="s">
        <v>164</v>
      </c>
      <c r="B8" s="614">
        <v>1200</v>
      </c>
      <c r="C8" s="466">
        <v>269196</v>
      </c>
      <c r="D8" s="466">
        <v>40060</v>
      </c>
      <c r="E8" s="466">
        <v>74660</v>
      </c>
      <c r="F8" s="466"/>
      <c r="G8" s="466"/>
      <c r="H8" s="466"/>
      <c r="I8" s="467"/>
      <c r="J8" s="467"/>
      <c r="K8" s="1671">
        <f t="shared" si="0"/>
        <v>383916</v>
      </c>
      <c r="L8" s="466">
        <v>379650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46981</v>
      </c>
      <c r="D10" s="466">
        <v>11219</v>
      </c>
      <c r="E10" s="466">
        <v>3525</v>
      </c>
      <c r="F10" s="466">
        <v>25659</v>
      </c>
      <c r="G10" s="466">
        <v>7860</v>
      </c>
      <c r="H10" s="466"/>
      <c r="I10" s="467"/>
      <c r="J10" s="467"/>
      <c r="K10" s="1671">
        <f t="shared" si="0"/>
        <v>95244</v>
      </c>
      <c r="L10" s="466">
        <v>96663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77459</v>
      </c>
      <c r="D14" s="466">
        <v>2818</v>
      </c>
      <c r="E14" s="466">
        <v>25935</v>
      </c>
      <c r="F14" s="466"/>
      <c r="G14" s="466"/>
      <c r="H14" s="466">
        <v>6974</v>
      </c>
      <c r="I14" s="467"/>
      <c r="J14" s="467"/>
      <c r="K14" s="1671">
        <f t="shared" si="0"/>
        <v>113186</v>
      </c>
      <c r="L14" s="466">
        <v>119425</v>
      </c>
    </row>
    <row r="15" spans="1:14" x14ac:dyDescent="0.2">
      <c r="A15" s="1504" t="s">
        <v>964</v>
      </c>
      <c r="B15" s="614">
        <v>1600</v>
      </c>
      <c r="C15" s="466"/>
      <c r="D15" s="466"/>
      <c r="E15" s="466"/>
      <c r="F15" s="466"/>
      <c r="G15" s="466"/>
      <c r="H15" s="466"/>
      <c r="I15" s="467"/>
      <c r="J15" s="467"/>
      <c r="K15" s="1671">
        <f t="shared" si="0"/>
        <v>0</v>
      </c>
      <c r="L15" s="466">
        <v>818</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1916960</v>
      </c>
      <c r="D33" s="1670">
        <f t="shared" ref="D33:L33" si="1">SUM(D5:D32)</f>
        <v>131213</v>
      </c>
      <c r="E33" s="1670">
        <f t="shared" si="1"/>
        <v>104281</v>
      </c>
      <c r="F33" s="1670">
        <f t="shared" si="1"/>
        <v>81044</v>
      </c>
      <c r="G33" s="1670">
        <f t="shared" si="1"/>
        <v>7860</v>
      </c>
      <c r="H33" s="1670">
        <f t="shared" si="1"/>
        <v>6974</v>
      </c>
      <c r="I33" s="1670">
        <f t="shared" si="1"/>
        <v>0</v>
      </c>
      <c r="J33" s="1670">
        <f t="shared" si="1"/>
        <v>0</v>
      </c>
      <c r="K33" s="1670">
        <f t="shared" si="1"/>
        <v>2248332</v>
      </c>
      <c r="L33" s="1670">
        <f t="shared" si="1"/>
        <v>2258085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51447</v>
      </c>
      <c r="D36" s="481">
        <v>1511</v>
      </c>
      <c r="E36" s="481"/>
      <c r="F36" s="481"/>
      <c r="G36" s="481"/>
      <c r="H36" s="481"/>
      <c r="I36" s="467"/>
      <c r="J36" s="467"/>
      <c r="K36" s="1671">
        <f t="shared" ref="K36:K41" si="2">SUM(C36:J36)</f>
        <v>52958</v>
      </c>
      <c r="L36" s="466">
        <v>53159</v>
      </c>
    </row>
    <row r="37" spans="1:14" x14ac:dyDescent="0.2">
      <c r="A37" s="1504" t="s">
        <v>1090</v>
      </c>
      <c r="B37" s="614">
        <v>2120</v>
      </c>
      <c r="C37" s="466">
        <v>20708</v>
      </c>
      <c r="D37" s="466"/>
      <c r="E37" s="466"/>
      <c r="F37" s="466"/>
      <c r="G37" s="466"/>
      <c r="H37" s="466"/>
      <c r="I37" s="467"/>
      <c r="J37" s="467"/>
      <c r="K37" s="1671">
        <f t="shared" si="2"/>
        <v>20708</v>
      </c>
      <c r="L37" s="466">
        <v>20708</v>
      </c>
    </row>
    <row r="38" spans="1:14" x14ac:dyDescent="0.2">
      <c r="A38" s="1504" t="s">
        <v>198</v>
      </c>
      <c r="B38" s="614">
        <v>2130</v>
      </c>
      <c r="C38" s="466">
        <v>32313</v>
      </c>
      <c r="D38" s="466">
        <v>28</v>
      </c>
      <c r="E38" s="466"/>
      <c r="F38" s="466"/>
      <c r="G38" s="466"/>
      <c r="H38" s="466"/>
      <c r="I38" s="467"/>
      <c r="J38" s="467"/>
      <c r="K38" s="1671">
        <f t="shared" si="2"/>
        <v>32341</v>
      </c>
      <c r="L38" s="466">
        <v>32344</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20516</v>
      </c>
      <c r="F40" s="466"/>
      <c r="G40" s="466"/>
      <c r="H40" s="466"/>
      <c r="I40" s="467"/>
      <c r="J40" s="467"/>
      <c r="K40" s="1671">
        <f t="shared" si="2"/>
        <v>20516</v>
      </c>
      <c r="L40" s="466">
        <v>20516</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104468</v>
      </c>
      <c r="D42" s="1670">
        <f t="shared" ref="D42:L42" si="3">SUM(D36:D41)</f>
        <v>1539</v>
      </c>
      <c r="E42" s="1670">
        <f t="shared" si="3"/>
        <v>20516</v>
      </c>
      <c r="F42" s="1670">
        <f t="shared" si="3"/>
        <v>0</v>
      </c>
      <c r="G42" s="1670">
        <f t="shared" si="3"/>
        <v>0</v>
      </c>
      <c r="H42" s="1670">
        <f t="shared" si="3"/>
        <v>0</v>
      </c>
      <c r="I42" s="1670">
        <f t="shared" si="3"/>
        <v>0</v>
      </c>
      <c r="J42" s="1670">
        <f t="shared" si="3"/>
        <v>0</v>
      </c>
      <c r="K42" s="1670">
        <f t="shared" si="3"/>
        <v>126523</v>
      </c>
      <c r="L42" s="1670">
        <f t="shared" si="3"/>
        <v>126727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11366</v>
      </c>
      <c r="D44" s="481">
        <v>1119</v>
      </c>
      <c r="E44" s="481">
        <v>11782</v>
      </c>
      <c r="F44" s="481">
        <v>24044</v>
      </c>
      <c r="G44" s="481">
        <v>14048</v>
      </c>
      <c r="H44" s="481"/>
      <c r="I44" s="467"/>
      <c r="J44" s="467"/>
      <c r="K44" s="1672">
        <f>SUM(C44:J44)</f>
        <v>62359</v>
      </c>
      <c r="L44" s="481">
        <v>63871</v>
      </c>
    </row>
    <row r="45" spans="1:14" x14ac:dyDescent="0.2">
      <c r="A45" s="1504" t="s">
        <v>815</v>
      </c>
      <c r="B45" s="614">
        <v>2220</v>
      </c>
      <c r="C45" s="466"/>
      <c r="D45" s="466"/>
      <c r="E45" s="466"/>
      <c r="F45" s="466">
        <v>2082</v>
      </c>
      <c r="G45" s="466"/>
      <c r="H45" s="466"/>
      <c r="I45" s="467"/>
      <c r="J45" s="467"/>
      <c r="K45" s="1672">
        <f>SUM(C45:J45)</f>
        <v>2082</v>
      </c>
      <c r="L45" s="466">
        <v>2085</v>
      </c>
    </row>
    <row r="46" spans="1:14" x14ac:dyDescent="0.2">
      <c r="A46" s="1504" t="s">
        <v>816</v>
      </c>
      <c r="B46" s="614">
        <v>2230</v>
      </c>
      <c r="C46" s="466"/>
      <c r="D46" s="466"/>
      <c r="E46" s="466">
        <v>1899</v>
      </c>
      <c r="F46" s="466"/>
      <c r="G46" s="466"/>
      <c r="H46" s="466"/>
      <c r="I46" s="467"/>
      <c r="J46" s="467"/>
      <c r="K46" s="1672">
        <f>SUM(C46:J46)</f>
        <v>1899</v>
      </c>
      <c r="L46" s="466">
        <v>2760</v>
      </c>
    </row>
    <row r="47" spans="1:14" ht="12.75" customHeight="1" thickBot="1" x14ac:dyDescent="0.25">
      <c r="A47" s="1668" t="s">
        <v>561</v>
      </c>
      <c r="B47" s="1669" t="s">
        <v>32</v>
      </c>
      <c r="C47" s="1670">
        <f>SUM(C44:C46)</f>
        <v>11366</v>
      </c>
      <c r="D47" s="1670">
        <f t="shared" ref="D47:K47" si="4">SUM(D44:D46)</f>
        <v>1119</v>
      </c>
      <c r="E47" s="1670">
        <f t="shared" si="4"/>
        <v>13681</v>
      </c>
      <c r="F47" s="1670">
        <f t="shared" si="4"/>
        <v>26126</v>
      </c>
      <c r="G47" s="1670">
        <f t="shared" si="4"/>
        <v>14048</v>
      </c>
      <c r="H47" s="1670">
        <f t="shared" si="4"/>
        <v>0</v>
      </c>
      <c r="I47" s="1670">
        <f t="shared" si="4"/>
        <v>0</v>
      </c>
      <c r="J47" s="1670">
        <f t="shared" si="4"/>
        <v>0</v>
      </c>
      <c r="K47" s="1670">
        <f t="shared" si="4"/>
        <v>66340</v>
      </c>
      <c r="L47" s="1670">
        <f>SUM(L44:L46)</f>
        <v>68716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4091</v>
      </c>
      <c r="D49" s="481"/>
      <c r="E49" s="481">
        <v>68850</v>
      </c>
      <c r="F49" s="481">
        <v>861</v>
      </c>
      <c r="G49" s="481">
        <v>1161</v>
      </c>
      <c r="H49" s="481"/>
      <c r="I49" s="467"/>
      <c r="J49" s="467"/>
      <c r="K49" s="1672">
        <f>SUM(C49:J49)</f>
        <v>74963</v>
      </c>
      <c r="L49" s="481">
        <v>74378</v>
      </c>
    </row>
    <row r="50" spans="1:14" x14ac:dyDescent="0.2">
      <c r="A50" s="1504" t="s">
        <v>818</v>
      </c>
      <c r="B50" s="614">
        <v>2320</v>
      </c>
      <c r="C50" s="466">
        <v>114330</v>
      </c>
      <c r="D50" s="466">
        <v>3161</v>
      </c>
      <c r="E50" s="466">
        <v>2025</v>
      </c>
      <c r="F50" s="466">
        <v>189</v>
      </c>
      <c r="G50" s="466"/>
      <c r="H50" s="466"/>
      <c r="I50" s="467"/>
      <c r="J50" s="467"/>
      <c r="K50" s="1672">
        <f>SUM(C50:J50)</f>
        <v>119705</v>
      </c>
      <c r="L50" s="466">
        <v>120710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118421</v>
      </c>
      <c r="D53" s="1670">
        <f t="shared" ref="D53:L53" si="5">SUM(D49:D52)</f>
        <v>3161</v>
      </c>
      <c r="E53" s="1670">
        <f t="shared" si="5"/>
        <v>70875</v>
      </c>
      <c r="F53" s="1670">
        <f t="shared" si="5"/>
        <v>1050</v>
      </c>
      <c r="G53" s="1670">
        <f t="shared" si="5"/>
        <v>1161</v>
      </c>
      <c r="H53" s="1670">
        <f t="shared" si="5"/>
        <v>0</v>
      </c>
      <c r="I53" s="1670">
        <f t="shared" si="5"/>
        <v>0</v>
      </c>
      <c r="J53" s="1670">
        <f t="shared" si="5"/>
        <v>0</v>
      </c>
      <c r="K53" s="1670">
        <f t="shared" si="5"/>
        <v>194668</v>
      </c>
      <c r="L53" s="1670">
        <f t="shared" si="5"/>
        <v>195088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129079</v>
      </c>
      <c r="D55" s="481">
        <v>17909</v>
      </c>
      <c r="E55" s="481">
        <v>1364</v>
      </c>
      <c r="F55" s="481">
        <v>262</v>
      </c>
      <c r="G55" s="481"/>
      <c r="H55" s="481"/>
      <c r="I55" s="467"/>
      <c r="J55" s="467"/>
      <c r="K55" s="1672">
        <f>SUM(C55:J55)</f>
        <v>148614</v>
      </c>
      <c r="L55" s="481">
        <v>148659</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129079</v>
      </c>
      <c r="D57" s="1674">
        <f t="shared" ref="D57:K57" si="6">SUM(D55:D56)</f>
        <v>17909</v>
      </c>
      <c r="E57" s="1674">
        <f t="shared" si="6"/>
        <v>1364</v>
      </c>
      <c r="F57" s="1674">
        <f t="shared" si="6"/>
        <v>262</v>
      </c>
      <c r="G57" s="1674">
        <f t="shared" si="6"/>
        <v>0</v>
      </c>
      <c r="H57" s="1674">
        <f t="shared" si="6"/>
        <v>0</v>
      </c>
      <c r="I57" s="1674">
        <f t="shared" si="6"/>
        <v>0</v>
      </c>
      <c r="J57" s="1674">
        <f t="shared" si="6"/>
        <v>0</v>
      </c>
      <c r="K57" s="1674">
        <f t="shared" si="6"/>
        <v>148614</v>
      </c>
      <c r="L57" s="1670">
        <f>SUM(L55:L56)</f>
        <v>148659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39510</v>
      </c>
      <c r="D60" s="466">
        <v>27</v>
      </c>
      <c r="E60" s="466"/>
      <c r="F60" s="466">
        <v>5013</v>
      </c>
      <c r="G60" s="466"/>
      <c r="H60" s="466"/>
      <c r="I60" s="467"/>
      <c r="J60" s="467"/>
      <c r="K60" s="1672">
        <f t="shared" si="7"/>
        <v>44550</v>
      </c>
      <c r="L60" s="466">
        <v>44555</v>
      </c>
      <c r="M60" s="609"/>
      <c r="N60" s="609"/>
    </row>
    <row r="61" spans="1:14" s="343" customFormat="1" x14ac:dyDescent="0.2">
      <c r="A61" s="1504" t="s">
        <v>197</v>
      </c>
      <c r="B61" s="614">
        <v>2540</v>
      </c>
      <c r="C61" s="466">
        <v>67763</v>
      </c>
      <c r="D61" s="466">
        <v>5269</v>
      </c>
      <c r="E61" s="466">
        <v>11861</v>
      </c>
      <c r="F61" s="466">
        <v>10169</v>
      </c>
      <c r="G61" s="466">
        <v>23302</v>
      </c>
      <c r="H61" s="466"/>
      <c r="I61" s="467"/>
      <c r="J61" s="467"/>
      <c r="K61" s="1672">
        <f t="shared" si="7"/>
        <v>118364</v>
      </c>
      <c r="L61" s="466">
        <v>119537</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53691</v>
      </c>
      <c r="D63" s="466">
        <v>10345</v>
      </c>
      <c r="E63" s="466">
        <v>115</v>
      </c>
      <c r="F63" s="466">
        <v>77016</v>
      </c>
      <c r="G63" s="466"/>
      <c r="H63" s="466"/>
      <c r="I63" s="467"/>
      <c r="J63" s="467"/>
      <c r="K63" s="1672">
        <f t="shared" si="7"/>
        <v>141167</v>
      </c>
      <c r="L63" s="466">
        <v>141785</v>
      </c>
    </row>
    <row r="64" spans="1:14" s="609" customFormat="1" x14ac:dyDescent="0.2">
      <c r="A64" s="1509" t="s">
        <v>101</v>
      </c>
      <c r="B64" s="630">
        <v>2570</v>
      </c>
      <c r="C64" s="481"/>
      <c r="D64" s="481"/>
      <c r="E64" s="481"/>
      <c r="F64" s="481">
        <v>3306</v>
      </c>
      <c r="G64" s="481"/>
      <c r="H64" s="481"/>
      <c r="I64" s="467"/>
      <c r="J64" s="467"/>
      <c r="K64" s="1672">
        <f t="shared" si="7"/>
        <v>3306</v>
      </c>
      <c r="L64" s="481">
        <v>3500</v>
      </c>
    </row>
    <row r="65" spans="1:14" s="343" customFormat="1" ht="12.75" customHeight="1" thickBot="1" x14ac:dyDescent="0.25">
      <c r="A65" s="1668" t="s">
        <v>719</v>
      </c>
      <c r="B65" s="1669" t="s">
        <v>35</v>
      </c>
      <c r="C65" s="1670">
        <f>SUM(C59:C64)</f>
        <v>160964</v>
      </c>
      <c r="D65" s="1670">
        <f t="shared" ref="D65:L65" si="8">SUM(D59:D64)</f>
        <v>15641</v>
      </c>
      <c r="E65" s="1670">
        <f t="shared" si="8"/>
        <v>11976</v>
      </c>
      <c r="F65" s="1670">
        <f t="shared" si="8"/>
        <v>95504</v>
      </c>
      <c r="G65" s="1670">
        <f t="shared" si="8"/>
        <v>23302</v>
      </c>
      <c r="H65" s="1670">
        <f t="shared" si="8"/>
        <v>0</v>
      </c>
      <c r="I65" s="1670">
        <f t="shared" si="8"/>
        <v>0</v>
      </c>
      <c r="J65" s="1670">
        <f t="shared" si="8"/>
        <v>0</v>
      </c>
      <c r="K65" s="1670">
        <f t="shared" si="8"/>
        <v>307387</v>
      </c>
      <c r="L65" s="1670">
        <f t="shared" si="8"/>
        <v>309377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v>9930</v>
      </c>
      <c r="F70" s="466"/>
      <c r="G70" s="466"/>
      <c r="H70" s="466"/>
      <c r="I70" s="467"/>
      <c r="J70" s="467"/>
      <c r="K70" s="1672">
        <f>SUM(C70:J70)</f>
        <v>9930</v>
      </c>
      <c r="L70" s="466">
        <v>10000</v>
      </c>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9930</v>
      </c>
      <c r="F72" s="1670">
        <f t="shared" si="9"/>
        <v>0</v>
      </c>
      <c r="G72" s="1670">
        <f t="shared" si="9"/>
        <v>0</v>
      </c>
      <c r="H72" s="1670">
        <f t="shared" si="9"/>
        <v>0</v>
      </c>
      <c r="I72" s="1670">
        <f t="shared" si="9"/>
        <v>0</v>
      </c>
      <c r="J72" s="1670">
        <f t="shared" si="9"/>
        <v>0</v>
      </c>
      <c r="K72" s="1670">
        <f t="shared" si="9"/>
        <v>9930</v>
      </c>
      <c r="L72" s="1670">
        <f>SUM(L67:L71)</f>
        <v>10000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524298</v>
      </c>
      <c r="D74" s="1677">
        <f t="shared" ref="D74:K74" si="10">SUM(D42,D47,D53,D57,D65,D72,D73)</f>
        <v>39369</v>
      </c>
      <c r="E74" s="1677">
        <f t="shared" si="10"/>
        <v>128342</v>
      </c>
      <c r="F74" s="1677">
        <f t="shared" si="10"/>
        <v>122942</v>
      </c>
      <c r="G74" s="1677">
        <f t="shared" si="10"/>
        <v>38511</v>
      </c>
      <c r="H74" s="1677">
        <f t="shared" si="10"/>
        <v>0</v>
      </c>
      <c r="I74" s="1677">
        <f t="shared" si="10"/>
        <v>0</v>
      </c>
      <c r="J74" s="1677">
        <f t="shared" si="10"/>
        <v>0</v>
      </c>
      <c r="K74" s="1677">
        <f t="shared" si="10"/>
        <v>853462</v>
      </c>
      <c r="L74" s="1677">
        <f>SUM(L42,L47,L53,L57,L65,L72,L73)</f>
        <v>858567</v>
      </c>
    </row>
    <row r="75" spans="1:14" s="259" customFormat="1" ht="15.75" customHeight="1" thickTop="1" thickBot="1" x14ac:dyDescent="0.25">
      <c r="A75" s="1610" t="s">
        <v>47</v>
      </c>
      <c r="B75" s="1611" t="s">
        <v>575</v>
      </c>
      <c r="C75" s="573">
        <v>1147</v>
      </c>
      <c r="D75" s="573"/>
      <c r="E75" s="573"/>
      <c r="F75" s="573">
        <v>400</v>
      </c>
      <c r="G75" s="573"/>
      <c r="H75" s="573"/>
      <c r="I75" s="531"/>
      <c r="J75" s="531"/>
      <c r="K75" s="1670">
        <f>SUM(C75:J75)</f>
        <v>1547</v>
      </c>
      <c r="L75" s="576">
        <v>1400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v>60864</v>
      </c>
      <c r="I85" s="477"/>
      <c r="J85" s="477"/>
      <c r="K85" s="1677">
        <f>H85</f>
        <v>60864</v>
      </c>
      <c r="L85" s="530">
        <v>60864</v>
      </c>
    </row>
    <row r="86" spans="1:12" ht="12.75" customHeight="1" thickTop="1" thickBot="1" x14ac:dyDescent="0.25">
      <c r="A86" s="1512" t="s">
        <v>699</v>
      </c>
      <c r="B86" s="637">
        <v>4220</v>
      </c>
      <c r="C86" s="616"/>
      <c r="D86" s="616"/>
      <c r="E86" s="638"/>
      <c r="F86" s="616"/>
      <c r="G86" s="616"/>
      <c r="H86" s="467">
        <v>38143</v>
      </c>
      <c r="I86" s="477"/>
      <c r="J86" s="477"/>
      <c r="K86" s="1677">
        <f t="shared" ref="K86:K98" si="12">H86</f>
        <v>38143</v>
      </c>
      <c r="L86" s="530">
        <v>38144</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33414</v>
      </c>
      <c r="I88" s="477"/>
      <c r="J88" s="477"/>
      <c r="K88" s="1677">
        <f t="shared" si="12"/>
        <v>33414</v>
      </c>
      <c r="L88" s="530">
        <v>33414</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132421</v>
      </c>
      <c r="I92" s="477"/>
      <c r="J92" s="477"/>
      <c r="K92" s="1677">
        <f t="shared" si="12"/>
        <v>132421</v>
      </c>
      <c r="L92" s="1670">
        <f>SUM(L85:L91)</f>
        <v>132422</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132421</v>
      </c>
      <c r="I102" s="477"/>
      <c r="J102" s="477"/>
      <c r="K102" s="1677">
        <f>SUM(K84,K92,K100,K101)</f>
        <v>132421</v>
      </c>
      <c r="L102" s="1677">
        <f>SUM(L84,L92,L100,L101)</f>
        <v>132422</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2442405</v>
      </c>
      <c r="D114" s="1670">
        <f t="shared" ref="D114:K114" si="13">SUM(D33,D74,D75,D102,D112,D113)</f>
        <v>170582</v>
      </c>
      <c r="E114" s="1670">
        <f t="shared" si="13"/>
        <v>232623</v>
      </c>
      <c r="F114" s="1670">
        <f t="shared" si="13"/>
        <v>204386</v>
      </c>
      <c r="G114" s="1670">
        <f t="shared" si="13"/>
        <v>46371</v>
      </c>
      <c r="H114" s="1670">
        <f>SUM(H33,H74,H75,H102,H112,H113)</f>
        <v>139395</v>
      </c>
      <c r="I114" s="1670">
        <f t="shared" si="13"/>
        <v>0</v>
      </c>
      <c r="J114" s="1670">
        <f t="shared" si="13"/>
        <v>0</v>
      </c>
      <c r="K114" s="1670">
        <f t="shared" si="13"/>
        <v>3235762</v>
      </c>
      <c r="L114" s="1670">
        <f>SUM(L33,L74,L75,L102,L112,L113)</f>
        <v>3250474</v>
      </c>
    </row>
    <row r="115" spans="1:14" ht="13.5" thickTop="1" x14ac:dyDescent="0.2">
      <c r="A115" s="2183" t="s">
        <v>996</v>
      </c>
      <c r="B115" s="2184"/>
      <c r="C115" s="618"/>
      <c r="D115" s="618"/>
      <c r="E115" s="618"/>
      <c r="F115" s="618"/>
      <c r="G115" s="618"/>
      <c r="H115" s="618"/>
      <c r="I115" s="618"/>
      <c r="J115" s="618"/>
      <c r="K115" s="1684">
        <f>'Revenues 9-14'!C268-'Expenditures 15-22'!K114</f>
        <v>120800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88465</v>
      </c>
      <c r="D124" s="466">
        <v>12484</v>
      </c>
      <c r="E124" s="466">
        <v>66930</v>
      </c>
      <c r="F124" s="466">
        <v>121146</v>
      </c>
      <c r="G124" s="466">
        <v>109302</v>
      </c>
      <c r="H124" s="466"/>
      <c r="I124" s="467"/>
      <c r="J124" s="467"/>
      <c r="K124" s="1670">
        <f>SUM(C124:J124)</f>
        <v>398327</v>
      </c>
      <c r="L124" s="466">
        <v>403816</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88465</v>
      </c>
      <c r="D127" s="1670">
        <f t="shared" ref="D127:L127" si="14">SUM(D122:D126)</f>
        <v>12484</v>
      </c>
      <c r="E127" s="1670">
        <f t="shared" si="14"/>
        <v>66930</v>
      </c>
      <c r="F127" s="1670">
        <f t="shared" si="14"/>
        <v>121146</v>
      </c>
      <c r="G127" s="1670">
        <f t="shared" si="14"/>
        <v>109302</v>
      </c>
      <c r="H127" s="1670">
        <f t="shared" si="14"/>
        <v>0</v>
      </c>
      <c r="I127" s="1670">
        <f t="shared" si="14"/>
        <v>0</v>
      </c>
      <c r="J127" s="1670">
        <f t="shared" si="14"/>
        <v>0</v>
      </c>
      <c r="K127" s="1670">
        <f t="shared" si="14"/>
        <v>398327</v>
      </c>
      <c r="L127" s="1670">
        <f t="shared" si="14"/>
        <v>403816</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88465</v>
      </c>
      <c r="D129" s="1677">
        <f t="shared" ref="D129:L129" si="15">SUM(D120,D127,D128)</f>
        <v>12484</v>
      </c>
      <c r="E129" s="1677">
        <f t="shared" si="15"/>
        <v>66930</v>
      </c>
      <c r="F129" s="1677">
        <f t="shared" si="15"/>
        <v>121146</v>
      </c>
      <c r="G129" s="1677">
        <f t="shared" si="15"/>
        <v>109302</v>
      </c>
      <c r="H129" s="1677">
        <f t="shared" si="15"/>
        <v>0</v>
      </c>
      <c r="I129" s="1677">
        <f t="shared" si="15"/>
        <v>0</v>
      </c>
      <c r="J129" s="1677">
        <f t="shared" si="15"/>
        <v>0</v>
      </c>
      <c r="K129" s="1677">
        <f t="shared" si="15"/>
        <v>398327</v>
      </c>
      <c r="L129" s="1677">
        <f t="shared" si="15"/>
        <v>403816</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5"/>
      <c r="C151" s="1670">
        <f>SUM(C129,C130,C139,C149,C150)</f>
        <v>88465</v>
      </c>
      <c r="D151" s="1670">
        <f t="shared" ref="D151:K151" si="16">SUM(D129,D130,D139,D149,D150)</f>
        <v>12484</v>
      </c>
      <c r="E151" s="1670">
        <f t="shared" si="16"/>
        <v>66930</v>
      </c>
      <c r="F151" s="1670">
        <f t="shared" si="16"/>
        <v>121146</v>
      </c>
      <c r="G151" s="1670">
        <f t="shared" si="16"/>
        <v>109302</v>
      </c>
      <c r="H151" s="1670">
        <f t="shared" si="16"/>
        <v>0</v>
      </c>
      <c r="I151" s="1670">
        <f t="shared" si="16"/>
        <v>0</v>
      </c>
      <c r="J151" s="1670">
        <f t="shared" si="16"/>
        <v>0</v>
      </c>
      <c r="K151" s="1670">
        <f t="shared" si="16"/>
        <v>398327</v>
      </c>
      <c r="L151" s="1670">
        <f>SUM(L129,L130,L139,L149,L150)</f>
        <v>403816</v>
      </c>
    </row>
    <row r="152" spans="1:14" ht="12.75" customHeight="1" thickTop="1" x14ac:dyDescent="0.2">
      <c r="A152" s="2176" t="s">
        <v>1178</v>
      </c>
      <c r="B152" s="2177"/>
      <c r="C152" s="618"/>
      <c r="D152" s="618"/>
      <c r="E152" s="618"/>
      <c r="F152" s="618"/>
      <c r="G152" s="618"/>
      <c r="H152" s="618"/>
      <c r="I152" s="618"/>
      <c r="J152" s="616"/>
      <c r="K152" s="1684">
        <f>'Revenues 9-14'!D268-'Expenditures 15-22'!K151</f>
        <v>9102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v>120895</v>
      </c>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120895</v>
      </c>
    </row>
    <row r="169" spans="1:14" ht="15.75" customHeight="1" thickTop="1" x14ac:dyDescent="0.2">
      <c r="A169" s="669" t="s">
        <v>83</v>
      </c>
      <c r="B169" s="670" t="s">
        <v>38</v>
      </c>
      <c r="C169" s="616"/>
      <c r="D169" s="616"/>
      <c r="E169" s="616"/>
      <c r="F169" s="616"/>
      <c r="G169" s="616"/>
      <c r="H169" s="656">
        <v>120895</v>
      </c>
      <c r="I169" s="616"/>
      <c r="J169" s="616"/>
      <c r="K169" s="1671">
        <f>SUM(C169:H169)</f>
        <v>120895</v>
      </c>
      <c r="L169" s="656">
        <v>180000</v>
      </c>
    </row>
    <row r="170" spans="1:14" ht="33.75" customHeight="1" x14ac:dyDescent="0.2">
      <c r="A170" s="669" t="s">
        <v>1670</v>
      </c>
      <c r="B170" s="671" t="s">
        <v>31</v>
      </c>
      <c r="C170" s="616"/>
      <c r="D170" s="616"/>
      <c r="E170" s="616"/>
      <c r="F170" s="616"/>
      <c r="G170" s="616"/>
      <c r="H170" s="569">
        <v>180000</v>
      </c>
      <c r="I170" s="616"/>
      <c r="J170" s="616"/>
      <c r="K170" s="1671">
        <f>SUM(C170:J170)</f>
        <v>180000</v>
      </c>
      <c r="L170" s="569"/>
    </row>
    <row r="171" spans="1:14" ht="15.75" customHeight="1" x14ac:dyDescent="0.2">
      <c r="A171" s="621" t="s">
        <v>766</v>
      </c>
      <c r="B171" s="672" t="s">
        <v>84</v>
      </c>
      <c r="C171" s="616"/>
      <c r="D171" s="616"/>
      <c r="E171" s="466"/>
      <c r="F171" s="616"/>
      <c r="G171" s="616"/>
      <c r="H171" s="569">
        <v>500</v>
      </c>
      <c r="I171" s="477"/>
      <c r="J171" s="616"/>
      <c r="K171" s="1671">
        <f>SUM(C171:J171)</f>
        <v>500</v>
      </c>
      <c r="L171" s="569">
        <v>500</v>
      </c>
    </row>
    <row r="172" spans="1:14" ht="12.75" customHeight="1" thickBot="1" x14ac:dyDescent="0.25">
      <c r="A172" s="1668" t="s">
        <v>638</v>
      </c>
      <c r="B172" s="1669" t="s">
        <v>492</v>
      </c>
      <c r="C172" s="616"/>
      <c r="D172" s="616"/>
      <c r="E172" s="1677">
        <f>SUM(E168,E169,E170,E171)</f>
        <v>0</v>
      </c>
      <c r="F172" s="616"/>
      <c r="G172" s="616"/>
      <c r="H172" s="1677">
        <f>SUM(H168,H169,H170,H171)</f>
        <v>301395</v>
      </c>
      <c r="I172" s="638"/>
      <c r="J172" s="616"/>
      <c r="K172" s="1677">
        <f>SUM(K168,K169,K170,K171)</f>
        <v>301395</v>
      </c>
      <c r="L172" s="1677">
        <f>SUM(L168,L169,L170,L171)</f>
        <v>301395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301395</v>
      </c>
      <c r="I174" s="638"/>
      <c r="J174" s="616"/>
      <c r="K174" s="1677">
        <f>SUM(K160,K172,K173)</f>
        <v>301395</v>
      </c>
      <c r="L174" s="1677">
        <f>SUM(L160,L172,L173)</f>
        <v>301395</v>
      </c>
    </row>
    <row r="175" spans="1:14" ht="13.5" thickTop="1" x14ac:dyDescent="0.2">
      <c r="A175" s="2183" t="s">
        <v>996</v>
      </c>
      <c r="B175" s="2184"/>
      <c r="C175" s="616"/>
      <c r="D175" s="616"/>
      <c r="E175" s="616"/>
      <c r="F175" s="616"/>
      <c r="G175" s="616"/>
      <c r="H175" s="618"/>
      <c r="I175" s="616"/>
      <c r="J175" s="616"/>
      <c r="K175" s="1684">
        <f>'Revenues 9-14'!E268-'Expenditures 15-22'!K174</f>
        <v>-13370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96135</v>
      </c>
      <c r="D182" s="466">
        <v>9170</v>
      </c>
      <c r="E182" s="466">
        <f>89489+5833</f>
        <v>95322</v>
      </c>
      <c r="F182" s="466">
        <v>38922</v>
      </c>
      <c r="G182" s="466">
        <v>59138</v>
      </c>
      <c r="H182" s="466"/>
      <c r="I182" s="467"/>
      <c r="J182" s="467"/>
      <c r="K182" s="1671">
        <f>SUM(C182:J182)</f>
        <v>298687</v>
      </c>
      <c r="L182" s="466">
        <v>302677</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96135</v>
      </c>
      <c r="D184" s="1677">
        <f t="shared" ref="D184:J184" si="17">SUM(D180,D182,D183)</f>
        <v>9170</v>
      </c>
      <c r="E184" s="1677">
        <f t="shared" si="17"/>
        <v>95322</v>
      </c>
      <c r="F184" s="1677">
        <f t="shared" si="17"/>
        <v>38922</v>
      </c>
      <c r="G184" s="1677">
        <f t="shared" si="17"/>
        <v>59138</v>
      </c>
      <c r="H184" s="1677">
        <f t="shared" si="17"/>
        <v>0</v>
      </c>
      <c r="I184" s="1677">
        <f t="shared" si="17"/>
        <v>0</v>
      </c>
      <c r="J184" s="1677">
        <f t="shared" si="17"/>
        <v>0</v>
      </c>
      <c r="K184" s="1677">
        <f>SUM(K180,K182,K183)</f>
        <v>298687</v>
      </c>
      <c r="L184" s="1677">
        <f>SUM(L180, L182:L183)</f>
        <v>302677</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96135</v>
      </c>
      <c r="D210" s="1670">
        <f>SUM(D184,D185)</f>
        <v>9170</v>
      </c>
      <c r="E210" s="1670">
        <f>SUM(E184,E185,E196)</f>
        <v>95322</v>
      </c>
      <c r="F210" s="1670">
        <f>SUM(F184,F185)</f>
        <v>38922</v>
      </c>
      <c r="G210" s="1670">
        <f>SUM(G184,G185)</f>
        <v>59138</v>
      </c>
      <c r="H210" s="1670">
        <f>SUM(H184,H185,H196,H208,H209)</f>
        <v>0</v>
      </c>
      <c r="I210" s="1670">
        <f>SUM(I184,I185)</f>
        <v>0</v>
      </c>
      <c r="J210" s="1670">
        <f>SUM(J184,J185)</f>
        <v>0</v>
      </c>
      <c r="K210" s="1671">
        <f>SUM(K184,K185,K196,K208,K209)</f>
        <v>298687</v>
      </c>
      <c r="L210" s="1670">
        <f>SUM(L184,L185,L196,L208,L209)</f>
        <v>302677</v>
      </c>
    </row>
    <row r="211" spans="1:14" ht="13.5" thickTop="1" x14ac:dyDescent="0.2">
      <c r="A211" s="2183" t="s">
        <v>996</v>
      </c>
      <c r="B211" s="2184"/>
      <c r="C211" s="618"/>
      <c r="D211" s="618"/>
      <c r="E211" s="618"/>
      <c r="F211" s="618"/>
      <c r="G211" s="618"/>
      <c r="H211" s="618"/>
      <c r="I211" s="616"/>
      <c r="J211" s="616"/>
      <c r="K211" s="1684">
        <f>'Revenues 9-14'!F268-'Expenditures 15-22'!K210</f>
        <v>25359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27530</v>
      </c>
      <c r="E215" s="616"/>
      <c r="F215" s="616"/>
      <c r="G215" s="616"/>
      <c r="H215" s="616"/>
      <c r="I215" s="616"/>
      <c r="J215" s="616"/>
      <c r="K215" s="1671">
        <f>D215</f>
        <v>27530</v>
      </c>
      <c r="L215" s="466">
        <v>26896</v>
      </c>
    </row>
    <row r="216" spans="1:14" x14ac:dyDescent="0.2">
      <c r="A216" s="1504" t="s">
        <v>163</v>
      </c>
      <c r="B216" s="614" t="s">
        <v>967</v>
      </c>
      <c r="C216" s="616"/>
      <c r="D216" s="467">
        <v>8636</v>
      </c>
      <c r="E216" s="616"/>
      <c r="F216" s="616"/>
      <c r="G216" s="616"/>
      <c r="H216" s="616"/>
      <c r="I216" s="616"/>
      <c r="J216" s="616"/>
      <c r="K216" s="1671">
        <f t="shared" ref="K216:K228" si="19">D216</f>
        <v>8636</v>
      </c>
      <c r="L216" s="466">
        <v>3647</v>
      </c>
    </row>
    <row r="217" spans="1:14" x14ac:dyDescent="0.2">
      <c r="A217" s="1504" t="s">
        <v>164</v>
      </c>
      <c r="B217" s="614">
        <v>1200</v>
      </c>
      <c r="C217" s="616"/>
      <c r="D217" s="466">
        <v>11757</v>
      </c>
      <c r="E217" s="616"/>
      <c r="F217" s="616"/>
      <c r="G217" s="616"/>
      <c r="H217" s="616"/>
      <c r="I217" s="616"/>
      <c r="J217" s="616"/>
      <c r="K217" s="1671">
        <f t="shared" si="19"/>
        <v>11757</v>
      </c>
      <c r="L217" s="466">
        <v>11708</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3074</v>
      </c>
      <c r="E223" s="616"/>
      <c r="F223" s="616"/>
      <c r="G223" s="616"/>
      <c r="H223" s="616"/>
      <c r="I223" s="616"/>
      <c r="J223" s="616"/>
      <c r="K223" s="1671">
        <f t="shared" si="19"/>
        <v>3074</v>
      </c>
      <c r="L223" s="466">
        <v>4656</v>
      </c>
    </row>
    <row r="224" spans="1:14" x14ac:dyDescent="0.2">
      <c r="A224" s="1504" t="s">
        <v>964</v>
      </c>
      <c r="B224" s="614">
        <v>1600</v>
      </c>
      <c r="C224" s="616"/>
      <c r="D224" s="466">
        <v>12</v>
      </c>
      <c r="E224" s="616"/>
      <c r="F224" s="616"/>
      <c r="G224" s="616"/>
      <c r="H224" s="616"/>
      <c r="I224" s="616"/>
      <c r="J224" s="616"/>
      <c r="K224" s="1671">
        <f t="shared" si="19"/>
        <v>12</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51009</v>
      </c>
      <c r="E229" s="616"/>
      <c r="F229" s="616"/>
      <c r="G229" s="616"/>
      <c r="H229" s="616"/>
      <c r="I229" s="616"/>
      <c r="J229" s="616"/>
      <c r="K229" s="1670">
        <f>SUM(K215:K228)</f>
        <v>51009</v>
      </c>
      <c r="L229" s="1670">
        <f>SUM(L215:L228)</f>
        <v>46907</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5152</v>
      </c>
      <c r="E234" s="616"/>
      <c r="F234" s="616"/>
      <c r="G234" s="616"/>
      <c r="H234" s="616"/>
      <c r="I234" s="616"/>
      <c r="J234" s="616"/>
      <c r="K234" s="1671">
        <f t="shared" si="20"/>
        <v>5152</v>
      </c>
      <c r="L234" s="466">
        <v>5155</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5152</v>
      </c>
      <c r="E238" s="616"/>
      <c r="F238" s="616"/>
      <c r="G238" s="616"/>
      <c r="H238" s="616"/>
      <c r="I238" s="616"/>
      <c r="J238" s="616"/>
      <c r="K238" s="1670">
        <f>SUM(K232:K237)</f>
        <v>5152</v>
      </c>
      <c r="L238" s="1670">
        <f>SUM(L232:L237)</f>
        <v>5155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5553</v>
      </c>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5553</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627</v>
      </c>
      <c r="E245" s="616"/>
      <c r="F245" s="616"/>
      <c r="G245" s="616"/>
      <c r="H245" s="616"/>
      <c r="I245" s="616"/>
      <c r="J245" s="616"/>
      <c r="K245" s="1672">
        <f>D245</f>
        <v>627</v>
      </c>
      <c r="L245" s="481">
        <v>635</v>
      </c>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627</v>
      </c>
      <c r="E257" s="616"/>
      <c r="F257" s="616"/>
      <c r="G257" s="616"/>
      <c r="H257" s="616"/>
      <c r="I257" s="616"/>
      <c r="J257" s="616"/>
      <c r="K257" s="1670">
        <f>SUM(K245:K256)</f>
        <v>627</v>
      </c>
      <c r="L257" s="1670">
        <f>SUM(L245:L256)</f>
        <v>635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8094</v>
      </c>
      <c r="E259" s="616"/>
      <c r="F259" s="616"/>
      <c r="G259" s="616"/>
      <c r="H259" s="616"/>
      <c r="I259" s="616"/>
      <c r="J259" s="616"/>
      <c r="K259" s="1672">
        <f>D259</f>
        <v>8094</v>
      </c>
      <c r="L259" s="481">
        <v>8097</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8094</v>
      </c>
      <c r="E261" s="616"/>
      <c r="F261" s="616"/>
      <c r="G261" s="616"/>
      <c r="H261" s="616"/>
      <c r="I261" s="616"/>
      <c r="J261" s="616"/>
      <c r="K261" s="1670">
        <f>SUM(K259:K260)</f>
        <v>8094</v>
      </c>
      <c r="L261" s="1670">
        <f>SUM(L259:L260)</f>
        <v>8097</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6316</v>
      </c>
      <c r="E264" s="616"/>
      <c r="F264" s="616"/>
      <c r="G264" s="616"/>
      <c r="H264" s="616"/>
      <c r="I264" s="616"/>
      <c r="J264" s="616"/>
      <c r="K264" s="1672">
        <f t="shared" ref="K264:K269" si="22">D264</f>
        <v>6316</v>
      </c>
      <c r="L264" s="466">
        <v>6317</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24471</v>
      </c>
      <c r="E266" s="616"/>
      <c r="F266" s="616"/>
      <c r="G266" s="616"/>
      <c r="H266" s="616"/>
      <c r="I266" s="616"/>
      <c r="J266" s="616"/>
      <c r="K266" s="1672">
        <f t="shared" si="22"/>
        <v>24471</v>
      </c>
      <c r="L266" s="466">
        <v>24499</v>
      </c>
    </row>
    <row r="267" spans="1:14" x14ac:dyDescent="0.2">
      <c r="A267" s="1504" t="s">
        <v>953</v>
      </c>
      <c r="B267" s="614">
        <v>2550</v>
      </c>
      <c r="C267" s="616"/>
      <c r="D267" s="466">
        <v>13891</v>
      </c>
      <c r="E267" s="616"/>
      <c r="F267" s="616"/>
      <c r="G267" s="616"/>
      <c r="H267" s="616"/>
      <c r="I267" s="616"/>
      <c r="J267" s="616"/>
      <c r="K267" s="1672">
        <f t="shared" si="22"/>
        <v>13891</v>
      </c>
      <c r="L267" s="466">
        <v>13145</v>
      </c>
    </row>
    <row r="268" spans="1:14" x14ac:dyDescent="0.2">
      <c r="A268" s="1504" t="s">
        <v>100</v>
      </c>
      <c r="B268" s="614">
        <v>2560</v>
      </c>
      <c r="C268" s="616"/>
      <c r="D268" s="466">
        <v>7048</v>
      </c>
      <c r="E268" s="616"/>
      <c r="F268" s="616"/>
      <c r="G268" s="616"/>
      <c r="H268" s="616"/>
      <c r="I268" s="616"/>
      <c r="J268" s="616"/>
      <c r="K268" s="1672">
        <f t="shared" si="22"/>
        <v>7048</v>
      </c>
      <c r="L268" s="466">
        <v>7098</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51726</v>
      </c>
      <c r="E270" s="616"/>
      <c r="F270" s="616"/>
      <c r="G270" s="616"/>
      <c r="H270" s="616"/>
      <c r="I270" s="616"/>
      <c r="J270" s="616"/>
      <c r="K270" s="1670">
        <f>SUM(K263:K269)</f>
        <v>51726</v>
      </c>
      <c r="L270" s="1670">
        <f>SUM(L263:L269)</f>
        <v>51059</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65599</v>
      </c>
      <c r="E279" s="616"/>
      <c r="F279" s="616"/>
      <c r="G279" s="616"/>
      <c r="H279" s="616"/>
      <c r="I279" s="616"/>
      <c r="J279" s="616"/>
      <c r="K279" s="1677">
        <f>SUM(K238,K243,K257,K261,K270,K277,K278)</f>
        <v>65599</v>
      </c>
      <c r="L279" s="1677">
        <f>SUM(L238,L243,L257,L261,L270,L277,L278)</f>
        <v>70499</v>
      </c>
    </row>
    <row r="280" spans="1:12" ht="15.75" customHeight="1" thickTop="1" thickBot="1" x14ac:dyDescent="0.25">
      <c r="A280" s="1624" t="s">
        <v>875</v>
      </c>
      <c r="B280" s="1613">
        <v>3000</v>
      </c>
      <c r="C280" s="616"/>
      <c r="D280" s="576">
        <v>45</v>
      </c>
      <c r="E280" s="616"/>
      <c r="F280" s="616"/>
      <c r="G280" s="616"/>
      <c r="H280" s="616"/>
      <c r="I280" s="616"/>
      <c r="J280" s="616"/>
      <c r="K280" s="1679">
        <f>D280</f>
        <v>45</v>
      </c>
      <c r="L280" s="576">
        <v>20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116653</v>
      </c>
      <c r="E295" s="616"/>
      <c r="F295" s="616"/>
      <c r="G295" s="616"/>
      <c r="H295" s="1670">
        <f>H293</f>
        <v>0</v>
      </c>
      <c r="I295" s="616"/>
      <c r="J295" s="616"/>
      <c r="K295" s="1670">
        <f>SUM(K229,K279,K280,K285,K293,K294)</f>
        <v>116653</v>
      </c>
      <c r="L295" s="1670">
        <f>SUM(L229,L279,L280,L285,L293,L294)</f>
        <v>117426</v>
      </c>
    </row>
    <row r="296" spans="1:14" ht="13.5" thickTop="1" x14ac:dyDescent="0.2">
      <c r="A296" s="2183" t="s">
        <v>996</v>
      </c>
      <c r="B296" s="2184"/>
      <c r="C296" s="616"/>
      <c r="D296" s="618"/>
      <c r="E296" s="616"/>
      <c r="F296" s="616"/>
      <c r="G296" s="616"/>
      <c r="H296" s="687"/>
      <c r="I296" s="616"/>
      <c r="J296" s="616"/>
      <c r="K296" s="1684">
        <f>'Revenues 9-14'!G268-'Expenditures 15-22'!K295</f>
        <v>4183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237394</v>
      </c>
      <c r="H301" s="466"/>
      <c r="I301" s="467"/>
      <c r="J301" s="467"/>
      <c r="K301" s="1671">
        <f>SUM(C301:J301)</f>
        <v>237394</v>
      </c>
      <c r="L301" s="467">
        <v>240000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237394</v>
      </c>
      <c r="H303" s="1677">
        <f t="shared" si="23"/>
        <v>0</v>
      </c>
      <c r="I303" s="1677">
        <f t="shared" si="23"/>
        <v>0</v>
      </c>
      <c r="J303" s="1677">
        <f t="shared" si="23"/>
        <v>0</v>
      </c>
      <c r="K303" s="1677">
        <f t="shared" si="23"/>
        <v>237394</v>
      </c>
      <c r="L303" s="1677">
        <f t="shared" si="23"/>
        <v>240000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0</v>
      </c>
      <c r="F312" s="1670">
        <f>SUM(F303)</f>
        <v>0</v>
      </c>
      <c r="G312" s="1670">
        <f>SUM(G303)</f>
        <v>237394</v>
      </c>
      <c r="H312" s="1670">
        <f>SUM(H303,H310)</f>
        <v>0</v>
      </c>
      <c r="I312" s="1670">
        <f>SUM(I303)</f>
        <v>0</v>
      </c>
      <c r="J312" s="1670">
        <f>SUM(J303)</f>
        <v>0</v>
      </c>
      <c r="K312" s="1670">
        <f>SUM(K303,K310,K311)</f>
        <v>237394</v>
      </c>
      <c r="L312" s="1670">
        <f>SUM(L303,L310,L311)</f>
        <v>240000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-9803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51935</v>
      </c>
      <c r="F322" s="467"/>
      <c r="G322" s="467"/>
      <c r="H322" s="467"/>
      <c r="I322" s="467"/>
      <c r="J322" s="467"/>
      <c r="K322" s="1671">
        <f t="shared" si="24"/>
        <v>51935</v>
      </c>
      <c r="L322" s="467">
        <v>54000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3643</v>
      </c>
      <c r="F327" s="467"/>
      <c r="G327" s="467"/>
      <c r="H327" s="467"/>
      <c r="I327" s="467"/>
      <c r="J327" s="467"/>
      <c r="K327" s="1671">
        <f t="shared" si="24"/>
        <v>3643</v>
      </c>
      <c r="L327" s="467">
        <v>4000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55578</v>
      </c>
      <c r="F330" s="1670">
        <f t="shared" si="25"/>
        <v>0</v>
      </c>
      <c r="G330" s="1670">
        <f t="shared" si="25"/>
        <v>0</v>
      </c>
      <c r="H330" s="1670">
        <f t="shared" si="25"/>
        <v>0</v>
      </c>
      <c r="I330" s="1670">
        <f t="shared" si="25"/>
        <v>0</v>
      </c>
      <c r="J330" s="1670">
        <f t="shared" si="25"/>
        <v>0</v>
      </c>
      <c r="K330" s="1670">
        <f>SUM(K319:K329)</f>
        <v>55578</v>
      </c>
      <c r="L330" s="1670">
        <f>SUM(L319:L329)</f>
        <v>58000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55578</v>
      </c>
      <c r="F342" s="1670">
        <f>SUM(F330)</f>
        <v>0</v>
      </c>
      <c r="G342" s="1670">
        <f>SUM(G330)</f>
        <v>0</v>
      </c>
      <c r="H342" s="1670">
        <f>SUM(H330,H334,H340)</f>
        <v>0</v>
      </c>
      <c r="I342" s="1670">
        <f>SUM(I330)</f>
        <v>0</v>
      </c>
      <c r="J342" s="1670">
        <f>SUM(J330)</f>
        <v>0</v>
      </c>
      <c r="K342" s="1670">
        <f>SUM(K330,K334,K340)</f>
        <v>55578</v>
      </c>
      <c r="L342" s="1677">
        <f>SUM(L330,L334,L340,L341)</f>
        <v>58000</v>
      </c>
    </row>
    <row r="343" spans="1:14" ht="12.75" customHeight="1" thickTop="1" x14ac:dyDescent="0.2">
      <c r="A343" s="2169" t="s">
        <v>996</v>
      </c>
      <c r="B343" s="2170"/>
      <c r="C343" s="616"/>
      <c r="D343" s="616"/>
      <c r="E343" s="616"/>
      <c r="F343" s="616"/>
      <c r="G343" s="616"/>
      <c r="H343" s="616"/>
      <c r="I343" s="616"/>
      <c r="J343" s="616"/>
      <c r="K343" s="1684">
        <f>'Revenues 9-14'!J268-'Expenditures 15-22'!K342</f>
        <v>6291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2330</v>
      </c>
      <c r="F348" s="466"/>
      <c r="G348" s="466"/>
      <c r="H348" s="466"/>
      <c r="I348" s="467"/>
      <c r="J348" s="467"/>
      <c r="K348" s="1671">
        <f>SUM(C348:J348)</f>
        <v>2330</v>
      </c>
      <c r="L348" s="466">
        <v>2330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2330</v>
      </c>
      <c r="F350" s="1670">
        <f t="shared" si="26"/>
        <v>0</v>
      </c>
      <c r="G350" s="1670">
        <f t="shared" si="26"/>
        <v>0</v>
      </c>
      <c r="H350" s="1670">
        <f t="shared" si="26"/>
        <v>0</v>
      </c>
      <c r="I350" s="1670">
        <f t="shared" si="26"/>
        <v>0</v>
      </c>
      <c r="J350" s="1670">
        <f t="shared" si="26"/>
        <v>0</v>
      </c>
      <c r="K350" s="1670">
        <f t="shared" si="26"/>
        <v>2330</v>
      </c>
      <c r="L350" s="1670">
        <f t="shared" si="26"/>
        <v>2330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2330</v>
      </c>
      <c r="F352" s="1670">
        <f t="shared" si="27"/>
        <v>0</v>
      </c>
      <c r="G352" s="1670">
        <f t="shared" si="27"/>
        <v>0</v>
      </c>
      <c r="H352" s="1670">
        <f t="shared" si="27"/>
        <v>0</v>
      </c>
      <c r="I352" s="1670">
        <f t="shared" si="27"/>
        <v>0</v>
      </c>
      <c r="J352" s="1670">
        <f t="shared" si="27"/>
        <v>0</v>
      </c>
      <c r="K352" s="1670">
        <f t="shared" si="27"/>
        <v>2330</v>
      </c>
      <c r="L352" s="1670">
        <f t="shared" si="27"/>
        <v>2330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2330</v>
      </c>
      <c r="F367" s="1670">
        <f t="shared" si="28"/>
        <v>0</v>
      </c>
      <c r="G367" s="1670">
        <f t="shared" si="28"/>
        <v>0</v>
      </c>
      <c r="H367" s="1670">
        <f t="shared" si="28"/>
        <v>0</v>
      </c>
      <c r="I367" s="1670">
        <f t="shared" si="28"/>
        <v>0</v>
      </c>
      <c r="J367" s="1670">
        <f t="shared" si="28"/>
        <v>0</v>
      </c>
      <c r="K367" s="1670">
        <f t="shared" si="28"/>
        <v>2330</v>
      </c>
      <c r="L367" s="1670">
        <f t="shared" si="28"/>
        <v>2330</v>
      </c>
    </row>
    <row r="368" spans="1:14" ht="13.5" thickTop="1" x14ac:dyDescent="0.2">
      <c r="A368" s="2183" t="s">
        <v>996</v>
      </c>
      <c r="B368" s="2184"/>
      <c r="C368" s="654"/>
      <c r="D368" s="654"/>
      <c r="E368" s="626"/>
      <c r="F368" s="626"/>
      <c r="G368" s="626"/>
      <c r="H368" s="626"/>
      <c r="I368" s="626"/>
      <c r="J368" s="623"/>
      <c r="K368" s="1671">
        <f>'Revenues 9-14'!K268-'Expenditures 15-22'!K367</f>
        <v>20950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1680205</v>
      </c>
      <c r="C4" s="1524">
        <v>752221</v>
      </c>
      <c r="D4" s="1752">
        <f>B4-C4</f>
        <v>927984</v>
      </c>
      <c r="E4" s="1524">
        <v>1788483</v>
      </c>
      <c r="F4" s="1752">
        <f>E4-C4</f>
        <v>1036262</v>
      </c>
    </row>
    <row r="5" spans="1:6" ht="13.7" customHeight="1" x14ac:dyDescent="0.2">
      <c r="A5" s="715" t="s">
        <v>870</v>
      </c>
      <c r="B5" s="1750">
        <f>'Revenues 9-14'!D5</f>
        <v>298284</v>
      </c>
      <c r="C5" s="585">
        <v>133538</v>
      </c>
      <c r="D5" s="1753">
        <f t="shared" ref="D5:D18" si="0">B5-C5</f>
        <v>164746</v>
      </c>
      <c r="E5" s="585">
        <v>317578</v>
      </c>
      <c r="F5" s="1753">
        <f>E5-C5</f>
        <v>184040</v>
      </c>
    </row>
    <row r="6" spans="1:6" ht="13.7" customHeight="1" x14ac:dyDescent="0.2">
      <c r="A6" s="715" t="s">
        <v>411</v>
      </c>
      <c r="B6" s="1750">
        <f>'Revenues 9-14'!E5</f>
        <v>286823</v>
      </c>
      <c r="C6" s="585">
        <v>126862</v>
      </c>
      <c r="D6" s="1753">
        <f t="shared" si="0"/>
        <v>159961</v>
      </c>
      <c r="E6" s="585">
        <v>301672</v>
      </c>
      <c r="F6" s="1753">
        <f t="shared" ref="F6:F18" si="1">E6-C6</f>
        <v>174810</v>
      </c>
    </row>
    <row r="7" spans="1:6" ht="13.7" customHeight="1" x14ac:dyDescent="0.2">
      <c r="A7" s="715" t="s">
        <v>155</v>
      </c>
      <c r="B7" s="1750">
        <f>'Revenues 9-14'!F5</f>
        <v>164392</v>
      </c>
      <c r="C7" s="585">
        <v>73597</v>
      </c>
      <c r="D7" s="1753">
        <f t="shared" si="0"/>
        <v>90795</v>
      </c>
      <c r="E7" s="585">
        <v>175017</v>
      </c>
      <c r="F7" s="1753">
        <f t="shared" si="1"/>
        <v>101420</v>
      </c>
    </row>
    <row r="8" spans="1:6" ht="13.7" customHeight="1" x14ac:dyDescent="0.2">
      <c r="A8" s="715" t="s">
        <v>1179</v>
      </c>
      <c r="B8" s="1750">
        <f>'Revenues 9-14'!G5</f>
        <v>58158</v>
      </c>
      <c r="C8" s="585">
        <v>32128</v>
      </c>
      <c r="D8" s="1753">
        <f t="shared" si="0"/>
        <v>26030</v>
      </c>
      <c r="E8" s="585">
        <v>61903</v>
      </c>
      <c r="F8" s="1753">
        <f t="shared" si="1"/>
        <v>29775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20740</v>
      </c>
      <c r="C10" s="585">
        <v>9119</v>
      </c>
      <c r="D10" s="1753">
        <f t="shared" si="0"/>
        <v>11621</v>
      </c>
      <c r="E10" s="585">
        <v>21709</v>
      </c>
      <c r="F10" s="1753">
        <f t="shared" si="1"/>
        <v>12590</v>
      </c>
    </row>
    <row r="11" spans="1:6" x14ac:dyDescent="0.2">
      <c r="A11" s="715" t="s">
        <v>409</v>
      </c>
      <c r="B11" s="1750">
        <f>'Revenues 9-14'!J5</f>
        <v>43094</v>
      </c>
      <c r="C11" s="585">
        <v>19296</v>
      </c>
      <c r="D11" s="1753">
        <f t="shared" si="0"/>
        <v>23798</v>
      </c>
      <c r="E11" s="585">
        <v>45944</v>
      </c>
      <c r="F11" s="1753">
        <f t="shared" si="1"/>
        <v>26648</v>
      </c>
    </row>
    <row r="12" spans="1:6" ht="13.7" customHeight="1" x14ac:dyDescent="0.2">
      <c r="A12" s="715" t="s">
        <v>157</v>
      </c>
      <c r="B12" s="1750">
        <f>'Revenues 9-14'!K5</f>
        <v>23256</v>
      </c>
      <c r="C12" s="585">
        <v>10410</v>
      </c>
      <c r="D12" s="1753">
        <f t="shared" si="0"/>
        <v>12846</v>
      </c>
      <c r="E12" s="585">
        <v>24772</v>
      </c>
      <c r="F12" s="1753">
        <f t="shared" si="1"/>
        <v>14362</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16902</v>
      </c>
      <c r="C14" s="585">
        <v>7575</v>
      </c>
      <c r="D14" s="1753">
        <f t="shared" si="0"/>
        <v>9327</v>
      </c>
      <c r="E14" s="585">
        <v>18055</v>
      </c>
      <c r="F14" s="1753">
        <f t="shared" si="1"/>
        <v>10480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58152</v>
      </c>
      <c r="C16" s="585">
        <v>32122</v>
      </c>
      <c r="D16" s="1753">
        <f t="shared" si="0"/>
        <v>26030</v>
      </c>
      <c r="E16" s="585">
        <v>61903</v>
      </c>
      <c r="F16" s="1753">
        <f t="shared" si="1"/>
        <v>29781</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2650006</v>
      </c>
      <c r="C19" s="1751">
        <f>SUM(C4:C18)</f>
        <v>1196868</v>
      </c>
      <c r="D19" s="1751">
        <f>SUM(D4:D18)</f>
        <v>1453138</v>
      </c>
      <c r="E19" s="1751">
        <f>SUM(E4:E18)</f>
        <v>2817036</v>
      </c>
      <c r="F19" s="1751">
        <f>SUM(F4:F18)</f>
        <v>1620168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BreakPreview" colorId="8" zoomScale="60" zoomScaleNormal="110" workbookViewId="0">
      <selection activeCell="A32" sqref="A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1802</v>
      </c>
      <c r="B2" s="2201"/>
      <c r="C2" s="1884" t="s">
        <v>1954</v>
      </c>
      <c r="D2" s="723" t="s">
        <v>1955</v>
      </c>
      <c r="E2" s="723" t="s">
        <v>1956</v>
      </c>
      <c r="F2" s="1884" t="s">
        <v>1957</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2080</v>
      </c>
      <c r="B31" s="733">
        <v>42033</v>
      </c>
      <c r="C31" s="734">
        <v>3500000</v>
      </c>
      <c r="D31" s="735" t="s">
        <v>2081</v>
      </c>
      <c r="E31" s="734">
        <v>3165000</v>
      </c>
      <c r="F31" s="734"/>
      <c r="G31" s="734"/>
      <c r="H31" s="734">
        <v>180000</v>
      </c>
      <c r="I31" s="1756">
        <f>((E31+F31)-H31)+G31</f>
        <v>2985000</v>
      </c>
      <c r="J31" s="734">
        <v>2808310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3500000</v>
      </c>
      <c r="D49" s="745"/>
      <c r="E49" s="1756">
        <f t="shared" ref="E49:J49" si="2">SUM(E31:E48)</f>
        <v>3165000</v>
      </c>
      <c r="F49" s="1756">
        <f t="shared" si="2"/>
        <v>0</v>
      </c>
      <c r="G49" s="1756">
        <f t="shared" si="2"/>
        <v>0</v>
      </c>
      <c r="H49" s="1756">
        <f t="shared" si="2"/>
        <v>180000</v>
      </c>
      <c r="I49" s="1756">
        <f t="shared" si="2"/>
        <v>2985000</v>
      </c>
      <c r="J49" s="1756">
        <f t="shared" si="2"/>
        <v>2808310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view="pageBreakPreview" colorId="8" zoomScale="60" zoomScaleNormal="110" workbookViewId="0">
      <selection activeCell="K11" sqref="K1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1812</v>
      </c>
      <c r="K2" s="762" t="s">
        <v>138</v>
      </c>
    </row>
    <row r="3" spans="1:11" x14ac:dyDescent="0.2">
      <c r="A3" s="2222" t="s">
        <v>1962</v>
      </c>
      <c r="B3" s="2223"/>
      <c r="C3" s="2223"/>
      <c r="D3" s="2223"/>
      <c r="E3" s="2224"/>
      <c r="F3" s="763"/>
      <c r="G3" s="764"/>
      <c r="H3" s="764"/>
      <c r="I3" s="764"/>
      <c r="J3" s="765"/>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v>16902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825</v>
      </c>
    </row>
    <row r="10" spans="1:11" x14ac:dyDescent="0.2">
      <c r="A10" s="2243" t="s">
        <v>1813</v>
      </c>
      <c r="B10" s="2216"/>
      <c r="C10" s="2216"/>
      <c r="D10" s="2216"/>
      <c r="E10" s="2245"/>
      <c r="F10" s="783" t="s">
        <v>862</v>
      </c>
      <c r="G10" s="782"/>
      <c r="H10" s="784"/>
      <c r="I10" s="764"/>
      <c r="J10" s="765"/>
      <c r="K10" s="765">
        <v>4740</v>
      </c>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16902</v>
      </c>
      <c r="I12" s="1758">
        <f>SUM(I5:I11)</f>
        <v>0</v>
      </c>
      <c r="J12" s="1758">
        <f>SUM(J5:J11)</f>
        <v>0</v>
      </c>
      <c r="K12" s="1758">
        <f>SUM(K5:K11)</f>
        <v>5565</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c r="I14" s="771"/>
      <c r="J14" s="773"/>
      <c r="K14" s="765"/>
    </row>
    <row r="15" spans="1:11" x14ac:dyDescent="0.2">
      <c r="A15" s="2216" t="s">
        <v>4</v>
      </c>
      <c r="B15" s="2216"/>
      <c r="C15" s="2216"/>
      <c r="D15" s="2216"/>
      <c r="E15" s="2244"/>
      <c r="F15" s="789" t="s">
        <v>855</v>
      </c>
      <c r="G15" s="771"/>
      <c r="H15" s="764"/>
      <c r="I15" s="764"/>
      <c r="J15" s="765"/>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1809</v>
      </c>
      <c r="B19" s="2251"/>
      <c r="C19" s="2251"/>
      <c r="D19" s="2251"/>
      <c r="E19" s="2252"/>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1815</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0</v>
      </c>
      <c r="I23" s="1758">
        <f>SUM(I14:I16,I21,I22)</f>
        <v>0</v>
      </c>
      <c r="J23" s="1758">
        <f>SUM(J14:J16,J21,J22)</f>
        <v>0</v>
      </c>
      <c r="K23" s="1758">
        <f>SUM(K14:K16,K21,K22)</f>
        <v>0</v>
      </c>
    </row>
    <row r="24" spans="1:11" ht="14.25" thickTop="1" thickBot="1" x14ac:dyDescent="0.25">
      <c r="A24" s="2237" t="s">
        <v>1963</v>
      </c>
      <c r="B24" s="2236"/>
      <c r="C24" s="2236"/>
      <c r="D24" s="2236"/>
      <c r="E24" s="2236"/>
      <c r="F24" s="1762"/>
      <c r="G24" s="1763">
        <f>SUM(G3,G12)-G23</f>
        <v>0</v>
      </c>
      <c r="H24" s="1763">
        <f>SUM(H3,H12)-H23</f>
        <v>16902</v>
      </c>
      <c r="I24" s="1763">
        <f>SUM(I3,I12)-I23</f>
        <v>0</v>
      </c>
      <c r="J24" s="1763">
        <f>SUM(J3,J12)-J23</f>
        <v>0</v>
      </c>
      <c r="K24" s="1763">
        <f>SUM(K3,K12)-K23</f>
        <v>5565</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16902</v>
      </c>
      <c r="I26" s="1758">
        <f>I24-I25</f>
        <v>0</v>
      </c>
      <c r="J26" s="1758">
        <f>J24-J25</f>
        <v>0</v>
      </c>
      <c r="K26" s="1758">
        <f>K24-K25</f>
        <v>5565</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BreakPreview" colorId="8" zoomScale="60" zoomScaleNormal="110" workbookViewId="0">
      <selection activeCell="J14" sqref="J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23000</v>
      </c>
      <c r="D5" s="841">
        <v>2161</v>
      </c>
      <c r="E5" s="841"/>
      <c r="F5" s="1760">
        <f>(C5+D5)-E5</f>
        <v>25161</v>
      </c>
      <c r="G5" s="837"/>
      <c r="H5" s="842"/>
      <c r="I5" s="842"/>
      <c r="J5" s="842"/>
      <c r="K5" s="793"/>
      <c r="L5" s="1769">
        <f>F5-K5</f>
        <v>25161</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8151548</v>
      </c>
      <c r="D8" s="844">
        <v>287817</v>
      </c>
      <c r="E8" s="844"/>
      <c r="F8" s="1760">
        <f>(C8+D8)-E8</f>
        <v>8439365</v>
      </c>
      <c r="G8" s="843">
        <v>50</v>
      </c>
      <c r="H8" s="765">
        <v>5095693</v>
      </c>
      <c r="I8" s="765">
        <v>168788</v>
      </c>
      <c r="J8" s="765"/>
      <c r="K8" s="1769">
        <f>(H8+I8)-J8</f>
        <v>5264481</v>
      </c>
      <c r="L8" s="1769">
        <f>F8-K8</f>
        <v>3174884</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169200</v>
      </c>
      <c r="D10" s="846">
        <v>45441</v>
      </c>
      <c r="E10" s="846"/>
      <c r="F10" s="1764">
        <f>(C10+D10)-E10</f>
        <v>214641</v>
      </c>
      <c r="G10" s="843">
        <v>20</v>
      </c>
      <c r="H10" s="847">
        <v>86573</v>
      </c>
      <c r="I10" s="847">
        <v>9372</v>
      </c>
      <c r="J10" s="847"/>
      <c r="K10" s="1769">
        <f>(H10+I10)-J10</f>
        <v>95945</v>
      </c>
      <c r="L10" s="1769">
        <f>F10-K10</f>
        <v>118696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861063</v>
      </c>
      <c r="D12" s="844">
        <v>57649</v>
      </c>
      <c r="E12" s="844"/>
      <c r="F12" s="1760">
        <f>(C12+D12)-E12</f>
        <v>918712</v>
      </c>
      <c r="G12" s="843">
        <v>10</v>
      </c>
      <c r="H12" s="765">
        <v>206422</v>
      </c>
      <c r="I12" s="765">
        <v>43447</v>
      </c>
      <c r="J12" s="765"/>
      <c r="K12" s="1769">
        <f>(H12+I12)-J12</f>
        <v>249869</v>
      </c>
      <c r="L12" s="1769">
        <f>F12-K12</f>
        <v>668843</v>
      </c>
    </row>
    <row r="13" spans="1:14" ht="14.25" thickTop="1" thickBot="1" x14ac:dyDescent="0.25">
      <c r="A13" s="848" t="s">
        <v>1122</v>
      </c>
      <c r="B13" s="840">
        <v>252</v>
      </c>
      <c r="C13" s="844">
        <v>162626</v>
      </c>
      <c r="D13" s="844">
        <v>59138</v>
      </c>
      <c r="E13" s="844">
        <v>45440</v>
      </c>
      <c r="F13" s="1760">
        <f>(C13+D13)-E13</f>
        <v>176324</v>
      </c>
      <c r="G13" s="843">
        <v>5</v>
      </c>
      <c r="H13" s="765">
        <v>0</v>
      </c>
      <c r="I13" s="765">
        <v>11828</v>
      </c>
      <c r="J13" s="765">
        <v>45440</v>
      </c>
      <c r="K13" s="1769">
        <f>(H13+I13)-J13</f>
        <v>-33612</v>
      </c>
      <c r="L13" s="1769">
        <f>F13-K13</f>
        <v>209936</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9367437</v>
      </c>
      <c r="D16" s="1760">
        <f>SUM(D3,D5:D6,D8:D10,D12:D15)</f>
        <v>452206</v>
      </c>
      <c r="E16" s="1760">
        <f>SUM(E3,E5:E6,E8:E10,E12:E15)</f>
        <v>45440</v>
      </c>
      <c r="F16" s="1760">
        <f>SUM(F3,F5:F6,F8:F10,F12:F15)</f>
        <v>9774203</v>
      </c>
      <c r="G16" s="843"/>
      <c r="H16" s="1760">
        <f>SUM(H3,H6,H8:H10,H12:H14,)</f>
        <v>5388688</v>
      </c>
      <c r="I16" s="1760">
        <f>SUM(I3,I6,I8:I10,I12:I14,)</f>
        <v>233435</v>
      </c>
      <c r="J16" s="1760">
        <f>SUM(J3,J6,J8:J10,J12:J14,)</f>
        <v>45440</v>
      </c>
      <c r="K16" s="1760">
        <f>(H16+I16)-J16</f>
        <v>5576683</v>
      </c>
      <c r="L16" s="1760">
        <f>F16-K16</f>
        <v>4197520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233435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view="pageBreakPreview" colorId="8" zoomScale="60" zoomScaleNormal="110" workbookViewId="0">
      <pane ySplit="5" topLeftCell="A6" activePane="bottomLeft" state="frozen"/>
      <selection activeCell="A47" sqref="A47"/>
      <selection pane="bottomLeft" activeCell="I177" sqref="I1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3235762</v>
      </c>
      <c r="G8" s="865"/>
    </row>
    <row r="9" spans="1:7" x14ac:dyDescent="0.2">
      <c r="A9" s="869" t="s">
        <v>460</v>
      </c>
      <c r="B9" s="870" t="s">
        <v>1876</v>
      </c>
      <c r="C9" s="871"/>
      <c r="D9" s="869" t="s">
        <v>501</v>
      </c>
      <c r="E9" s="868"/>
      <c r="F9" s="1909">
        <f>'Expenditures 15-22'!K151</f>
        <v>398327</v>
      </c>
      <c r="G9" s="872"/>
    </row>
    <row r="10" spans="1:7" x14ac:dyDescent="0.2">
      <c r="A10" s="869" t="s">
        <v>499</v>
      </c>
      <c r="B10" s="870" t="s">
        <v>1877</v>
      </c>
      <c r="C10" s="871"/>
      <c r="D10" s="869" t="s">
        <v>501</v>
      </c>
      <c r="E10" s="868"/>
      <c r="F10" s="1909">
        <f>'Expenditures 15-22'!K174</f>
        <v>301395</v>
      </c>
      <c r="G10" s="872"/>
    </row>
    <row r="11" spans="1:7" x14ac:dyDescent="0.2">
      <c r="A11" s="869" t="s">
        <v>461</v>
      </c>
      <c r="B11" s="870" t="s">
        <v>1878</v>
      </c>
      <c r="C11" s="871"/>
      <c r="D11" s="869" t="s">
        <v>501</v>
      </c>
      <c r="E11" s="868"/>
      <c r="F11" s="1909">
        <f>'Expenditures 15-22'!K210</f>
        <v>298687</v>
      </c>
      <c r="G11" s="872"/>
    </row>
    <row r="12" spans="1:7" x14ac:dyDescent="0.2">
      <c r="A12" s="869" t="s">
        <v>462</v>
      </c>
      <c r="B12" s="870" t="s">
        <v>1879</v>
      </c>
      <c r="C12" s="871"/>
      <c r="D12" s="869" t="s">
        <v>501</v>
      </c>
      <c r="E12" s="868"/>
      <c r="F12" s="1909">
        <f>'Expenditures 15-22'!K295</f>
        <v>116653</v>
      </c>
      <c r="G12" s="872"/>
    </row>
    <row r="13" spans="1:7" x14ac:dyDescent="0.2">
      <c r="A13" s="869" t="s">
        <v>106</v>
      </c>
      <c r="B13" s="870" t="s">
        <v>1880</v>
      </c>
      <c r="C13" s="871"/>
      <c r="D13" s="869" t="s">
        <v>501</v>
      </c>
      <c r="E13" s="868"/>
      <c r="F13" s="1909">
        <f>'Expenditures 15-22'!K342</f>
        <v>55578</v>
      </c>
      <c r="G13" s="873"/>
    </row>
    <row r="14" spans="1:7" ht="12" customHeight="1" thickBot="1" x14ac:dyDescent="0.25">
      <c r="A14" s="1770"/>
      <c r="B14" s="1771"/>
      <c r="C14" s="1772"/>
      <c r="D14" s="1773" t="s">
        <v>501</v>
      </c>
      <c r="E14" s="1774" t="s">
        <v>958</v>
      </c>
      <c r="F14" s="1775">
        <f>SUM(F8:F13)</f>
        <v>4406402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83686</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1547</v>
      </c>
      <c r="G52" s="865"/>
    </row>
    <row r="53" spans="1:7" x14ac:dyDescent="0.2">
      <c r="A53" s="869" t="s">
        <v>459</v>
      </c>
      <c r="B53" s="869" t="s">
        <v>1475</v>
      </c>
      <c r="C53" s="889">
        <f>'Expenditures 15-22'!B102</f>
        <v>4000</v>
      </c>
      <c r="D53" s="888" t="str">
        <f>'Expenditures 15-22'!A102</f>
        <v>Total Payments to Other Govt Units</v>
      </c>
      <c r="E53" s="868"/>
      <c r="F53" s="1913">
        <f>'Expenditures 15-22'!K102</f>
        <v>132421</v>
      </c>
      <c r="G53" s="865"/>
    </row>
    <row r="54" spans="1:7" x14ac:dyDescent="0.2">
      <c r="A54" s="869" t="s">
        <v>459</v>
      </c>
      <c r="B54" s="869" t="s">
        <v>1476</v>
      </c>
      <c r="C54" s="889" t="s">
        <v>982</v>
      </c>
      <c r="D54" s="885" t="s">
        <v>1095</v>
      </c>
      <c r="E54" s="868"/>
      <c r="F54" s="1913">
        <f>'Expenditures 15-22'!G114</f>
        <v>46371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109302</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180000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59138</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8636</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12</v>
      </c>
      <c r="G71" s="865"/>
    </row>
    <row r="72" spans="1:8" x14ac:dyDescent="0.2">
      <c r="A72" s="869" t="s">
        <v>462</v>
      </c>
      <c r="B72" s="869" t="s">
        <v>1895</v>
      </c>
      <c r="C72" s="886">
        <f>'Expenditures 15-22'!B280</f>
        <v>3000</v>
      </c>
      <c r="D72" s="876" t="s">
        <v>449</v>
      </c>
      <c r="E72" s="868"/>
      <c r="F72" s="1913">
        <f>'Expenditures 15-22'!K280</f>
        <v>45</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621158</v>
      </c>
      <c r="G76" s="865"/>
    </row>
    <row r="77" spans="1:8" s="893" customFormat="1" ht="12" customHeight="1" thickTop="1" thickBot="1" x14ac:dyDescent="0.25">
      <c r="A77" s="1779"/>
      <c r="B77" s="1776"/>
      <c r="C77" s="1772"/>
      <c r="D77" s="1777" t="s">
        <v>1899</v>
      </c>
      <c r="E77" s="1774"/>
      <c r="F77" s="1780">
        <f>(F14-F76)</f>
        <v>3785244</v>
      </c>
      <c r="G77" s="869"/>
    </row>
    <row r="78" spans="1:8" s="893" customFormat="1" ht="12" customHeight="1" thickTop="1" x14ac:dyDescent="0.2">
      <c r="A78" s="1781"/>
      <c r="B78" s="1776"/>
      <c r="C78" s="1772"/>
      <c r="D78" s="1777" t="s">
        <v>2060</v>
      </c>
      <c r="E78" s="1774"/>
      <c r="F78" s="898">
        <v>255.9</v>
      </c>
      <c r="G78" s="899"/>
      <c r="H78" s="869"/>
    </row>
    <row r="79" spans="1:8" s="893" customFormat="1" ht="12" customHeight="1" thickBot="1" x14ac:dyDescent="0.25">
      <c r="A79" s="1782"/>
      <c r="B79" s="1776"/>
      <c r="C79" s="1772"/>
      <c r="D79" s="1777" t="s">
        <v>1900</v>
      </c>
      <c r="E79" s="1774" t="s">
        <v>958</v>
      </c>
      <c r="F79" s="1783">
        <f>IF(F78&gt;0,F77/F78," Complete Line 78")</f>
        <v>14791.887456037515</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42242</v>
      </c>
      <c r="G94" s="912"/>
    </row>
    <row r="95" spans="1:7" x14ac:dyDescent="0.2">
      <c r="A95" s="908" t="s">
        <v>140</v>
      </c>
      <c r="B95" s="908" t="s">
        <v>175</v>
      </c>
      <c r="C95" s="910">
        <v>1700</v>
      </c>
      <c r="D95" s="918" t="str">
        <f>'Revenues 9-14'!A82</f>
        <v>Total District/School Activity Income</v>
      </c>
      <c r="E95" s="906"/>
      <c r="F95" s="1789">
        <f>SUM('Revenues 9-14'!C82,'Revenues 9-14'!D82)</f>
        <v>13704</v>
      </c>
      <c r="G95" s="912"/>
    </row>
    <row r="96" spans="1:7" x14ac:dyDescent="0.2">
      <c r="A96" s="908" t="s">
        <v>459</v>
      </c>
      <c r="B96" s="908" t="s">
        <v>176</v>
      </c>
      <c r="C96" s="910">
        <f>'Revenues 9-14'!B84</f>
        <v>1811</v>
      </c>
      <c r="D96" s="911" t="str">
        <f>'Revenues 9-14'!A84</f>
        <v>Rentals - Regular Textbooks</v>
      </c>
      <c r="E96" s="906"/>
      <c r="F96" s="1789">
        <f>'Revenues 9-14'!C84</f>
        <v>11345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62831</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4667</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1152</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4740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143625</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42115</v>
      </c>
      <c r="G124" s="930"/>
    </row>
    <row r="125" spans="1:7" x14ac:dyDescent="0.2">
      <c r="A125" s="927" t="s">
        <v>664</v>
      </c>
      <c r="B125" s="927" t="s">
        <v>2021</v>
      </c>
      <c r="C125" s="932">
        <v>4200</v>
      </c>
      <c r="D125" s="929" t="str">
        <f>'Revenues 9-14'!A198</f>
        <v>Total Food Service</v>
      </c>
      <c r="E125" s="906"/>
      <c r="F125" s="1789">
        <f>SUM('Revenues 9-14'!C198,'Revenues 9-14'!G198)</f>
        <v>63797</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124184</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12119</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38285</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565556</v>
      </c>
    </row>
    <row r="175" spans="1:7" ht="12" customHeight="1" x14ac:dyDescent="0.2">
      <c r="A175" s="1770"/>
      <c r="B175" s="1784"/>
      <c r="C175" s="1785"/>
      <c r="D175" s="1786" t="s">
        <v>2055</v>
      </c>
      <c r="E175" s="1787"/>
      <c r="F175" s="1789">
        <f>'PCTC-OEPP 27-28'!F77-F174</f>
        <v>3219688</v>
      </c>
    </row>
    <row r="176" spans="1:7" ht="12" customHeight="1" x14ac:dyDescent="0.2">
      <c r="A176" s="1770"/>
      <c r="B176" s="1784"/>
      <c r="C176" s="1785"/>
      <c r="D176" s="1786" t="s">
        <v>1817</v>
      </c>
      <c r="E176" s="1787"/>
      <c r="F176" s="1789">
        <f>'Cap Outlay Deprec 26'!I18</f>
        <v>233435</v>
      </c>
    </row>
    <row r="177" spans="1:7" ht="12" customHeight="1" x14ac:dyDescent="0.2">
      <c r="A177" s="1770"/>
      <c r="B177" s="1784"/>
      <c r="C177" s="1785"/>
      <c r="D177" s="1786" t="s">
        <v>2056</v>
      </c>
      <c r="E177" s="1787"/>
      <c r="F177" s="1789">
        <f>F175+F176</f>
        <v>3453123</v>
      </c>
    </row>
    <row r="178" spans="1:7" ht="12" customHeight="1" x14ac:dyDescent="0.2">
      <c r="A178" s="1770"/>
      <c r="B178" s="1790"/>
      <c r="C178" s="1785"/>
      <c r="D178" s="1786" t="str">
        <f>D78</f>
        <v>9 Month ADA from District Average Daily Attendance/Prior General State Aid Inquiry 2018-2019</v>
      </c>
      <c r="E178" s="1787"/>
      <c r="F178" s="1791">
        <f>'PCTC-OEPP 27-28'!F78</f>
        <v>255.9</v>
      </c>
      <c r="G178" s="930"/>
    </row>
    <row r="179" spans="1:7" ht="12" customHeight="1" thickBot="1" x14ac:dyDescent="0.25">
      <c r="A179" s="1770"/>
      <c r="B179" s="1790"/>
      <c r="C179" s="1785"/>
      <c r="D179" s="1786" t="s">
        <v>2057</v>
      </c>
      <c r="E179" s="1787" t="s">
        <v>1545</v>
      </c>
      <c r="F179" s="1792">
        <f>F177/F178</f>
        <v>13494.032825322391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view="pageBreakPreview" zoomScaleNormal="100" zoomScaleSheetLayoutView="100" workbookViewId="0">
      <selection activeCell="D18" sqref="D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7" t="s">
        <v>2064</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0" t="s">
        <v>2089</v>
      </c>
      <c r="B18" s="1941" t="s">
        <v>2092</v>
      </c>
      <c r="C18" s="1942" t="s">
        <v>2093</v>
      </c>
      <c r="D18" s="1844">
        <v>6534.8</v>
      </c>
      <c r="E18" s="1540">
        <f t="shared" ref="E18:E142" si="0">IF(D18&lt;=25000,D18,IF(D18&gt;25000,25000,0))</f>
        <v>6534.8</v>
      </c>
      <c r="F18" s="1936">
        <f>(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6534.8</v>
      </c>
      <c r="G18" s="1793">
        <f>IF(F18=0,0,D18-F18)</f>
        <v>0</v>
      </c>
      <c r="H18" s="1647"/>
    </row>
    <row r="19" spans="1:8" ht="30" x14ac:dyDescent="0.25">
      <c r="A19" s="1940" t="s">
        <v>2099</v>
      </c>
      <c r="B19" s="1941" t="s">
        <v>2090</v>
      </c>
      <c r="C19" s="1942" t="s">
        <v>2091</v>
      </c>
      <c r="D19" s="1844">
        <v>2510</v>
      </c>
      <c r="E19" s="1540">
        <f t="shared" ref="E19:E141" si="1">IF(D19&lt;=25000,D19,IF(D19&gt;25000,25000,0))</f>
        <v>2510</v>
      </c>
      <c r="F19" s="1936">
        <f t="shared" ref="F19:F81" si="2">(IF(D19="",0,(IF(OR(B19="10-1000-100",B19="10-1000-200",B19="10-1000-300",B19="10-1000-400",B19="10-1000-600",B19="10-1000-800",B19="50-1000-200",B19="10-2100-100",B19="10-2100-200",B19="10-2100-300",B19="10-2100-400",B19="10-2100-600",B19="10-2100-800",B19="20-2100-100",B19="20-2100-200",B19="20-2100-300",B19="20-2100-400",B19="20-2100-600",B19="20-2100-800",B19="40-2100-100",B19="40-2100-200",B19="40-2100-300",B19="40-2100-400",B19="40-2100-600",B19="40-2100-800",B19="50-2100-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10-2540-800",B19="20-2540-100",B19="20-2540-200",B19="20-2540-300",B19="20-2540-400",B19="20-2540-600",B19="20-2540-800",B19="50-2540-200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10-3000-100",B19="10-3000-200",B19="10-3000-300",B19="10-3000-400",B19="10-3000-600",B19="10-3000-800",B19="20-3000-100",B19="20-3000-200",B19="20-3000-300",B19="20-3000-400",B19="20-3000-600",B19="20-3000-800",B19="40-3000-100",B19="40-3000-200",B19="40-3000-300",B19="40-3000-400",B19="40-3000-600",B19="40-3000-800",B19="50-3000-200"),E19,"Check func/obj # in Colm B"))))</f>
        <v>2510</v>
      </c>
      <c r="G19" s="1793">
        <f t="shared" ref="G19:G141" si="3">IF(F19=0,0,D19-F19)</f>
        <v>0</v>
      </c>
    </row>
    <row r="20" spans="1:8" ht="30" x14ac:dyDescent="0.25">
      <c r="A20" s="1940" t="s">
        <v>2099</v>
      </c>
      <c r="B20" s="1941" t="s">
        <v>2090</v>
      </c>
      <c r="C20" s="1942" t="s">
        <v>2094</v>
      </c>
      <c r="D20" s="1844">
        <v>2210</v>
      </c>
      <c r="E20" s="1540">
        <f t="shared" si="1"/>
        <v>2210</v>
      </c>
      <c r="F20" s="1936">
        <f t="shared" si="2"/>
        <v>2210</v>
      </c>
      <c r="G20" s="1793">
        <f t="shared" si="3"/>
        <v>0</v>
      </c>
    </row>
    <row r="21" spans="1:8" ht="30" x14ac:dyDescent="0.25">
      <c r="A21" s="1940" t="s">
        <v>2099</v>
      </c>
      <c r="B21" s="1941" t="s">
        <v>2090</v>
      </c>
      <c r="C21" s="1942" t="s">
        <v>2095</v>
      </c>
      <c r="D21" s="1844">
        <v>1159</v>
      </c>
      <c r="E21" s="1540">
        <f t="shared" si="1"/>
        <v>1159</v>
      </c>
      <c r="F21" s="1936">
        <f t="shared" si="2"/>
        <v>1159</v>
      </c>
      <c r="G21" s="1793">
        <f t="shared" si="3"/>
        <v>0</v>
      </c>
    </row>
    <row r="22" spans="1:8" x14ac:dyDescent="0.25">
      <c r="A22" s="1940" t="s">
        <v>2098</v>
      </c>
      <c r="B22" s="1941" t="s">
        <v>2096</v>
      </c>
      <c r="C22" s="1942" t="s">
        <v>2097</v>
      </c>
      <c r="D22" s="1844">
        <v>1040</v>
      </c>
      <c r="E22" s="1540">
        <f t="shared" si="1"/>
        <v>1040</v>
      </c>
      <c r="F22" s="1936">
        <f t="shared" si="2"/>
        <v>1040</v>
      </c>
      <c r="G22" s="1793">
        <f t="shared" si="3"/>
        <v>0</v>
      </c>
    </row>
    <row r="23" spans="1:8" x14ac:dyDescent="0.25">
      <c r="A23" s="1653"/>
      <c r="B23" s="1941"/>
      <c r="C23" s="1656"/>
      <c r="D23" s="1844"/>
      <c r="E23" s="1540">
        <f t="shared" si="1"/>
        <v>0</v>
      </c>
      <c r="F23" s="1936">
        <f t="shared" si="2"/>
        <v>0</v>
      </c>
      <c r="G23" s="1793">
        <f t="shared" si="3"/>
        <v>0</v>
      </c>
    </row>
    <row r="24" spans="1:8" x14ac:dyDescent="0.25">
      <c r="A24" s="1653"/>
      <c r="B24" s="1933"/>
      <c r="C24" s="1656"/>
      <c r="D24" s="1844"/>
      <c r="E24" s="1540">
        <f t="shared" si="1"/>
        <v>0</v>
      </c>
      <c r="F24" s="1936">
        <f t="shared" si="2"/>
        <v>0</v>
      </c>
      <c r="G24" s="1793">
        <f t="shared" si="3"/>
        <v>0</v>
      </c>
    </row>
    <row r="25" spans="1:8" x14ac:dyDescent="0.25">
      <c r="A25" s="1653"/>
      <c r="B25" s="1933"/>
      <c r="C25" s="1656"/>
      <c r="D25" s="1844"/>
      <c r="E25" s="1540">
        <f t="shared" si="1"/>
        <v>0</v>
      </c>
      <c r="F25" s="1936">
        <f t="shared" si="2"/>
        <v>0</v>
      </c>
      <c r="G25" s="1793">
        <f t="shared" si="3"/>
        <v>0</v>
      </c>
    </row>
    <row r="26" spans="1:8" x14ac:dyDescent="0.25">
      <c r="A26" s="1653"/>
      <c r="B26" s="1933"/>
      <c r="C26" s="1656"/>
      <c r="D26" s="1844"/>
      <c r="E26" s="1540">
        <f t="shared" si="1"/>
        <v>0</v>
      </c>
      <c r="F26" s="1936">
        <f t="shared" si="2"/>
        <v>0</v>
      </c>
      <c r="G26" s="1793">
        <f t="shared" si="3"/>
        <v>0</v>
      </c>
    </row>
    <row r="27" spans="1:8" x14ac:dyDescent="0.25">
      <c r="A27" s="1653"/>
      <c r="B27" s="1933"/>
      <c r="C27" s="1654"/>
      <c r="D27" s="1844"/>
      <c r="E27" s="1540">
        <f t="shared" si="1"/>
        <v>0</v>
      </c>
      <c r="F27" s="1936">
        <f t="shared" si="2"/>
        <v>0</v>
      </c>
      <c r="G27" s="1793">
        <f t="shared" si="3"/>
        <v>0</v>
      </c>
    </row>
    <row r="28" spans="1:8" x14ac:dyDescent="0.25">
      <c r="A28" s="1653"/>
      <c r="B28" s="1933"/>
      <c r="C28" s="1654"/>
      <c r="D28" s="1844"/>
      <c r="E28" s="1540">
        <f t="shared" si="1"/>
        <v>0</v>
      </c>
      <c r="F28" s="1936">
        <f t="shared" si="2"/>
        <v>0</v>
      </c>
      <c r="G28" s="1793">
        <f t="shared" si="3"/>
        <v>0</v>
      </c>
    </row>
    <row r="29" spans="1:8" x14ac:dyDescent="0.25">
      <c r="A29" s="1653"/>
      <c r="B29" s="1933"/>
      <c r="C29" s="1654"/>
      <c r="D29" s="1844"/>
      <c r="E29" s="1540">
        <f t="shared" si="1"/>
        <v>0</v>
      </c>
      <c r="F29" s="1936">
        <f t="shared" si="2"/>
        <v>0</v>
      </c>
      <c r="G29" s="1793">
        <f t="shared" si="3"/>
        <v>0</v>
      </c>
    </row>
    <row r="30" spans="1:8" x14ac:dyDescent="0.25">
      <c r="A30" s="1653"/>
      <c r="B30" s="1933"/>
      <c r="C30" s="1654"/>
      <c r="D30" s="1844"/>
      <c r="E30" s="1540">
        <f t="shared" si="1"/>
        <v>0</v>
      </c>
      <c r="F30" s="1936">
        <f t="shared" si="2"/>
        <v>0</v>
      </c>
      <c r="G30" s="1793">
        <f t="shared" si="3"/>
        <v>0</v>
      </c>
    </row>
    <row r="31" spans="1:8" x14ac:dyDescent="0.25">
      <c r="A31" s="1653"/>
      <c r="B31" s="1933"/>
      <c r="C31" s="1654"/>
      <c r="D31" s="1844"/>
      <c r="E31" s="1540">
        <f t="shared" si="1"/>
        <v>0</v>
      </c>
      <c r="F31" s="1936">
        <f t="shared" si="2"/>
        <v>0</v>
      </c>
      <c r="G31" s="1793">
        <f t="shared" si="3"/>
        <v>0</v>
      </c>
    </row>
    <row r="32" spans="1:8" x14ac:dyDescent="0.25">
      <c r="A32" s="1653"/>
      <c r="B32" s="1933"/>
      <c r="C32" s="1654"/>
      <c r="D32" s="1844"/>
      <c r="E32" s="1540">
        <f t="shared" si="1"/>
        <v>0</v>
      </c>
      <c r="F32" s="1936">
        <f t="shared" si="2"/>
        <v>0</v>
      </c>
      <c r="G32" s="1793">
        <f t="shared" si="3"/>
        <v>0</v>
      </c>
    </row>
    <row r="33" spans="1:7" x14ac:dyDescent="0.25">
      <c r="A33" s="1653"/>
      <c r="B33" s="1933"/>
      <c r="C33" s="1654"/>
      <c r="D33" s="1844"/>
      <c r="E33" s="1540">
        <f t="shared" si="1"/>
        <v>0</v>
      </c>
      <c r="F33" s="1936">
        <f t="shared" si="2"/>
        <v>0</v>
      </c>
      <c r="G33" s="1793">
        <f t="shared" si="3"/>
        <v>0</v>
      </c>
    </row>
    <row r="34" spans="1:7" x14ac:dyDescent="0.25">
      <c r="A34" s="1653"/>
      <c r="B34" s="1933"/>
      <c r="C34" s="1654"/>
      <c r="D34" s="1844"/>
      <c r="E34" s="1540">
        <f t="shared" si="1"/>
        <v>0</v>
      </c>
      <c r="F34" s="1936">
        <f t="shared" si="2"/>
        <v>0</v>
      </c>
      <c r="G34" s="1793">
        <f t="shared" si="3"/>
        <v>0</v>
      </c>
    </row>
    <row r="35" spans="1:7" x14ac:dyDescent="0.25">
      <c r="A35" s="1653"/>
      <c r="B35" s="1933"/>
      <c r="C35" s="1654"/>
      <c r="D35" s="1844"/>
      <c r="E35" s="1540">
        <f t="shared" si="1"/>
        <v>0</v>
      </c>
      <c r="F35" s="1936">
        <f t="shared" si="2"/>
        <v>0</v>
      </c>
      <c r="G35" s="1793">
        <f t="shared" si="3"/>
        <v>0</v>
      </c>
    </row>
    <row r="36" spans="1:7" x14ac:dyDescent="0.25">
      <c r="A36" s="1653"/>
      <c r="B36" s="1933"/>
      <c r="C36" s="1654"/>
      <c r="D36" s="1844"/>
      <c r="E36" s="1540">
        <f t="shared" si="1"/>
        <v>0</v>
      </c>
      <c r="F36" s="1936">
        <f t="shared" si="2"/>
        <v>0</v>
      </c>
      <c r="G36" s="1793">
        <f t="shared" si="3"/>
        <v>0</v>
      </c>
    </row>
    <row r="37" spans="1:7" x14ac:dyDescent="0.25">
      <c r="A37" s="1653"/>
      <c r="B37" s="1933"/>
      <c r="C37" s="1654"/>
      <c r="D37" s="1844"/>
      <c r="E37" s="1540">
        <f t="shared" si="1"/>
        <v>0</v>
      </c>
      <c r="F37" s="1936">
        <f t="shared" si="2"/>
        <v>0</v>
      </c>
      <c r="G37" s="1793">
        <f t="shared" si="3"/>
        <v>0</v>
      </c>
    </row>
    <row r="38" spans="1:7" x14ac:dyDescent="0.25">
      <c r="A38" s="1653"/>
      <c r="B38" s="1933"/>
      <c r="C38" s="1654"/>
      <c r="D38" s="1844"/>
      <c r="E38" s="1540">
        <f t="shared" si="1"/>
        <v>0</v>
      </c>
      <c r="F38" s="1936">
        <f t="shared" si="2"/>
        <v>0</v>
      </c>
      <c r="G38" s="1793">
        <f t="shared" si="3"/>
        <v>0</v>
      </c>
    </row>
    <row r="39" spans="1:7" x14ac:dyDescent="0.25">
      <c r="A39" s="1653"/>
      <c r="B39" s="1934"/>
      <c r="C39" s="1654"/>
      <c r="D39" s="1844"/>
      <c r="E39" s="1540">
        <f t="shared" si="1"/>
        <v>0</v>
      </c>
      <c r="F39" s="1936">
        <f t="shared" si="2"/>
        <v>0</v>
      </c>
      <c r="G39" s="1793">
        <f t="shared" si="3"/>
        <v>0</v>
      </c>
    </row>
    <row r="40" spans="1:7" x14ac:dyDescent="0.25">
      <c r="A40" s="1653"/>
      <c r="B40" s="1934"/>
      <c r="C40" s="1654"/>
      <c r="D40" s="1844"/>
      <c r="E40" s="1540">
        <f t="shared" si="1"/>
        <v>0</v>
      </c>
      <c r="F40" s="1936">
        <f t="shared" si="2"/>
        <v>0</v>
      </c>
      <c r="G40" s="1793">
        <f t="shared" si="3"/>
        <v>0</v>
      </c>
    </row>
    <row r="41" spans="1:7" x14ac:dyDescent="0.25">
      <c r="A41" s="1653"/>
      <c r="B41" s="1934"/>
      <c r="C41" s="1654"/>
      <c r="D41" s="1844"/>
      <c r="E41" s="1540">
        <f t="shared" si="1"/>
        <v>0</v>
      </c>
      <c r="F41" s="1936">
        <f t="shared" si="2"/>
        <v>0</v>
      </c>
      <c r="G41" s="1793">
        <f t="shared" si="3"/>
        <v>0</v>
      </c>
    </row>
    <row r="42" spans="1:7" x14ac:dyDescent="0.25">
      <c r="A42" s="1653"/>
      <c r="B42" s="1934"/>
      <c r="C42" s="1654"/>
      <c r="D42" s="1844"/>
      <c r="E42" s="1540">
        <f t="shared" si="1"/>
        <v>0</v>
      </c>
      <c r="F42" s="1936">
        <f t="shared" si="2"/>
        <v>0</v>
      </c>
      <c r="G42" s="1793">
        <f t="shared" si="3"/>
        <v>0</v>
      </c>
    </row>
    <row r="43" spans="1:7" x14ac:dyDescent="0.25">
      <c r="A43" s="1653"/>
      <c r="B43" s="1934"/>
      <c r="C43" s="1654"/>
      <c r="D43" s="1844"/>
      <c r="E43" s="1540">
        <f t="shared" si="1"/>
        <v>0</v>
      </c>
      <c r="F43" s="1936">
        <f t="shared" si="2"/>
        <v>0</v>
      </c>
      <c r="G43" s="1793">
        <f t="shared" si="3"/>
        <v>0</v>
      </c>
    </row>
    <row r="44" spans="1:7" x14ac:dyDescent="0.25">
      <c r="A44" s="1653"/>
      <c r="B44" s="1934"/>
      <c r="C44" s="1654"/>
      <c r="D44" s="1844"/>
      <c r="E44" s="1540">
        <f t="shared" si="1"/>
        <v>0</v>
      </c>
      <c r="F44" s="1936">
        <f t="shared" si="2"/>
        <v>0</v>
      </c>
      <c r="G44" s="1793">
        <f t="shared" si="3"/>
        <v>0</v>
      </c>
    </row>
    <row r="45" spans="1:7" x14ac:dyDescent="0.25">
      <c r="A45" s="1653"/>
      <c r="B45" s="1934"/>
      <c r="C45" s="1654"/>
      <c r="D45" s="1844"/>
      <c r="E45" s="1540">
        <f t="shared" si="1"/>
        <v>0</v>
      </c>
      <c r="F45" s="1936">
        <f t="shared" si="2"/>
        <v>0</v>
      </c>
      <c r="G45" s="1793">
        <f t="shared" si="3"/>
        <v>0</v>
      </c>
    </row>
    <row r="46" spans="1:7" x14ac:dyDescent="0.25">
      <c r="A46" s="1653"/>
      <c r="B46" s="1934"/>
      <c r="C46" s="1654"/>
      <c r="D46" s="1844"/>
      <c r="E46" s="1540">
        <f t="shared" si="1"/>
        <v>0</v>
      </c>
      <c r="F46" s="1936">
        <f t="shared" si="2"/>
        <v>0</v>
      </c>
      <c r="G46" s="1793">
        <f t="shared" si="3"/>
        <v>0</v>
      </c>
    </row>
    <row r="47" spans="1:7" x14ac:dyDescent="0.25">
      <c r="A47" s="1653"/>
      <c r="B47" s="1667"/>
      <c r="C47" s="1654"/>
      <c r="D47" s="1844"/>
      <c r="E47" s="1540">
        <f t="shared" si="1"/>
        <v>0</v>
      </c>
      <c r="F47" s="1936">
        <f t="shared" si="2"/>
        <v>0</v>
      </c>
      <c r="G47" s="1793">
        <f t="shared" si="3"/>
        <v>0</v>
      </c>
    </row>
    <row r="48" spans="1:7" x14ac:dyDescent="0.25">
      <c r="A48" s="1653"/>
      <c r="B48" s="1667"/>
      <c r="C48" s="1654"/>
      <c r="D48" s="1844"/>
      <c r="E48" s="1540">
        <f t="shared" si="1"/>
        <v>0</v>
      </c>
      <c r="F48" s="1936">
        <f t="shared" si="2"/>
        <v>0</v>
      </c>
      <c r="G48" s="1793">
        <f t="shared" si="3"/>
        <v>0</v>
      </c>
    </row>
    <row r="49" spans="1:7" x14ac:dyDescent="0.25">
      <c r="A49" s="1653"/>
      <c r="B49" s="1667"/>
      <c r="C49" s="1654"/>
      <c r="D49" s="1844"/>
      <c r="E49" s="1540">
        <f t="shared" si="1"/>
        <v>0</v>
      </c>
      <c r="F49" s="1936">
        <f t="shared" si="2"/>
        <v>0</v>
      </c>
      <c r="G49" s="1793">
        <f t="shared" si="3"/>
        <v>0</v>
      </c>
    </row>
    <row r="50" spans="1:7" x14ac:dyDescent="0.25">
      <c r="A50" s="1653"/>
      <c r="B50" s="1667"/>
      <c r="C50" s="1654"/>
      <c r="D50" s="1844"/>
      <c r="E50" s="1540">
        <f t="shared" si="1"/>
        <v>0</v>
      </c>
      <c r="F50" s="1936">
        <f t="shared" si="2"/>
        <v>0</v>
      </c>
      <c r="G50" s="1793">
        <f t="shared" si="3"/>
        <v>0</v>
      </c>
    </row>
    <row r="51" spans="1:7" x14ac:dyDescent="0.25">
      <c r="A51" s="1653"/>
      <c r="B51" s="1667"/>
      <c r="C51" s="1654"/>
      <c r="D51" s="1844"/>
      <c r="E51" s="1540">
        <f t="shared" si="1"/>
        <v>0</v>
      </c>
      <c r="F51" s="1936">
        <f t="shared" si="2"/>
        <v>0</v>
      </c>
      <c r="G51" s="1793">
        <f t="shared" si="3"/>
        <v>0</v>
      </c>
    </row>
    <row r="52" spans="1:7" x14ac:dyDescent="0.25">
      <c r="A52" s="1653"/>
      <c r="B52" s="1667"/>
      <c r="C52" s="1654"/>
      <c r="D52" s="1844"/>
      <c r="E52" s="1540">
        <f t="shared" si="1"/>
        <v>0</v>
      </c>
      <c r="F52" s="1936">
        <f t="shared" si="2"/>
        <v>0</v>
      </c>
      <c r="G52" s="1793">
        <f t="shared" si="3"/>
        <v>0</v>
      </c>
    </row>
    <row r="53" spans="1:7" x14ac:dyDescent="0.25">
      <c r="A53" s="1653"/>
      <c r="B53" s="1667"/>
      <c r="C53" s="1654"/>
      <c r="D53" s="1844"/>
      <c r="E53" s="1540">
        <f t="shared" si="1"/>
        <v>0</v>
      </c>
      <c r="F53" s="1936">
        <f t="shared" si="2"/>
        <v>0</v>
      </c>
      <c r="G53" s="1793">
        <f t="shared" si="3"/>
        <v>0</v>
      </c>
    </row>
    <row r="54" spans="1:7" x14ac:dyDescent="0.25">
      <c r="A54" s="1653"/>
      <c r="B54" s="1667"/>
      <c r="C54" s="1654"/>
      <c r="D54" s="1844"/>
      <c r="E54" s="1540">
        <f t="shared" si="1"/>
        <v>0</v>
      </c>
      <c r="F54" s="1936">
        <f t="shared" si="2"/>
        <v>0</v>
      </c>
      <c r="G54" s="1793">
        <f t="shared" si="3"/>
        <v>0</v>
      </c>
    </row>
    <row r="55" spans="1:7" x14ac:dyDescent="0.25">
      <c r="A55" s="1653"/>
      <c r="B55" s="1667"/>
      <c r="C55" s="1654"/>
      <c r="D55" s="1844"/>
      <c r="E55" s="1540">
        <f t="shared" si="1"/>
        <v>0</v>
      </c>
      <c r="F55" s="1936">
        <f t="shared" si="2"/>
        <v>0</v>
      </c>
      <c r="G55" s="1793">
        <f t="shared" si="3"/>
        <v>0</v>
      </c>
    </row>
    <row r="56" spans="1:7" x14ac:dyDescent="0.25">
      <c r="A56" s="1653"/>
      <c r="B56" s="1667"/>
      <c r="C56" s="1654"/>
      <c r="D56" s="1844"/>
      <c r="E56" s="1540">
        <f t="shared" si="1"/>
        <v>0</v>
      </c>
      <c r="F56" s="1936">
        <f t="shared" si="2"/>
        <v>0</v>
      </c>
      <c r="G56" s="1793">
        <f t="shared" si="3"/>
        <v>0</v>
      </c>
    </row>
    <row r="57" spans="1:7" x14ac:dyDescent="0.25">
      <c r="A57" s="1653"/>
      <c r="B57" s="1667"/>
      <c r="C57" s="1654"/>
      <c r="D57" s="1844"/>
      <c r="E57" s="1540">
        <f t="shared" si="1"/>
        <v>0</v>
      </c>
      <c r="F57" s="1936">
        <f t="shared" si="2"/>
        <v>0</v>
      </c>
      <c r="G57" s="1793">
        <f t="shared" si="3"/>
        <v>0</v>
      </c>
    </row>
    <row r="58" spans="1:7" x14ac:dyDescent="0.25">
      <c r="A58" s="1653"/>
      <c r="B58" s="1667"/>
      <c r="C58" s="1654"/>
      <c r="D58" s="1844"/>
      <c r="E58" s="1540">
        <f t="shared" si="1"/>
        <v>0</v>
      </c>
      <c r="F58" s="1936">
        <f t="shared" si="2"/>
        <v>0</v>
      </c>
      <c r="G58" s="1793">
        <f t="shared" si="3"/>
        <v>0</v>
      </c>
    </row>
    <row r="59" spans="1:7" x14ac:dyDescent="0.25">
      <c r="A59" s="1653"/>
      <c r="B59" s="1667"/>
      <c r="C59" s="1654"/>
      <c r="D59" s="1844"/>
      <c r="E59" s="1540">
        <f t="shared" si="1"/>
        <v>0</v>
      </c>
      <c r="F59" s="1936">
        <f t="shared" si="2"/>
        <v>0</v>
      </c>
      <c r="G59" s="1793">
        <f t="shared" si="3"/>
        <v>0</v>
      </c>
    </row>
    <row r="60" spans="1:7" x14ac:dyDescent="0.25">
      <c r="A60" s="1653"/>
      <c r="B60" s="1667"/>
      <c r="C60" s="1654"/>
      <c r="D60" s="1844"/>
      <c r="E60" s="1540">
        <f t="shared" si="1"/>
        <v>0</v>
      </c>
      <c r="F60" s="1936">
        <f t="shared" si="2"/>
        <v>0</v>
      </c>
      <c r="G60" s="1793">
        <f t="shared" si="3"/>
        <v>0</v>
      </c>
    </row>
    <row r="61" spans="1:7" x14ac:dyDescent="0.25">
      <c r="A61" s="1653"/>
      <c r="B61" s="1667"/>
      <c r="C61" s="1654"/>
      <c r="D61" s="1844"/>
      <c r="E61" s="1540">
        <f t="shared" si="1"/>
        <v>0</v>
      </c>
      <c r="F61" s="1936">
        <f t="shared" si="2"/>
        <v>0</v>
      </c>
      <c r="G61" s="1793">
        <f t="shared" si="3"/>
        <v>0</v>
      </c>
    </row>
    <row r="62" spans="1:7" x14ac:dyDescent="0.25">
      <c r="A62" s="1653"/>
      <c r="B62" s="1667"/>
      <c r="C62" s="1654"/>
      <c r="D62" s="1844"/>
      <c r="E62" s="1540">
        <f t="shared" si="1"/>
        <v>0</v>
      </c>
      <c r="F62" s="1936">
        <f t="shared" si="2"/>
        <v>0</v>
      </c>
      <c r="G62" s="1793">
        <f t="shared" si="3"/>
        <v>0</v>
      </c>
    </row>
    <row r="63" spans="1:7" x14ac:dyDescent="0.25">
      <c r="A63" s="1653"/>
      <c r="B63" s="1667"/>
      <c r="C63" s="1654"/>
      <c r="D63" s="1844"/>
      <c r="E63" s="1540">
        <f t="shared" si="1"/>
        <v>0</v>
      </c>
      <c r="F63" s="1936">
        <f t="shared" si="2"/>
        <v>0</v>
      </c>
      <c r="G63" s="1793">
        <f t="shared" si="3"/>
        <v>0</v>
      </c>
    </row>
    <row r="64" spans="1:7" x14ac:dyDescent="0.25">
      <c r="A64" s="1653"/>
      <c r="B64" s="1667"/>
      <c r="C64" s="1654"/>
      <c r="D64" s="1844"/>
      <c r="E64" s="1540">
        <f t="shared" si="1"/>
        <v>0</v>
      </c>
      <c r="F64" s="1936">
        <f t="shared" si="2"/>
        <v>0</v>
      </c>
      <c r="G64" s="1793">
        <f t="shared" si="3"/>
        <v>0</v>
      </c>
    </row>
    <row r="65" spans="1:7" x14ac:dyDescent="0.25">
      <c r="A65" s="1655"/>
      <c r="B65" s="1667"/>
      <c r="C65" s="1656"/>
      <c r="D65" s="1844"/>
      <c r="E65" s="1540">
        <f t="shared" si="1"/>
        <v>0</v>
      </c>
      <c r="F65" s="1936">
        <f t="shared" si="2"/>
        <v>0</v>
      </c>
      <c r="G65" s="1793">
        <f t="shared" si="3"/>
        <v>0</v>
      </c>
    </row>
    <row r="66" spans="1:7" x14ac:dyDescent="0.25">
      <c r="A66" s="1653"/>
      <c r="B66" s="1667"/>
      <c r="C66" s="1654"/>
      <c r="D66" s="1844"/>
      <c r="E66" s="1540">
        <f t="shared" si="1"/>
        <v>0</v>
      </c>
      <c r="F66" s="1936">
        <f t="shared" si="2"/>
        <v>0</v>
      </c>
      <c r="G66" s="1793">
        <f t="shared" si="3"/>
        <v>0</v>
      </c>
    </row>
    <row r="67" spans="1:7" x14ac:dyDescent="0.25">
      <c r="A67" s="1653"/>
      <c r="B67" s="1667"/>
      <c r="C67" s="1654"/>
      <c r="D67" s="1844"/>
      <c r="E67" s="1540">
        <f t="shared" si="1"/>
        <v>0</v>
      </c>
      <c r="F67" s="1936">
        <f t="shared" si="2"/>
        <v>0</v>
      </c>
      <c r="G67" s="1793">
        <f t="shared" si="3"/>
        <v>0</v>
      </c>
    </row>
    <row r="68" spans="1:7" x14ac:dyDescent="0.25">
      <c r="A68" s="1653"/>
      <c r="B68" s="1667"/>
      <c r="C68" s="1654"/>
      <c r="D68" s="1844"/>
      <c r="E68" s="1540">
        <f t="shared" si="1"/>
        <v>0</v>
      </c>
      <c r="F68" s="1936">
        <f t="shared" si="2"/>
        <v>0</v>
      </c>
      <c r="G68" s="1793">
        <f t="shared" si="3"/>
        <v>0</v>
      </c>
    </row>
    <row r="69" spans="1:7" x14ac:dyDescent="0.25">
      <c r="A69" s="1653"/>
      <c r="B69" s="1667"/>
      <c r="C69" s="1654"/>
      <c r="D69" s="1844"/>
      <c r="E69" s="1540">
        <f t="shared" si="1"/>
        <v>0</v>
      </c>
      <c r="F69" s="1936">
        <f t="shared" si="2"/>
        <v>0</v>
      </c>
      <c r="G69" s="1793">
        <f t="shared" si="3"/>
        <v>0</v>
      </c>
    </row>
    <row r="70" spans="1:7" x14ac:dyDescent="0.25">
      <c r="A70" s="1653"/>
      <c r="B70" s="1667"/>
      <c r="C70" s="1654"/>
      <c r="D70" s="1844"/>
      <c r="E70" s="1540">
        <f t="shared" si="1"/>
        <v>0</v>
      </c>
      <c r="F70" s="1936">
        <f t="shared" si="2"/>
        <v>0</v>
      </c>
      <c r="G70" s="1793">
        <f t="shared" si="3"/>
        <v>0</v>
      </c>
    </row>
    <row r="71" spans="1:7" x14ac:dyDescent="0.25">
      <c r="A71" s="1653"/>
      <c r="B71" s="1667"/>
      <c r="C71" s="1654"/>
      <c r="D71" s="1844"/>
      <c r="E71" s="1540">
        <f t="shared" si="1"/>
        <v>0</v>
      </c>
      <c r="F71" s="1936">
        <f t="shared" si="2"/>
        <v>0</v>
      </c>
      <c r="G71" s="1793">
        <f t="shared" si="3"/>
        <v>0</v>
      </c>
    </row>
    <row r="72" spans="1:7" x14ac:dyDescent="0.25">
      <c r="A72" s="1653"/>
      <c r="B72" s="1667"/>
      <c r="C72" s="1654"/>
      <c r="D72" s="1844"/>
      <c r="E72" s="1540">
        <f t="shared" si="1"/>
        <v>0</v>
      </c>
      <c r="F72" s="1936">
        <f t="shared" si="2"/>
        <v>0</v>
      </c>
      <c r="G72" s="1793">
        <f t="shared" si="3"/>
        <v>0</v>
      </c>
    </row>
    <row r="73" spans="1:7" x14ac:dyDescent="0.25">
      <c r="A73" s="1653"/>
      <c r="B73" s="1667"/>
      <c r="C73" s="1654"/>
      <c r="D73" s="1844"/>
      <c r="E73" s="1540">
        <f t="shared" si="1"/>
        <v>0</v>
      </c>
      <c r="F73" s="1936">
        <f t="shared" si="2"/>
        <v>0</v>
      </c>
      <c r="G73" s="1793">
        <f t="shared" si="3"/>
        <v>0</v>
      </c>
    </row>
    <row r="74" spans="1:7" x14ac:dyDescent="0.25">
      <c r="A74" s="1653"/>
      <c r="B74" s="1667"/>
      <c r="C74" s="1654"/>
      <c r="D74" s="1844"/>
      <c r="E74" s="1540">
        <f t="shared" ref="E74:E85" si="4">IF(D74&lt;=25000,D74,IF(D74&gt;25000,25000,0))</f>
        <v>0</v>
      </c>
      <c r="F74" s="1936">
        <f t="shared" si="2"/>
        <v>0</v>
      </c>
      <c r="G74" s="1793">
        <f t="shared" ref="G74:G85" si="5">IF(F74=0,0,D74-F74)</f>
        <v>0</v>
      </c>
    </row>
    <row r="75" spans="1:7" x14ac:dyDescent="0.25">
      <c r="A75" s="1653"/>
      <c r="B75" s="1667"/>
      <c r="C75" s="1654"/>
      <c r="D75" s="1844"/>
      <c r="E75" s="1540">
        <f t="shared" si="4"/>
        <v>0</v>
      </c>
      <c r="F75" s="1936">
        <f t="shared" si="2"/>
        <v>0</v>
      </c>
      <c r="G75" s="1793">
        <f t="shared" si="5"/>
        <v>0</v>
      </c>
    </row>
    <row r="76" spans="1:7" x14ac:dyDescent="0.25">
      <c r="A76" s="1653"/>
      <c r="B76" s="1667"/>
      <c r="C76" s="1654"/>
      <c r="D76" s="1844"/>
      <c r="E76" s="1540">
        <f t="shared" si="4"/>
        <v>0</v>
      </c>
      <c r="F76" s="1936">
        <f t="shared" si="2"/>
        <v>0</v>
      </c>
      <c r="G76" s="1793">
        <f t="shared" si="5"/>
        <v>0</v>
      </c>
    </row>
    <row r="77" spans="1:7" x14ac:dyDescent="0.25">
      <c r="A77" s="1653"/>
      <c r="B77" s="1667"/>
      <c r="C77" s="1654"/>
      <c r="D77" s="1844"/>
      <c r="E77" s="1540">
        <f t="shared" si="4"/>
        <v>0</v>
      </c>
      <c r="F77" s="1936">
        <f t="shared" si="2"/>
        <v>0</v>
      </c>
      <c r="G77" s="1793">
        <f t="shared" si="5"/>
        <v>0</v>
      </c>
    </row>
    <row r="78" spans="1:7" x14ac:dyDescent="0.25">
      <c r="A78" s="1653"/>
      <c r="B78" s="1667"/>
      <c r="C78" s="1654"/>
      <c r="D78" s="1844"/>
      <c r="E78" s="1540">
        <f t="shared" si="4"/>
        <v>0</v>
      </c>
      <c r="F78" s="1936">
        <f t="shared" si="2"/>
        <v>0</v>
      </c>
      <c r="G78" s="1793">
        <f t="shared" si="5"/>
        <v>0</v>
      </c>
    </row>
    <row r="79" spans="1:7" x14ac:dyDescent="0.25">
      <c r="A79" s="1653"/>
      <c r="B79" s="1667"/>
      <c r="C79" s="1654"/>
      <c r="D79" s="1844"/>
      <c r="E79" s="1540">
        <f t="shared" si="4"/>
        <v>0</v>
      </c>
      <c r="F79" s="1936">
        <f t="shared" si="2"/>
        <v>0</v>
      </c>
      <c r="G79" s="1793">
        <f t="shared" si="5"/>
        <v>0</v>
      </c>
    </row>
    <row r="80" spans="1:7" x14ac:dyDescent="0.25">
      <c r="A80" s="1653"/>
      <c r="B80" s="1667"/>
      <c r="C80" s="1654"/>
      <c r="D80" s="1844"/>
      <c r="E80" s="1540">
        <f t="shared" si="4"/>
        <v>0</v>
      </c>
      <c r="F80" s="1936">
        <f t="shared" si="2"/>
        <v>0</v>
      </c>
      <c r="G80" s="1793">
        <f t="shared" si="5"/>
        <v>0</v>
      </c>
    </row>
    <row r="81" spans="1:7" x14ac:dyDescent="0.25">
      <c r="A81" s="1653"/>
      <c r="B81" s="1667"/>
      <c r="C81" s="1654"/>
      <c r="D81" s="1844"/>
      <c r="E81" s="1540">
        <f t="shared" si="4"/>
        <v>0</v>
      </c>
      <c r="F81" s="1936">
        <f t="shared" si="2"/>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1"/>
        <v>0</v>
      </c>
      <c r="F86" s="1936">
        <f t="shared" si="6"/>
        <v>0</v>
      </c>
      <c r="G86" s="1793">
        <f t="shared" si="3"/>
        <v>0</v>
      </c>
    </row>
    <row r="87" spans="1:7" x14ac:dyDescent="0.25">
      <c r="A87" s="1653"/>
      <c r="B87" s="1667"/>
      <c r="C87" s="1654"/>
      <c r="D87" s="1844"/>
      <c r="E87" s="1540">
        <f t="shared" si="1"/>
        <v>0</v>
      </c>
      <c r="F87" s="1936">
        <f t="shared" si="6"/>
        <v>0</v>
      </c>
      <c r="G87" s="1793">
        <f t="shared" si="3"/>
        <v>0</v>
      </c>
    </row>
    <row r="88" spans="1:7" x14ac:dyDescent="0.25">
      <c r="A88" s="1653"/>
      <c r="B88" s="1667"/>
      <c r="C88" s="1654"/>
      <c r="D88" s="1844"/>
      <c r="E88" s="1540">
        <f t="shared" si="1"/>
        <v>0</v>
      </c>
      <c r="F88" s="1936">
        <f t="shared" si="6"/>
        <v>0</v>
      </c>
      <c r="G88" s="1793">
        <f t="shared" si="3"/>
        <v>0</v>
      </c>
    </row>
    <row r="89" spans="1:7" x14ac:dyDescent="0.25">
      <c r="A89" s="1653"/>
      <c r="B89" s="1667"/>
      <c r="C89" s="1654"/>
      <c r="D89" s="1844"/>
      <c r="E89" s="1540">
        <f t="shared" si="1"/>
        <v>0</v>
      </c>
      <c r="F89" s="1936">
        <f t="shared" si="6"/>
        <v>0</v>
      </c>
      <c r="G89" s="1793">
        <f t="shared" si="3"/>
        <v>0</v>
      </c>
    </row>
    <row r="90" spans="1:7" x14ac:dyDescent="0.25">
      <c r="A90" s="1653"/>
      <c r="B90" s="1667"/>
      <c r="C90" s="1654"/>
      <c r="D90" s="1844"/>
      <c r="E90" s="1540">
        <f t="shared" si="1"/>
        <v>0</v>
      </c>
      <c r="F90" s="1936">
        <f t="shared" si="6"/>
        <v>0</v>
      </c>
      <c r="G90" s="1793">
        <f t="shared" si="3"/>
        <v>0</v>
      </c>
    </row>
    <row r="91" spans="1:7" x14ac:dyDescent="0.25">
      <c r="A91" s="1653"/>
      <c r="B91" s="1667"/>
      <c r="C91" s="1654"/>
      <c r="D91" s="1844"/>
      <c r="E91" s="1540">
        <f t="shared" si="1"/>
        <v>0</v>
      </c>
      <c r="F91" s="1936">
        <f t="shared" si="6"/>
        <v>0</v>
      </c>
      <c r="G91" s="1793">
        <f t="shared" si="3"/>
        <v>0</v>
      </c>
    </row>
    <row r="92" spans="1:7" x14ac:dyDescent="0.25">
      <c r="A92" s="1653"/>
      <c r="B92" s="1667"/>
      <c r="C92" s="1654"/>
      <c r="D92" s="1844"/>
      <c r="E92" s="1540">
        <f t="shared" si="1"/>
        <v>0</v>
      </c>
      <c r="F92" s="1936">
        <f t="shared" si="6"/>
        <v>0</v>
      </c>
      <c r="G92" s="1793">
        <f t="shared" si="3"/>
        <v>0</v>
      </c>
    </row>
    <row r="93" spans="1:7" x14ac:dyDescent="0.25">
      <c r="A93" s="1653"/>
      <c r="B93" s="1667"/>
      <c r="C93" s="1654"/>
      <c r="D93" s="1844"/>
      <c r="E93" s="1540">
        <f t="shared" si="1"/>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1"/>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1"/>
        <v>0</v>
      </c>
      <c r="F141" s="1936">
        <f t="shared" si="6"/>
        <v>0</v>
      </c>
      <c r="G141" s="1793">
        <f t="shared" si="3"/>
        <v>0</v>
      </c>
    </row>
    <row r="142" spans="1:7" x14ac:dyDescent="0.25">
      <c r="A142" s="1796" t="s">
        <v>156</v>
      </c>
      <c r="B142" s="1797"/>
      <c r="C142" s="1798"/>
      <c r="D142" s="1794">
        <f>SUM(D18:D141)</f>
        <v>13453.8</v>
      </c>
      <c r="E142" s="1541">
        <f t="shared" si="0"/>
        <v>13453.8</v>
      </c>
      <c r="F142" s="1932">
        <f>SUM(F18:F141)</f>
        <v>13453.8</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view="pageBreakPreview" colorId="8" zoomScale="60" zoomScaleNormal="110" workbookViewId="0">
      <selection activeCell="F36" sqref="F3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v>11153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2291481</v>
      </c>
      <c r="F19" s="1799"/>
      <c r="G19" s="1801">
        <f>'Expenditures 15-22'!K33-SUM('Expenditures 15-22'!G33,'Expenditures 15-22'!I33)+'Expenditures 15-22'!D229</f>
        <v>2291481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131675</v>
      </c>
      <c r="F21" s="1802"/>
      <c r="G21" s="1805">
        <f>'Expenditures 15-22'!K42-SUM('Expenditures 15-22'!G42,'Expenditures 15-22'!I42)+'Expenditures 15-22'!K120-SUM('Expenditures 15-22'!G120,'Expenditures 15-22'!I120)+'Expenditures 15-22'!K180-SUM('Expenditures 15-22'!G180,'Expenditures 15-22'!I180)+'Expenditures 15-22'!D238</f>
        <v>131675</v>
      </c>
      <c r="H21" s="987"/>
      <c r="I21" s="162"/>
    </row>
    <row r="22" spans="1:9" s="668" customFormat="1" ht="12" customHeight="1" x14ac:dyDescent="0.2">
      <c r="A22" s="994" t="s">
        <v>564</v>
      </c>
      <c r="B22" s="995"/>
      <c r="C22" s="993">
        <v>2200</v>
      </c>
      <c r="D22" s="1802"/>
      <c r="E22" s="1804">
        <f>'Expenditures 15-22'!K47-SUM('Expenditures 15-22'!G47,'Expenditures 15-22'!I47)+'Expenditures 15-22'!D243</f>
        <v>52292</v>
      </c>
      <c r="F22" s="1802"/>
      <c r="G22" s="1805">
        <f>'Expenditures 15-22'!K47-SUM('Expenditures 15-22'!G47,'Expenditures 15-22'!I47)+'Expenditures 15-22'!D243</f>
        <v>52292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249712</v>
      </c>
      <c r="F23" s="1802"/>
      <c r="G23" s="1804">
        <f>'Expenditures 15-22'!K53-SUM('Expenditures 15-22'!G53,'Expenditures 15-22'!I53)+'Expenditures 15-22'!D257+'Expenditures 15-22'!K330-SUM('Expenditures 15-22'!G330,'Expenditures 15-22'!I330)</f>
        <v>249712</v>
      </c>
      <c r="H23" s="987"/>
      <c r="I23" s="162"/>
    </row>
    <row r="24" spans="1:9" s="668" customFormat="1" ht="12" customHeight="1" x14ac:dyDescent="0.2">
      <c r="A24" s="994" t="s">
        <v>566</v>
      </c>
      <c r="B24" s="995"/>
      <c r="C24" s="993">
        <v>2400</v>
      </c>
      <c r="D24" s="1802"/>
      <c r="E24" s="1804">
        <f>'Expenditures 15-22'!K57-SUM('Expenditures 15-22'!G57,'Expenditures 15-22'!I57)+'Expenditures 15-22'!D261</f>
        <v>156708</v>
      </c>
      <c r="F24" s="1802"/>
      <c r="G24" s="1805">
        <f>'Expenditures 15-22'!K57-SUM('Expenditures 15-22'!G57,'Expenditures 15-22'!I57)+'Expenditures 15-22'!D261</f>
        <v>156708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50866</v>
      </c>
      <c r="E27" s="1804">
        <f>E8</f>
        <v>0</v>
      </c>
      <c r="F27" s="1804">
        <f>'Expenditures 15-22'!K60-SUM('Expenditures 15-22'!G60,'Expenditures 15-22'!I60)+'Expenditures 15-22'!D264-E8</f>
        <v>50866</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408558</v>
      </c>
      <c r="F28" s="1806">
        <f>'Expenditures 15-22'!K61-SUM('Expenditures 15-22'!G61,'Expenditures 15-22'!I61)+'Expenditures 15-22'!K124-SUM('Expenditures 15-22'!G124,'Expenditures 15-22'!I124)+'Expenditures 15-22'!D266-E9</f>
        <v>408558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253440</v>
      </c>
      <c r="F29" s="1802"/>
      <c r="G29" s="1805">
        <f>'Expenditures 15-22'!K62-SUM('Expenditures 15-22'!G62,'Expenditures 15-22'!I62)+'Expenditures 15-22'!K125-SUM('Expenditures 15-22'!G125,'Expenditures 15-22'!I125)+'Expenditures 15-22'!K182-SUM('Expenditures 15-22'!G182,'Expenditures 15-22'!I182)+'Expenditures 15-22'!D267</f>
        <v>253440</v>
      </c>
      <c r="H29" s="985"/>
    </row>
    <row r="30" spans="1:9" ht="12" customHeight="1" x14ac:dyDescent="0.2">
      <c r="A30" s="994" t="s">
        <v>100</v>
      </c>
      <c r="B30" s="997"/>
      <c r="C30" s="993">
        <v>2560</v>
      </c>
      <c r="D30" s="1802"/>
      <c r="E30" s="1804">
        <f>'Expenditures 15-22'!K63-SUM('Expenditures 15-22'!G63,'Expenditures 15-22'!I63)+'Expenditures 15-22'!D268-E10</f>
        <v>148215</v>
      </c>
      <c r="F30" s="1802"/>
      <c r="G30" s="1804">
        <f>'Expenditures 15-22'!K63-SUM('Expenditures 15-22'!G63,'Expenditures 15-22'!I63)+'Expenditures 15-22'!D268-E10</f>
        <v>148215</v>
      </c>
    </row>
    <row r="31" spans="1:9" ht="12" customHeight="1" x14ac:dyDescent="0.2">
      <c r="A31" s="994" t="s">
        <v>101</v>
      </c>
      <c r="B31" s="997"/>
      <c r="C31" s="993">
        <v>2570</v>
      </c>
      <c r="D31" s="1804">
        <f>'Expenditures 15-22'!K64-SUM('Expenditures 15-22'!G64,'Expenditures 15-22'!I64)+'Expenditures 15-22'!D269-E12</f>
        <v>3306</v>
      </c>
      <c r="E31" s="1804">
        <f>E12</f>
        <v>0</v>
      </c>
      <c r="F31" s="1804">
        <f>'Expenditures 15-22'!K64-SUM('Expenditures 15-22'!G64,'Expenditures 15-22'!I64)+'Expenditures 15-22'!D269-E12</f>
        <v>3306</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9930</v>
      </c>
      <c r="E36" s="1804">
        <f>E13</f>
        <v>0</v>
      </c>
      <c r="F36" s="1804">
        <f>'Expenditures 15-22'!K70-SUM('Expenditures 15-22'!G70,'Expenditures 15-22'!I70)+'Expenditures 15-22'!D275-E13</f>
        <v>9930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1592</v>
      </c>
      <c r="F39" s="1802"/>
      <c r="G39" s="1804">
        <f>'Expenditures 15-22'!K75-SUM('Expenditures 15-22'!G75,'Expenditures 15-22'!I75)+'Expenditures 15-22'!K130-SUM('Expenditures 15-22'!G130,'Expenditures 15-22'!I130)+'Expenditures 15-22'!K185-SUM('Expenditures 15-22'!G185,'Expenditures 15-22'!I185)+'Expenditures 15-22'!D280</f>
        <v>1592</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64102</v>
      </c>
      <c r="E41" s="1806">
        <f>SUM(E19:E40)</f>
        <v>3693673</v>
      </c>
      <c r="F41" s="1806">
        <f>SUM(F19:F39)</f>
        <v>472660</v>
      </c>
      <c r="G41" s="1806">
        <f>SUM(G19:G40)</f>
        <v>3285115</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64102</v>
      </c>
      <c r="F43" s="1807" t="s">
        <v>473</v>
      </c>
      <c r="G43" s="1808">
        <f>F41</f>
        <v>472660</v>
      </c>
    </row>
    <row r="44" spans="1:7" ht="12" customHeight="1" x14ac:dyDescent="0.2">
      <c r="A44" s="987"/>
      <c r="B44" s="162"/>
      <c r="C44" s="1001"/>
      <c r="D44" s="1807" t="s">
        <v>474</v>
      </c>
      <c r="E44" s="1808">
        <f>E41</f>
        <v>3693673</v>
      </c>
      <c r="F44" s="1807" t="s">
        <v>474</v>
      </c>
      <c r="G44" s="1808">
        <f>G41</f>
        <v>3285115</v>
      </c>
    </row>
    <row r="45" spans="1:7" ht="12" customHeight="1" x14ac:dyDescent="0.2">
      <c r="A45" s="987"/>
      <c r="B45" s="162"/>
      <c r="C45" s="162"/>
      <c r="D45" s="1809" t="s">
        <v>1006</v>
      </c>
      <c r="E45" s="1810">
        <f>(E43/E44)</f>
        <v>1.7354541130197503E-2</v>
      </c>
      <c r="F45" s="1809" t="s">
        <v>1006</v>
      </c>
      <c r="G45" s="1810">
        <f>(G43/G44)</f>
        <v>0.14387928580886819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view="pageBreakPreview" zoomScaleNormal="110" zoomScaleSheetLayoutView="100" workbookViewId="0">
      <pane ySplit="4" topLeftCell="A5" activePane="bottomLeft" state="frozen"/>
      <selection activeCell="A47" sqref="A47"/>
      <selection pane="bottomLeft" activeCell="I34" sqref="I3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7109375" style="1878" bestFit="1" customWidth="1"/>
    <col min="9" max="9" width="4" style="1878" bestFit="1" customWidth="1"/>
    <col min="10" max="10" width="2.7109375"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Waverly CUSD 6</v>
      </c>
      <c r="D6" s="2299"/>
      <c r="E6" s="2299"/>
      <c r="F6" s="1852"/>
    </row>
    <row r="7" spans="1:10" ht="11.25" customHeight="1" thickBot="1" x14ac:dyDescent="0.3">
      <c r="A7" s="1850"/>
      <c r="B7" s="1851"/>
      <c r="C7" s="2300">
        <f>COVER!A13</f>
        <v>1069006026</v>
      </c>
      <c r="D7" s="2300"/>
      <c r="E7" s="2300"/>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2065</v>
      </c>
      <c r="D13" s="1865" t="s">
        <v>2065</v>
      </c>
      <c r="E13" s="1868"/>
      <c r="F13" s="1867" t="s">
        <v>2082</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t="s">
        <v>2065</v>
      </c>
      <c r="D27" s="1865" t="s">
        <v>2065</v>
      </c>
      <c r="E27" s="1868"/>
      <c r="F27" s="1867" t="s">
        <v>2083</v>
      </c>
      <c r="H27" s="1878">
        <f t="shared" si="0"/>
        <v>5</v>
      </c>
      <c r="I27" s="1878">
        <f t="shared" si="1"/>
        <v>5</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2065</v>
      </c>
      <c r="D31" s="1865" t="s">
        <v>2065</v>
      </c>
      <c r="E31" s="1868"/>
      <c r="F31" s="1867" t="s">
        <v>2084</v>
      </c>
      <c r="H31" s="1878">
        <f t="shared" si="0"/>
        <v>5</v>
      </c>
      <c r="I31" s="1878">
        <f t="shared" si="1"/>
        <v>5</v>
      </c>
      <c r="J31" s="1878">
        <f t="shared" si="2"/>
        <v>0</v>
      </c>
      <c r="L31" s="1869"/>
    </row>
    <row r="32" spans="1:12" ht="12" customHeight="1" x14ac:dyDescent="0.2">
      <c r="A32" s="1863" t="s">
        <v>1540</v>
      </c>
      <c r="B32" s="1864"/>
      <c r="C32" s="1865" t="s">
        <v>2065</v>
      </c>
      <c r="D32" s="1865" t="s">
        <v>2065</v>
      </c>
      <c r="E32" s="1868"/>
      <c r="F32" s="1867" t="s">
        <v>2085</v>
      </c>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0</v>
      </c>
      <c r="K34" s="1878">
        <f>SUM(H34:J34)</f>
        <v>40</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9"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Waverly CUSD 6</v>
      </c>
      <c r="J6" s="2320"/>
      <c r="Q6" s="1664"/>
    </row>
    <row r="7" spans="1:17" x14ac:dyDescent="0.2">
      <c r="A7" s="2321" t="s">
        <v>869</v>
      </c>
      <c r="B7" s="2322"/>
      <c r="C7" s="2322"/>
      <c r="D7" s="2322"/>
      <c r="E7" s="2323"/>
      <c r="F7" s="1017"/>
      <c r="G7" s="1009"/>
      <c r="H7" s="1016" t="s">
        <v>372</v>
      </c>
      <c r="I7" s="2324">
        <f>COVER!A13</f>
        <v>1069006026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119705</v>
      </c>
      <c r="F12" s="1039"/>
      <c r="G12" s="1811">
        <f t="shared" ref="G12:G18" si="0">SUM(E12:F12)</f>
        <v>119705</v>
      </c>
      <c r="H12" s="1040">
        <v>120710</v>
      </c>
      <c r="I12" s="1039"/>
      <c r="J12" s="1811">
        <f t="shared" ref="J12:J18" si="1">SUM(H12:I12)</f>
        <v>120710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3306</v>
      </c>
      <c r="F16" s="1039"/>
      <c r="G16" s="1811">
        <f t="shared" si="0"/>
        <v>3306</v>
      </c>
      <c r="H16" s="1040">
        <v>3500</v>
      </c>
      <c r="I16" s="1039"/>
      <c r="J16" s="1811">
        <f t="shared" si="1"/>
        <v>3500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123011</v>
      </c>
      <c r="F19" s="1813">
        <f t="shared" si="2"/>
        <v>0</v>
      </c>
      <c r="G19" s="1813">
        <f t="shared" si="2"/>
        <v>123011</v>
      </c>
      <c r="H19" s="1813">
        <f t="shared" si="2"/>
        <v>124210</v>
      </c>
      <c r="I19" s="1813">
        <f t="shared" si="2"/>
        <v>0</v>
      </c>
      <c r="J19" s="1813">
        <f t="shared" si="2"/>
        <v>124210</v>
      </c>
    </row>
    <row r="20" spans="1:10" ht="13.5" thickTop="1" x14ac:dyDescent="0.2">
      <c r="A20" s="1035">
        <v>9</v>
      </c>
      <c r="B20" s="2331" t="s">
        <v>1979</v>
      </c>
      <c r="C20" s="2331"/>
      <c r="D20" s="2332"/>
      <c r="E20" s="1046"/>
      <c r="F20" s="1046"/>
      <c r="G20" s="1046"/>
      <c r="H20" s="1046"/>
      <c r="I20" s="1046"/>
      <c r="J20" s="1814">
        <f>IF(AND(G19&gt;0,J19&gt;0),(((J19-G19)/G19)),"Enter Budget Data")</f>
        <v>9.7470957881815451E-3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2086</v>
      </c>
    </row>
    <row r="6" spans="1:2" x14ac:dyDescent="0.2">
      <c r="A6" s="1068">
        <v>2</v>
      </c>
      <c r="B6" s="329" t="s">
        <v>2087</v>
      </c>
    </row>
    <row r="7" spans="1:2" x14ac:dyDescent="0.2">
      <c r="A7" s="1068">
        <v>3</v>
      </c>
      <c r="B7" s="329" t="s">
        <v>2088</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Waverly CUSD 6</v>
      </c>
    </row>
    <row r="65" spans="2:2" x14ac:dyDescent="0.2">
      <c r="B65" s="1070">
        <f>COVER!A13</f>
        <v>1069006026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7" zoomScale="110" zoomScaleNormal="110" workbookViewId="0">
      <selection activeCell="B14" sqref="B1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19050</xdr:colOff>
                <xdr:row>6</xdr:row>
                <xdr:rowOff>123825</xdr:rowOff>
              </from>
              <to>
                <xdr:col>1</xdr:col>
                <xdr:colOff>933450</xdr:colOff>
                <xdr:row>11</xdr:row>
                <xdr:rowOff>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1028700</xdr:colOff>
                <xdr:row>6</xdr:row>
                <xdr:rowOff>133350</xdr:rowOff>
              </from>
              <to>
                <xdr:col>1</xdr:col>
                <xdr:colOff>1943100</xdr:colOff>
                <xdr:row>11</xdr:row>
                <xdr:rowOff>9525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2085975</xdr:colOff>
                <xdr:row>6</xdr:row>
                <xdr:rowOff>142875</xdr:rowOff>
              </from>
              <to>
                <xdr:col>1</xdr:col>
                <xdr:colOff>3000375</xdr:colOff>
                <xdr:row>11</xdr:row>
                <xdr:rowOff>19050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14" sqref="H1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3356562</v>
      </c>
      <c r="C8" s="1815">
        <f>'Acct Summary 7-8'!D8</f>
        <v>407429</v>
      </c>
      <c r="D8" s="1815">
        <f>'Acct Summary 7-8'!F8</f>
        <v>324046</v>
      </c>
      <c r="E8" s="1815">
        <f>'Acct Summary 7-8'!I8</f>
        <v>22192</v>
      </c>
      <c r="F8" s="1815">
        <f>SUM(B8:E8)</f>
        <v>4110229</v>
      </c>
    </row>
    <row r="9" spans="1:8" s="1079" customFormat="1" ht="14.25" customHeight="1" thickBot="1" x14ac:dyDescent="0.25">
      <c r="A9" s="1078" t="s">
        <v>1369</v>
      </c>
      <c r="B9" s="1816">
        <f>'Acct Summary 7-8'!C17</f>
        <v>3235762</v>
      </c>
      <c r="C9" s="1816">
        <f>'Acct Summary 7-8'!D17</f>
        <v>398327</v>
      </c>
      <c r="D9" s="1816">
        <f>'Acct Summary 7-8'!F17</f>
        <v>298687</v>
      </c>
      <c r="E9" s="1815"/>
      <c r="F9" s="1815">
        <f>SUM(B9:E9)</f>
        <v>3932776</v>
      </c>
    </row>
    <row r="10" spans="1:8" s="1079" customFormat="1" ht="14.25" thickTop="1" thickBot="1" x14ac:dyDescent="0.25">
      <c r="A10" s="1080" t="s">
        <v>1370</v>
      </c>
      <c r="B10" s="1817">
        <f>(B8-B9)</f>
        <v>120800</v>
      </c>
      <c r="C10" s="1817">
        <f>(C8-C9)</f>
        <v>9102</v>
      </c>
      <c r="D10" s="1817">
        <f>(D8-D9)</f>
        <v>25359</v>
      </c>
      <c r="E10" s="1816">
        <f>(E8-E9)</f>
        <v>22192</v>
      </c>
      <c r="F10" s="1818">
        <f>SUM(F8-F9)</f>
        <v>177453</v>
      </c>
    </row>
    <row r="11" spans="1:8" s="1079" customFormat="1" ht="14.25" thickTop="1" thickBot="1" x14ac:dyDescent="0.25">
      <c r="A11" s="1081" t="s">
        <v>1983</v>
      </c>
      <c r="B11" s="1819">
        <f>'Acct Summary 7-8'!C81</f>
        <v>1898358</v>
      </c>
      <c r="C11" s="1819">
        <f>'Acct Summary 7-8'!D81</f>
        <v>554992</v>
      </c>
      <c r="D11" s="1819">
        <f>'Acct Summary 7-8'!F81</f>
        <v>582941</v>
      </c>
      <c r="E11" s="1819">
        <f>'Acct Summary 7-8'!I81</f>
        <v>308097</v>
      </c>
      <c r="F11" s="1820">
        <f>SUM(B11:E11)</f>
        <v>3344388</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3"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1069006026</v>
      </c>
    </row>
    <row r="3" spans="1:2" x14ac:dyDescent="0.2">
      <c r="A3" t="s">
        <v>956</v>
      </c>
      <c r="B3" s="138" t="str">
        <f>COVER!A15</f>
        <v>Morgan</v>
      </c>
    </row>
    <row r="4" spans="1:2" x14ac:dyDescent="0.2">
      <c r="A4" t="s">
        <v>1007</v>
      </c>
      <c r="B4" s="138" t="str">
        <f>COVER!A17</f>
        <v>Waverly CUSD 6</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066-004750</v>
      </c>
    </row>
    <row r="16" spans="1:2" x14ac:dyDescent="0.2">
      <c r="A16" t="s">
        <v>422</v>
      </c>
      <c r="B16" s="138" t="str">
        <f>COVER!T13</f>
        <v>Hughes, Cameron &amp; Company, LLC</v>
      </c>
    </row>
    <row r="17" spans="1:2" x14ac:dyDescent="0.2">
      <c r="A17" t="s">
        <v>884</v>
      </c>
      <c r="B17" s="138" t="str">
        <f>COVER!T15</f>
        <v>Amie Pranaitis</v>
      </c>
    </row>
    <row r="18" spans="1:2" x14ac:dyDescent="0.2">
      <c r="A18" t="s">
        <v>1150</v>
      </c>
      <c r="B18" s="138" t="str">
        <f>COVER!T17</f>
        <v>386 S. Koke Mill Rd.</v>
      </c>
    </row>
    <row r="19" spans="1:2" x14ac:dyDescent="0.2">
      <c r="A19" t="s">
        <v>886</v>
      </c>
      <c r="B19" s="138" t="str">
        <f>COVER!T25</f>
        <v>apranaitis@hughescpas.com</v>
      </c>
    </row>
    <row r="20" spans="1:2" x14ac:dyDescent="0.2">
      <c r="A20" t="s">
        <v>887</v>
      </c>
      <c r="B20" s="138" t="str">
        <f>COVER!T19</f>
        <v>Springfield</v>
      </c>
    </row>
    <row r="21" spans="1:2" x14ac:dyDescent="0.2">
      <c r="A21" t="s">
        <v>479</v>
      </c>
      <c r="B21" s="138" t="str">
        <f>COVER!X19</f>
        <v>IL</v>
      </c>
    </row>
    <row r="22" spans="1:2" x14ac:dyDescent="0.2">
      <c r="A22" t="s">
        <v>888</v>
      </c>
      <c r="B22" s="138">
        <f>COVER!Z19</f>
        <v>62711</v>
      </c>
    </row>
    <row r="23" spans="1:2" x14ac:dyDescent="0.2">
      <c r="A23" t="s">
        <v>1152</v>
      </c>
      <c r="B23" s="138" t="str">
        <f>COVER!T21</f>
        <v>(217) 787-8822</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37622</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615187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1896084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-2274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-2274</v>
      </c>
      <c r="C91" s="2" t="s">
        <v>573</v>
      </c>
      <c r="D91" s="2" t="str">
        <f t="shared" si="0"/>
        <v>Error?</v>
      </c>
    </row>
    <row r="92" spans="1:4" x14ac:dyDescent="0.2">
      <c r="A92" s="5">
        <v>31</v>
      </c>
      <c r="B92" s="138">
        <f>'Assets-Liab 5-6'!C39</f>
        <v>1898358</v>
      </c>
      <c r="D92" s="2" t="str">
        <f t="shared" si="0"/>
        <v>Error?</v>
      </c>
    </row>
    <row r="93" spans="1:4" x14ac:dyDescent="0.2">
      <c r="A93" s="5">
        <v>32</v>
      </c>
      <c r="B93" s="138">
        <f>'Assets-Liab 5-6'!C41</f>
        <v>1896084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119856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551426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-3566</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-3566</v>
      </c>
      <c r="C122" s="2" t="s">
        <v>573</v>
      </c>
      <c r="D122" s="2" t="str">
        <f t="shared" si="0"/>
        <v>Error?</v>
      </c>
    </row>
    <row r="123" spans="1:4" x14ac:dyDescent="0.2">
      <c r="A123" s="5">
        <v>62</v>
      </c>
      <c r="B123" s="138">
        <f>'Assets-Liab 5-6'!D39</f>
        <v>554992</v>
      </c>
      <c r="D123" s="2" t="str">
        <f t="shared" si="0"/>
        <v>Error?</v>
      </c>
    </row>
    <row r="124" spans="1:4" x14ac:dyDescent="0.2">
      <c r="A124" s="5">
        <v>63</v>
      </c>
      <c r="B124" s="138">
        <f>'Assets-Liab 5-6'!D41</f>
        <v>551426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40514</v>
      </c>
      <c r="D129" s="2" t="str">
        <f t="shared" si="1"/>
        <v>Error?</v>
      </c>
    </row>
    <row r="130" spans="1:4" x14ac:dyDescent="0.2">
      <c r="A130" s="5">
        <v>69</v>
      </c>
      <c r="B130" s="138">
        <f>'Assets-Liab 5-6'!E12</f>
        <v>0</v>
      </c>
      <c r="D130" s="2" t="str">
        <f t="shared" si="1"/>
        <v>Error?</v>
      </c>
    </row>
    <row r="131" spans="1:4" x14ac:dyDescent="0.2">
      <c r="A131" s="5">
        <v>70</v>
      </c>
      <c r="B131" s="138">
        <f>'Assets-Liab 5-6'!E13</f>
        <v>176690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176690</v>
      </c>
      <c r="D140" s="2" t="str">
        <f t="shared" si="1"/>
        <v>Error?</v>
      </c>
    </row>
    <row r="141" spans="1:4" x14ac:dyDescent="0.2">
      <c r="A141" s="5">
        <v>80</v>
      </c>
      <c r="B141" s="138">
        <f>'Assets-Liab 5-6'!E41</f>
        <v>176690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89994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580920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-2021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-2021</v>
      </c>
      <c r="C169" s="2" t="s">
        <v>573</v>
      </c>
      <c r="D169" s="2" t="str">
        <f t="shared" si="1"/>
        <v>Error?</v>
      </c>
    </row>
    <row r="170" spans="1:4" x14ac:dyDescent="0.2">
      <c r="A170" s="5">
        <v>109</v>
      </c>
      <c r="B170" s="138">
        <f>'Assets-Liab 5-6'!F39</f>
        <v>582941</v>
      </c>
      <c r="D170" s="2" t="str">
        <f t="shared" si="1"/>
        <v>Error?</v>
      </c>
    </row>
    <row r="171" spans="1:4" x14ac:dyDescent="0.2">
      <c r="A171" s="5">
        <v>110</v>
      </c>
      <c r="B171" s="138">
        <f>'Assets-Liab 5-6'!F41</f>
        <v>580920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67811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-66</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-66</v>
      </c>
      <c r="C188" s="2" t="s">
        <v>573</v>
      </c>
      <c r="D188" s="2" t="str">
        <f t="shared" si="1"/>
        <v>Error?</v>
      </c>
    </row>
    <row r="189" spans="1:4" x14ac:dyDescent="0.2">
      <c r="A189" s="5">
        <v>128</v>
      </c>
      <c r="B189" s="138">
        <f>'Assets-Liab 5-6'!G39</f>
        <v>67877</v>
      </c>
      <c r="D189" s="2" t="str">
        <f t="shared" si="1"/>
        <v>Error?</v>
      </c>
    </row>
    <row r="190" spans="1:4" x14ac:dyDescent="0.2">
      <c r="A190" s="5">
        <v>129</v>
      </c>
      <c r="B190" s="138">
        <f>'Assets-Liab 5-6'!G41</f>
        <v>67811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263531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263531</v>
      </c>
      <c r="D212" s="2" t="str">
        <f t="shared" si="2"/>
        <v>Error?</v>
      </c>
    </row>
    <row r="213" spans="1:4" x14ac:dyDescent="0.2">
      <c r="A213" s="12">
        <v>152</v>
      </c>
      <c r="B213" s="138">
        <f>'Assets-Liab 5-6'!H41</f>
        <v>263531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25161</v>
      </c>
      <c r="D273" s="2" t="str">
        <f t="shared" si="3"/>
        <v>Error?</v>
      </c>
    </row>
    <row r="274" spans="1:4" x14ac:dyDescent="0.2">
      <c r="A274" s="5">
        <v>213</v>
      </c>
      <c r="B274" s="138">
        <f>'Assets-Liab 5-6'!M17</f>
        <v>8439365</v>
      </c>
      <c r="D274" s="2" t="str">
        <f t="shared" si="3"/>
        <v>Error?</v>
      </c>
    </row>
    <row r="275" spans="1:4" x14ac:dyDescent="0.2">
      <c r="A275" s="5">
        <v>214</v>
      </c>
      <c r="B275" s="138">
        <f>'Assets-Liab 5-6'!M18</f>
        <v>214640</v>
      </c>
      <c r="D275" s="2" t="str">
        <f t="shared" si="3"/>
        <v>Error?</v>
      </c>
    </row>
    <row r="276" spans="1:4" x14ac:dyDescent="0.2">
      <c r="A276" s="5">
        <v>215</v>
      </c>
      <c r="B276" s="138">
        <f>'Assets-Liab 5-6'!M19</f>
        <v>1095037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9774203</v>
      </c>
      <c r="C279" s="2" t="s">
        <v>573</v>
      </c>
      <c r="D279" s="2" t="str">
        <f t="shared" si="3"/>
        <v>Error?</v>
      </c>
    </row>
    <row r="280" spans="1:4" x14ac:dyDescent="0.2">
      <c r="A280" s="5">
        <v>219</v>
      </c>
      <c r="B280" s="138">
        <f>'Assets-Liab 5-6'!M40</f>
        <v>9774203</v>
      </c>
      <c r="D280" s="2" t="str">
        <f t="shared" si="3"/>
        <v>Error?</v>
      </c>
    </row>
    <row r="281" spans="1:4" x14ac:dyDescent="0.2">
      <c r="A281" s="5">
        <v>220</v>
      </c>
      <c r="B281" s="138">
        <f>'Assets-Liab 5-6'!M41</f>
        <v>9774203</v>
      </c>
      <c r="C281" s="2" t="s">
        <v>573</v>
      </c>
      <c r="D281" s="2" t="str">
        <f t="shared" si="3"/>
        <v>Error?</v>
      </c>
    </row>
    <row r="282" spans="1:4" x14ac:dyDescent="0.2">
      <c r="A282" s="5">
        <v>221</v>
      </c>
      <c r="B282" s="138">
        <f>'Assets-Liab 5-6'!N21</f>
        <v>176690</v>
      </c>
      <c r="D282" s="2" t="str">
        <f t="shared" si="3"/>
        <v>Error?</v>
      </c>
    </row>
    <row r="283" spans="1:4" x14ac:dyDescent="0.2">
      <c r="A283" s="5">
        <v>222</v>
      </c>
      <c r="B283" s="138">
        <f>'Assets-Liab 5-6'!N22</f>
        <v>2808310</v>
      </c>
      <c r="D283" s="2" t="str">
        <f t="shared" si="3"/>
        <v>Error?</v>
      </c>
    </row>
    <row r="284" spans="1:4" x14ac:dyDescent="0.2">
      <c r="A284" s="5">
        <v>223</v>
      </c>
      <c r="B284" s="138">
        <f>'Assets-Liab 5-6'!N23</f>
        <v>2985000</v>
      </c>
      <c r="C284" s="2" t="s">
        <v>573</v>
      </c>
      <c r="D284" s="2" t="str">
        <f t="shared" si="3"/>
        <v>Error?</v>
      </c>
    </row>
    <row r="285" spans="1:4" x14ac:dyDescent="0.2">
      <c r="A285" s="5">
        <v>224</v>
      </c>
      <c r="B285" s="138">
        <f>'Assets-Liab 5-6'!N36</f>
        <v>2985000</v>
      </c>
      <c r="D285" s="2" t="str">
        <f t="shared" si="3"/>
        <v>Error?</v>
      </c>
    </row>
    <row r="286" spans="1:4" x14ac:dyDescent="0.2">
      <c r="A286" s="10">
        <v>225</v>
      </c>
      <c r="D286" s="2" t="str">
        <f t="shared" si="3"/>
        <v>OK</v>
      </c>
    </row>
    <row r="287" spans="1:4" x14ac:dyDescent="0.2">
      <c r="A287" s="5">
        <v>226</v>
      </c>
      <c r="B287" s="138">
        <f>'Assets-Liab 5-6'!N37</f>
        <v>2985000</v>
      </c>
      <c r="C287" s="2" t="s">
        <v>573</v>
      </c>
      <c r="D287" s="2" t="str">
        <f t="shared" si="3"/>
        <v>Error?</v>
      </c>
    </row>
    <row r="288" spans="1:4" x14ac:dyDescent="0.2">
      <c r="A288" s="5">
        <v>227</v>
      </c>
      <c r="B288" s="138">
        <f>'Assets-Liab 5-6'!N41</f>
        <v>2985000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1462623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77459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1916960</v>
      </c>
      <c r="C720" s="2" t="s">
        <v>573</v>
      </c>
      <c r="D720" s="2" t="str">
        <f t="shared" si="10"/>
        <v>Error?</v>
      </c>
    </row>
    <row r="721" spans="1:4" x14ac:dyDescent="0.2">
      <c r="A721" s="5">
        <v>660</v>
      </c>
      <c r="B721" s="138">
        <f>'Expenditures 15-22'!C36</f>
        <v>51447</v>
      </c>
      <c r="D721" s="2" t="str">
        <f t="shared" si="10"/>
        <v>Error?</v>
      </c>
    </row>
    <row r="722" spans="1:4" x14ac:dyDescent="0.2">
      <c r="A722" s="5">
        <v>661</v>
      </c>
      <c r="B722" s="138">
        <f>'Expenditures 15-22'!C37</f>
        <v>20708</v>
      </c>
      <c r="D722" s="2" t="str">
        <f t="shared" si="10"/>
        <v>Error?</v>
      </c>
    </row>
    <row r="723" spans="1:4" x14ac:dyDescent="0.2">
      <c r="A723" s="5">
        <v>662</v>
      </c>
      <c r="B723" s="138">
        <f>'Expenditures 15-22'!C38</f>
        <v>32313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104468</v>
      </c>
      <c r="C727" s="2" t="s">
        <v>573</v>
      </c>
      <c r="D727" s="2" t="str">
        <f t="shared" si="10"/>
        <v>Error?</v>
      </c>
    </row>
    <row r="728" spans="1:4" x14ac:dyDescent="0.2">
      <c r="A728" s="5">
        <v>667</v>
      </c>
      <c r="B728" s="138">
        <f>'Expenditures 15-22'!C44</f>
        <v>11366</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11366</v>
      </c>
      <c r="C731" s="2" t="s">
        <v>573</v>
      </c>
      <c r="D731" s="2" t="str">
        <f t="shared" si="10"/>
        <v>Error?</v>
      </c>
    </row>
    <row r="732" spans="1:4" x14ac:dyDescent="0.2">
      <c r="A732" s="5">
        <v>671</v>
      </c>
      <c r="B732" s="138">
        <f>'Expenditures 15-22'!C49</f>
        <v>4091</v>
      </c>
      <c r="D732" s="2" t="str">
        <f t="shared" si="10"/>
        <v>Error?</v>
      </c>
    </row>
    <row r="733" spans="1:4" x14ac:dyDescent="0.2">
      <c r="A733" s="5">
        <v>672</v>
      </c>
      <c r="B733" s="138">
        <f>'Expenditures 15-22'!C50</f>
        <v>114330</v>
      </c>
      <c r="D733" s="2" t="str">
        <f t="shared" si="10"/>
        <v>Error?</v>
      </c>
    </row>
    <row r="734" spans="1:4" x14ac:dyDescent="0.2">
      <c r="A734" s="5">
        <v>673</v>
      </c>
      <c r="B734" s="138">
        <f>'Expenditures 15-22'!C53</f>
        <v>118421</v>
      </c>
      <c r="C734" s="2" t="s">
        <v>573</v>
      </c>
      <c r="D734" s="2" t="str">
        <f t="shared" si="10"/>
        <v>Error?</v>
      </c>
    </row>
    <row r="735" spans="1:4" x14ac:dyDescent="0.2">
      <c r="A735" s="5">
        <v>674</v>
      </c>
      <c r="B735" s="138">
        <f>'Expenditures 15-22'!C55</f>
        <v>129079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129079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39510</v>
      </c>
      <c r="D739" s="2" t="str">
        <f t="shared" si="10"/>
        <v>Error?</v>
      </c>
    </row>
    <row r="740" spans="1:4" x14ac:dyDescent="0.2">
      <c r="A740" s="5">
        <v>679</v>
      </c>
      <c r="B740" s="138">
        <f>'Expenditures 15-22'!C61</f>
        <v>67763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53691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160964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524298</v>
      </c>
      <c r="C755" s="2" t="s">
        <v>573</v>
      </c>
      <c r="D755" s="2" t="str">
        <f t="shared" si="10"/>
        <v>Error?</v>
      </c>
    </row>
    <row r="756" spans="1:4" x14ac:dyDescent="0.2">
      <c r="A756" s="5">
        <v>695</v>
      </c>
      <c r="B756" s="138">
        <f>'Expenditures 15-22'!C75</f>
        <v>1147</v>
      </c>
      <c r="D756" s="2" t="str">
        <f t="shared" si="10"/>
        <v>Error?</v>
      </c>
    </row>
    <row r="757" spans="1:4" x14ac:dyDescent="0.2">
      <c r="A757" s="5">
        <v>696</v>
      </c>
      <c r="B757" s="138">
        <f>'Expenditures 15-22'!C114</f>
        <v>2442405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66427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2818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131213</v>
      </c>
      <c r="C778" s="2" t="s">
        <v>573</v>
      </c>
      <c r="D778" s="2" t="str">
        <f t="shared" si="11"/>
        <v>Error?</v>
      </c>
    </row>
    <row r="779" spans="1:4" x14ac:dyDescent="0.2">
      <c r="A779" s="5">
        <v>718</v>
      </c>
      <c r="B779" s="138">
        <f>'Expenditures 15-22'!D36</f>
        <v>1511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1539</v>
      </c>
      <c r="C785" s="2" t="s">
        <v>573</v>
      </c>
      <c r="D785" s="2" t="str">
        <f t="shared" si="11"/>
        <v>Error?</v>
      </c>
    </row>
    <row r="786" spans="1:4" x14ac:dyDescent="0.2">
      <c r="A786" s="5">
        <v>725</v>
      </c>
      <c r="B786" s="138">
        <f>'Expenditures 15-22'!D44</f>
        <v>1119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1119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3161</v>
      </c>
      <c r="D791" s="2" t="str">
        <f t="shared" si="11"/>
        <v>Error?</v>
      </c>
    </row>
    <row r="792" spans="1:4" x14ac:dyDescent="0.2">
      <c r="A792" s="5">
        <v>731</v>
      </c>
      <c r="B792" s="138">
        <f>'Expenditures 15-22'!D53</f>
        <v>3161</v>
      </c>
      <c r="C792" s="2" t="s">
        <v>573</v>
      </c>
      <c r="D792" s="2" t="str">
        <f t="shared" si="11"/>
        <v>Error?</v>
      </c>
    </row>
    <row r="793" spans="1:4" x14ac:dyDescent="0.2">
      <c r="A793" s="5">
        <v>732</v>
      </c>
      <c r="B793" s="138">
        <f>'Expenditures 15-22'!D55</f>
        <v>17909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17909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27</v>
      </c>
      <c r="D797" s="2" t="str">
        <f t="shared" si="11"/>
        <v>Error?</v>
      </c>
    </row>
    <row r="798" spans="1:4" x14ac:dyDescent="0.2">
      <c r="A798" s="5">
        <v>737</v>
      </c>
      <c r="B798" s="138">
        <f>'Expenditures 15-22'!D61</f>
        <v>5269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10345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15641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39369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170582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25935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104281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20516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20516</v>
      </c>
      <c r="C843" s="2" t="s">
        <v>573</v>
      </c>
      <c r="D843" s="2" t="str">
        <f t="shared" si="12"/>
        <v>Error?</v>
      </c>
    </row>
    <row r="844" spans="1:4" x14ac:dyDescent="0.2">
      <c r="A844" s="5">
        <v>783</v>
      </c>
      <c r="B844" s="138">
        <f>'Expenditures 15-22'!E44</f>
        <v>11782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1899</v>
      </c>
      <c r="D846" s="2" t="str">
        <f t="shared" si="12"/>
        <v>Error?</v>
      </c>
    </row>
    <row r="847" spans="1:4" x14ac:dyDescent="0.2">
      <c r="A847" s="5">
        <v>786</v>
      </c>
      <c r="B847" s="138">
        <f>'Expenditures 15-22'!E47</f>
        <v>13681</v>
      </c>
      <c r="C847" s="2" t="s">
        <v>573</v>
      </c>
      <c r="D847" s="2" t="str">
        <f t="shared" si="12"/>
        <v>Error?</v>
      </c>
    </row>
    <row r="848" spans="1:4" x14ac:dyDescent="0.2">
      <c r="A848" s="5">
        <v>787</v>
      </c>
      <c r="B848" s="138">
        <f>'Expenditures 15-22'!E49</f>
        <v>68850</v>
      </c>
      <c r="D848" s="2" t="str">
        <f t="shared" si="12"/>
        <v>Error?</v>
      </c>
    </row>
    <row r="849" spans="1:4" x14ac:dyDescent="0.2">
      <c r="A849" s="5">
        <v>788</v>
      </c>
      <c r="B849" s="138">
        <f>'Expenditures 15-22'!E50</f>
        <v>2025</v>
      </c>
      <c r="D849" s="2" t="str">
        <f t="shared" si="12"/>
        <v>Error?</v>
      </c>
    </row>
    <row r="850" spans="1:4" x14ac:dyDescent="0.2">
      <c r="A850" s="5">
        <v>789</v>
      </c>
      <c r="B850" s="138">
        <f>'Expenditures 15-22'!E53</f>
        <v>70875</v>
      </c>
      <c r="C850" s="2" t="s">
        <v>573</v>
      </c>
      <c r="D850" s="2" t="str">
        <f t="shared" si="12"/>
        <v>Error?</v>
      </c>
    </row>
    <row r="851" spans="1:4" x14ac:dyDescent="0.2">
      <c r="A851" s="5">
        <v>790</v>
      </c>
      <c r="B851" s="138">
        <f>'Expenditures 15-22'!E55</f>
        <v>1364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1364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11861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11976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9930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9930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128342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232623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43089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81044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24044</v>
      </c>
      <c r="D902" s="2" t="str">
        <f t="shared" si="13"/>
        <v>Error?</v>
      </c>
    </row>
    <row r="903" spans="1:4" x14ac:dyDescent="0.2">
      <c r="A903" s="5">
        <v>842</v>
      </c>
      <c r="B903" s="138">
        <f>'Expenditures 15-22'!F45</f>
        <v>2082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26126</v>
      </c>
      <c r="C905" s="2" t="s">
        <v>573</v>
      </c>
      <c r="D905" s="2" t="str">
        <f t="shared" si="13"/>
        <v>Error?</v>
      </c>
    </row>
    <row r="906" spans="1:4" x14ac:dyDescent="0.2">
      <c r="A906" s="5">
        <v>845</v>
      </c>
      <c r="B906" s="138">
        <f>'Expenditures 15-22'!F49</f>
        <v>861</v>
      </c>
      <c r="D906" s="2" t="str">
        <f t="shared" si="13"/>
        <v>Error?</v>
      </c>
    </row>
    <row r="907" spans="1:4" x14ac:dyDescent="0.2">
      <c r="A907" s="5">
        <v>846</v>
      </c>
      <c r="B907" s="138">
        <f>'Expenditures 15-22'!F50</f>
        <v>189</v>
      </c>
      <c r="D907" s="2" t="str">
        <f t="shared" si="13"/>
        <v>Error?</v>
      </c>
    </row>
    <row r="908" spans="1:4" x14ac:dyDescent="0.2">
      <c r="A908" s="5">
        <v>847</v>
      </c>
      <c r="B908" s="138">
        <f>'Expenditures 15-22'!F53</f>
        <v>1050</v>
      </c>
      <c r="C908" s="2" t="s">
        <v>573</v>
      </c>
      <c r="D908" s="2" t="str">
        <f t="shared" si="13"/>
        <v>Error?</v>
      </c>
    </row>
    <row r="909" spans="1:4" x14ac:dyDescent="0.2">
      <c r="A909" s="5">
        <v>848</v>
      </c>
      <c r="B909" s="138">
        <f>'Expenditures 15-22'!F55</f>
        <v>262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262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5013</v>
      </c>
      <c r="D913" s="2" t="str">
        <f t="shared" si="13"/>
        <v>Error?</v>
      </c>
    </row>
    <row r="914" spans="1:4" x14ac:dyDescent="0.2">
      <c r="A914" s="5">
        <v>853</v>
      </c>
      <c r="B914" s="138">
        <f>'Expenditures 15-22'!F61</f>
        <v>10169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77016</v>
      </c>
      <c r="D916" s="2" t="str">
        <f t="shared" si="13"/>
        <v>Error?</v>
      </c>
    </row>
    <row r="917" spans="1:4" x14ac:dyDescent="0.2">
      <c r="A917" s="5">
        <v>856</v>
      </c>
      <c r="B917" s="138">
        <f>'Expenditures 15-22'!F64</f>
        <v>3306</v>
      </c>
      <c r="D917" s="2" t="str">
        <f t="shared" si="13"/>
        <v>Error?</v>
      </c>
    </row>
    <row r="918" spans="1:4" x14ac:dyDescent="0.2">
      <c r="A918" s="10">
        <v>857</v>
      </c>
      <c r="D918" s="2" t="str">
        <f t="shared" si="13"/>
        <v>OK</v>
      </c>
    </row>
    <row r="919" spans="1:4" x14ac:dyDescent="0.2">
      <c r="A919" s="5">
        <v>858</v>
      </c>
      <c r="B919" s="138">
        <f>'Expenditures 15-22'!F65</f>
        <v>95504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122942</v>
      </c>
      <c r="C929" s="2" t="s">
        <v>573</v>
      </c>
      <c r="D929" s="2" t="str">
        <f t="shared" si="13"/>
        <v>Error?</v>
      </c>
    </row>
    <row r="930" spans="1:4" x14ac:dyDescent="0.2">
      <c r="A930" s="5">
        <v>869</v>
      </c>
      <c r="B930" s="138">
        <f>'Expenditures 15-22'!F75</f>
        <v>400</v>
      </c>
      <c r="D930" s="2" t="str">
        <f t="shared" si="13"/>
        <v>Error?</v>
      </c>
    </row>
    <row r="931" spans="1:4" x14ac:dyDescent="0.2">
      <c r="A931" s="5">
        <v>870</v>
      </c>
      <c r="B931" s="138">
        <f>'Expenditures 15-22'!F114</f>
        <v>204386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7860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14048</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14048</v>
      </c>
      <c r="C963" s="2" t="s">
        <v>573</v>
      </c>
      <c r="D963" s="2" t="str">
        <f t="shared" si="14"/>
        <v>Error?</v>
      </c>
    </row>
    <row r="964" spans="1:4" x14ac:dyDescent="0.2">
      <c r="A964" s="5">
        <v>903</v>
      </c>
      <c r="B964" s="138">
        <f>'Expenditures 15-22'!G49</f>
        <v>1161</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1161</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23302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23302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38511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46371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6974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6974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132421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139395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1572300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113186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2248332</v>
      </c>
      <c r="C1108" s="2" t="s">
        <v>573</v>
      </c>
      <c r="D1108" s="2" t="str">
        <f t="shared" si="16"/>
        <v>Error?</v>
      </c>
    </row>
    <row r="1109" spans="1:4" x14ac:dyDescent="0.2">
      <c r="A1109" s="5">
        <v>1048</v>
      </c>
      <c r="B1109" s="138">
        <f>'Expenditures 15-22'!K36</f>
        <v>52958</v>
      </c>
      <c r="C1109" s="2" t="s">
        <v>573</v>
      </c>
      <c r="D1109" s="2" t="str">
        <f t="shared" si="16"/>
        <v>Error?</v>
      </c>
    </row>
    <row r="1110" spans="1:4" x14ac:dyDescent="0.2">
      <c r="A1110" s="5">
        <v>1049</v>
      </c>
      <c r="B1110" s="138">
        <f>'Expenditures 15-22'!K37</f>
        <v>20708</v>
      </c>
      <c r="C1110" s="2" t="s">
        <v>573</v>
      </c>
      <c r="D1110" s="2" t="str">
        <f t="shared" si="16"/>
        <v>Error?</v>
      </c>
    </row>
    <row r="1111" spans="1:4" x14ac:dyDescent="0.2">
      <c r="A1111" s="5">
        <v>1050</v>
      </c>
      <c r="B1111" s="138">
        <f>'Expenditures 15-22'!K38</f>
        <v>32341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20516</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126523</v>
      </c>
      <c r="C1115" s="2" t="s">
        <v>573</v>
      </c>
      <c r="D1115" s="2" t="str">
        <f t="shared" si="16"/>
        <v>Error?</v>
      </c>
    </row>
    <row r="1116" spans="1:4" x14ac:dyDescent="0.2">
      <c r="A1116" s="5">
        <v>1055</v>
      </c>
      <c r="B1116" s="138">
        <f>'Expenditures 15-22'!K44</f>
        <v>62359</v>
      </c>
      <c r="C1116" s="2" t="s">
        <v>573</v>
      </c>
      <c r="D1116" s="2" t="str">
        <f t="shared" si="16"/>
        <v>Error?</v>
      </c>
    </row>
    <row r="1117" spans="1:4" x14ac:dyDescent="0.2">
      <c r="A1117" s="5">
        <v>1056</v>
      </c>
      <c r="B1117" s="138">
        <f>'Expenditures 15-22'!K45</f>
        <v>2082</v>
      </c>
      <c r="C1117" s="2" t="s">
        <v>573</v>
      </c>
      <c r="D1117" s="2" t="str">
        <f t="shared" si="16"/>
        <v>Error?</v>
      </c>
    </row>
    <row r="1118" spans="1:4" x14ac:dyDescent="0.2">
      <c r="A1118" s="5">
        <v>1057</v>
      </c>
      <c r="B1118" s="138">
        <f>'Expenditures 15-22'!K46</f>
        <v>1899</v>
      </c>
      <c r="C1118" s="2" t="s">
        <v>573</v>
      </c>
      <c r="D1118" s="2" t="str">
        <f t="shared" si="16"/>
        <v>Error?</v>
      </c>
    </row>
    <row r="1119" spans="1:4" x14ac:dyDescent="0.2">
      <c r="A1119" s="5">
        <v>1058</v>
      </c>
      <c r="B1119" s="138">
        <f>'Expenditures 15-22'!K47</f>
        <v>66340</v>
      </c>
      <c r="C1119" s="2" t="s">
        <v>573</v>
      </c>
      <c r="D1119" s="2" t="str">
        <f t="shared" si="16"/>
        <v>Error?</v>
      </c>
    </row>
    <row r="1120" spans="1:4" x14ac:dyDescent="0.2">
      <c r="A1120" s="5">
        <v>1059</v>
      </c>
      <c r="B1120" s="138">
        <f>'Expenditures 15-22'!K49</f>
        <v>74963</v>
      </c>
      <c r="C1120" s="2" t="s">
        <v>573</v>
      </c>
      <c r="D1120" s="2" t="str">
        <f t="shared" si="16"/>
        <v>Error?</v>
      </c>
    </row>
    <row r="1121" spans="1:4" x14ac:dyDescent="0.2">
      <c r="A1121" s="5">
        <v>1060</v>
      </c>
      <c r="B1121" s="138">
        <f>'Expenditures 15-22'!K50</f>
        <v>119705</v>
      </c>
      <c r="C1121" s="2" t="s">
        <v>573</v>
      </c>
      <c r="D1121" s="2" t="str">
        <f t="shared" si="16"/>
        <v>Error?</v>
      </c>
    </row>
    <row r="1122" spans="1:4" x14ac:dyDescent="0.2">
      <c r="A1122" s="5">
        <v>1061</v>
      </c>
      <c r="B1122" s="138">
        <f>'Expenditures 15-22'!K53</f>
        <v>194668</v>
      </c>
      <c r="C1122" s="2" t="s">
        <v>573</v>
      </c>
      <c r="D1122" s="2" t="str">
        <f t="shared" si="16"/>
        <v>Error?</v>
      </c>
    </row>
    <row r="1123" spans="1:4" x14ac:dyDescent="0.2">
      <c r="A1123" s="5">
        <v>1062</v>
      </c>
      <c r="B1123" s="138">
        <f>'Expenditures 15-22'!K55</f>
        <v>148614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148614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44550</v>
      </c>
      <c r="C1127" s="2" t="s">
        <v>573</v>
      </c>
      <c r="D1127" s="2" t="str">
        <f t="shared" si="16"/>
        <v>Error?</v>
      </c>
    </row>
    <row r="1128" spans="1:4" x14ac:dyDescent="0.2">
      <c r="A1128" s="5">
        <v>1067</v>
      </c>
      <c r="B1128" s="138">
        <f>'Expenditures 15-22'!K61</f>
        <v>118364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141167</v>
      </c>
      <c r="C1130" s="2" t="s">
        <v>573</v>
      </c>
      <c r="D1130" s="2" t="str">
        <f t="shared" si="16"/>
        <v>Error?</v>
      </c>
    </row>
    <row r="1131" spans="1:4" x14ac:dyDescent="0.2">
      <c r="A1131" s="5">
        <v>1070</v>
      </c>
      <c r="B1131" s="138">
        <f>'Expenditures 15-22'!K64</f>
        <v>3306</v>
      </c>
      <c r="C1131" s="2" t="s">
        <v>573</v>
      </c>
      <c r="D1131" s="2" t="str">
        <f t="shared" si="16"/>
        <v>Error?</v>
      </c>
    </row>
    <row r="1132" spans="1:4" x14ac:dyDescent="0.2">
      <c r="A1132" s="10">
        <v>1071</v>
      </c>
      <c r="D1132" s="2" t="str">
        <f t="shared" si="16"/>
        <v>OK</v>
      </c>
    </row>
    <row r="1133" spans="1:4" x14ac:dyDescent="0.2">
      <c r="A1133" s="5">
        <v>1072</v>
      </c>
      <c r="B1133" s="138">
        <f>'Expenditures 15-22'!K65</f>
        <v>307387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9930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9930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853462</v>
      </c>
      <c r="C1143" s="2" t="s">
        <v>573</v>
      </c>
      <c r="D1143" s="2" t="str">
        <f t="shared" si="16"/>
        <v>Error?</v>
      </c>
    </row>
    <row r="1144" spans="1:4" x14ac:dyDescent="0.2">
      <c r="A1144" s="5">
        <v>1083</v>
      </c>
      <c r="B1144" s="138">
        <f>'Expenditures 15-22'!K75</f>
        <v>1547</v>
      </c>
      <c r="C1144" s="2" t="s">
        <v>573</v>
      </c>
      <c r="D1144" s="2" t="str">
        <f t="shared" si="16"/>
        <v>Error?</v>
      </c>
    </row>
    <row r="1145" spans="1:4" x14ac:dyDescent="0.2">
      <c r="A1145" s="5">
        <v>1084</v>
      </c>
      <c r="B1145" s="138">
        <f>'Expenditures 15-22'!K102</f>
        <v>132421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3235762</v>
      </c>
      <c r="C1152" s="2" t="s">
        <v>573</v>
      </c>
      <c r="D1152" s="2" t="str">
        <f t="shared" si="17"/>
        <v>Error?</v>
      </c>
    </row>
    <row r="1153" spans="1:4" x14ac:dyDescent="0.2">
      <c r="A1153" s="5">
        <v>1092</v>
      </c>
      <c r="B1153" s="138">
        <f>'Expenditures 15-22'!K115</f>
        <v>120800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88465</v>
      </c>
      <c r="D1221" s="2" t="str">
        <f t="shared" si="18"/>
        <v>Error?</v>
      </c>
    </row>
    <row r="1222" spans="1:4" x14ac:dyDescent="0.2">
      <c r="A1222" s="10">
        <v>1161</v>
      </c>
      <c r="D1222" s="2" t="str">
        <f t="shared" si="18"/>
        <v>OK</v>
      </c>
    </row>
    <row r="1223" spans="1:4" x14ac:dyDescent="0.2">
      <c r="A1223" s="5">
        <v>1162</v>
      </c>
      <c r="B1223" s="138">
        <f>'Expenditures 15-22'!C127</f>
        <v>88465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88465</v>
      </c>
      <c r="C1225" s="2" t="s">
        <v>573</v>
      </c>
      <c r="D1225" s="2" t="str">
        <f t="shared" si="18"/>
        <v>Error?</v>
      </c>
    </row>
    <row r="1226" spans="1:4" x14ac:dyDescent="0.2">
      <c r="A1226" s="5">
        <v>1165</v>
      </c>
      <c r="B1226" s="138">
        <f>'Expenditures 15-22'!C151</f>
        <v>88465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12484</v>
      </c>
      <c r="D1229" s="2" t="str">
        <f t="shared" si="18"/>
        <v>Error?</v>
      </c>
    </row>
    <row r="1230" spans="1:4" x14ac:dyDescent="0.2">
      <c r="A1230" s="10">
        <v>1169</v>
      </c>
      <c r="D1230" s="2" t="str">
        <f t="shared" si="18"/>
        <v>OK</v>
      </c>
    </row>
    <row r="1231" spans="1:4" x14ac:dyDescent="0.2">
      <c r="A1231" s="5">
        <v>1170</v>
      </c>
      <c r="B1231" s="138">
        <f>'Expenditures 15-22'!D127</f>
        <v>12484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12484</v>
      </c>
      <c r="C1233" s="2" t="s">
        <v>573</v>
      </c>
      <c r="D1233" s="2" t="str">
        <f t="shared" si="18"/>
        <v>Error?</v>
      </c>
    </row>
    <row r="1234" spans="1:4" x14ac:dyDescent="0.2">
      <c r="A1234" s="5">
        <v>1173</v>
      </c>
      <c r="B1234" s="138">
        <f>'Expenditures 15-22'!D151</f>
        <v>12484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66930</v>
      </c>
      <c r="D1237" s="2" t="str">
        <f t="shared" si="18"/>
        <v>Error?</v>
      </c>
    </row>
    <row r="1238" spans="1:4" x14ac:dyDescent="0.2">
      <c r="A1238" s="10">
        <v>1177</v>
      </c>
      <c r="D1238" s="2" t="str">
        <f t="shared" si="18"/>
        <v>OK</v>
      </c>
    </row>
    <row r="1239" spans="1:4" x14ac:dyDescent="0.2">
      <c r="A1239" s="5">
        <v>1178</v>
      </c>
      <c r="B1239" s="138">
        <f>'Expenditures 15-22'!E127</f>
        <v>66930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66930</v>
      </c>
      <c r="C1241" s="2" t="s">
        <v>573</v>
      </c>
      <c r="D1241" s="2" t="str">
        <f t="shared" si="18"/>
        <v>Error?</v>
      </c>
    </row>
    <row r="1242" spans="1:4" x14ac:dyDescent="0.2">
      <c r="A1242" s="5">
        <v>1181</v>
      </c>
      <c r="B1242" s="138">
        <f>'Expenditures 15-22'!E151</f>
        <v>66930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121146</v>
      </c>
      <c r="D1245" s="2" t="str">
        <f t="shared" si="18"/>
        <v>Error?</v>
      </c>
    </row>
    <row r="1246" spans="1:4" x14ac:dyDescent="0.2">
      <c r="A1246" s="10">
        <v>1185</v>
      </c>
      <c r="D1246" s="2" t="str">
        <f t="shared" si="18"/>
        <v>OK</v>
      </c>
    </row>
    <row r="1247" spans="1:4" x14ac:dyDescent="0.2">
      <c r="A1247" s="5">
        <v>1186</v>
      </c>
      <c r="B1247" s="138">
        <f>'Expenditures 15-22'!F127</f>
        <v>121146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121146</v>
      </c>
      <c r="C1249" s="2" t="s">
        <v>573</v>
      </c>
      <c r="D1249" s="2" t="str">
        <f t="shared" si="18"/>
        <v>Error?</v>
      </c>
    </row>
    <row r="1250" spans="1:4" x14ac:dyDescent="0.2">
      <c r="A1250" s="5">
        <v>1189</v>
      </c>
      <c r="B1250" s="138">
        <f>'Expenditures 15-22'!F151</f>
        <v>121146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109302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109302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109302</v>
      </c>
      <c r="C1258" s="2" t="s">
        <v>573</v>
      </c>
      <c r="D1258" s="2" t="str">
        <f t="shared" si="18"/>
        <v>Error?</v>
      </c>
    </row>
    <row r="1259" spans="1:4" x14ac:dyDescent="0.2">
      <c r="A1259" s="5">
        <v>1198</v>
      </c>
      <c r="B1259" s="138">
        <f>'Expenditures 15-22'!G151</f>
        <v>109302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398327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398327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398327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398327</v>
      </c>
      <c r="C1288" s="2" t="s">
        <v>573</v>
      </c>
      <c r="D1288" s="2" t="str">
        <f t="shared" si="19"/>
        <v>Error?</v>
      </c>
    </row>
    <row r="1289" spans="1:4" x14ac:dyDescent="0.2">
      <c r="A1289" s="5">
        <v>1228</v>
      </c>
      <c r="B1289" s="138">
        <f>'Expenditures 15-22'!K152</f>
        <v>9102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120895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180000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301395</v>
      </c>
      <c r="C1317" s="2" t="s">
        <v>573</v>
      </c>
      <c r="D1317" s="2" t="str">
        <f t="shared" si="19"/>
        <v>Error?</v>
      </c>
    </row>
    <row r="1318" spans="1:4" x14ac:dyDescent="0.2">
      <c r="A1318" s="5">
        <v>1257</v>
      </c>
      <c r="B1318" s="138">
        <f>'Expenditures 15-22'!H174</f>
        <v>301395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120895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180000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301395</v>
      </c>
      <c r="C1331" s="2" t="s">
        <v>573</v>
      </c>
      <c r="D1331" s="2" t="str">
        <f t="shared" si="19"/>
        <v>Error?</v>
      </c>
    </row>
    <row r="1332" spans="1:4" x14ac:dyDescent="0.2">
      <c r="A1332" s="5">
        <v>1271</v>
      </c>
      <c r="B1332" s="138">
        <f>'Expenditures 15-22'!K174</f>
        <v>301395</v>
      </c>
      <c r="C1332" s="2" t="s">
        <v>573</v>
      </c>
      <c r="D1332" s="2" t="str">
        <f t="shared" si="19"/>
        <v>Error?</v>
      </c>
    </row>
    <row r="1333" spans="1:4" x14ac:dyDescent="0.2">
      <c r="A1333" s="5">
        <v>1272</v>
      </c>
      <c r="B1333" s="138">
        <f>'Expenditures 15-22'!K175</f>
        <v>-13370</v>
      </c>
      <c r="C1333" s="2" t="s">
        <v>573</v>
      </c>
      <c r="D1333" s="2" t="str">
        <f t="shared" si="19"/>
        <v>Error?</v>
      </c>
    </row>
    <row r="1334" spans="1:4" x14ac:dyDescent="0.2">
      <c r="A1334" s="10">
        <v>1273</v>
      </c>
      <c r="D1334" s="2" t="str">
        <f t="shared" si="19"/>
        <v>OK</v>
      </c>
    </row>
    <row r="1335" spans="1:4" x14ac:dyDescent="0.2">
      <c r="A1335" s="5">
        <v>1274</v>
      </c>
      <c r="B1335" s="138">
        <f>'Expenditures 15-22'!C182</f>
        <v>96135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96135</v>
      </c>
      <c r="C1339" s="2" t="s">
        <v>573</v>
      </c>
      <c r="D1339" s="2" t="str">
        <f t="shared" si="19"/>
        <v>Error?</v>
      </c>
    </row>
    <row r="1340" spans="1:4" x14ac:dyDescent="0.2">
      <c r="A1340" s="5">
        <v>1279</v>
      </c>
      <c r="B1340" s="138">
        <f>'Expenditures 15-22'!C210</f>
        <v>96135</v>
      </c>
      <c r="C1340" s="2" t="s">
        <v>573</v>
      </c>
      <c r="D1340" s="2" t="str">
        <f t="shared" si="19"/>
        <v>Error?</v>
      </c>
    </row>
    <row r="1341" spans="1:4" x14ac:dyDescent="0.2">
      <c r="A1341" s="5">
        <v>1280</v>
      </c>
      <c r="B1341" s="138">
        <f>'Expenditures 15-22'!D182</f>
        <v>9170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9170</v>
      </c>
      <c r="C1345" s="2" t="s">
        <v>573</v>
      </c>
      <c r="D1345" s="2" t="str">
        <f t="shared" si="20"/>
        <v>Error?</v>
      </c>
    </row>
    <row r="1346" spans="1:4" x14ac:dyDescent="0.2">
      <c r="A1346" s="5">
        <v>1285</v>
      </c>
      <c r="B1346" s="138">
        <f>'Expenditures 15-22'!D210</f>
        <v>9170</v>
      </c>
      <c r="C1346" s="2" t="s">
        <v>573</v>
      </c>
      <c r="D1346" s="2" t="str">
        <f t="shared" si="20"/>
        <v>Error?</v>
      </c>
    </row>
    <row r="1347" spans="1:4" x14ac:dyDescent="0.2">
      <c r="A1347" s="5">
        <v>1286</v>
      </c>
      <c r="B1347" s="138">
        <f>'Expenditures 15-22'!E182</f>
        <v>95322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95322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95322</v>
      </c>
      <c r="C1353" s="2" t="s">
        <v>573</v>
      </c>
      <c r="D1353" s="2" t="str">
        <f t="shared" si="20"/>
        <v>Error?</v>
      </c>
    </row>
    <row r="1354" spans="1:4" x14ac:dyDescent="0.2">
      <c r="A1354" s="5">
        <v>1293</v>
      </c>
      <c r="B1354" s="138">
        <f>'Expenditures 15-22'!F182</f>
        <v>38922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38922</v>
      </c>
      <c r="C1358" s="2" t="s">
        <v>573</v>
      </c>
      <c r="D1358" s="2" t="str">
        <f t="shared" si="20"/>
        <v>Error?</v>
      </c>
    </row>
    <row r="1359" spans="1:4" x14ac:dyDescent="0.2">
      <c r="A1359" s="5">
        <v>1298</v>
      </c>
      <c r="B1359" s="138">
        <f>'Expenditures 15-22'!F210</f>
        <v>38922</v>
      </c>
      <c r="C1359" s="2" t="s">
        <v>573</v>
      </c>
      <c r="D1359" s="2" t="str">
        <f t="shared" si="20"/>
        <v>Error?</v>
      </c>
    </row>
    <row r="1360" spans="1:4" x14ac:dyDescent="0.2">
      <c r="A1360" s="5">
        <v>1299</v>
      </c>
      <c r="B1360" s="138">
        <f>'Expenditures 15-22'!G182</f>
        <v>59138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59138</v>
      </c>
      <c r="C1364" s="2" t="s">
        <v>573</v>
      </c>
      <c r="D1364" s="2" t="str">
        <f t="shared" si="20"/>
        <v>Error?</v>
      </c>
    </row>
    <row r="1365" spans="1:4" x14ac:dyDescent="0.2">
      <c r="A1365" s="5">
        <v>1304</v>
      </c>
      <c r="B1365" s="138">
        <f>'Expenditures 15-22'!G210</f>
        <v>59138</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298687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298687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298687</v>
      </c>
      <c r="C1388" s="2" t="s">
        <v>573</v>
      </c>
      <c r="D1388" s="2" t="str">
        <f t="shared" si="20"/>
        <v>Error?</v>
      </c>
    </row>
    <row r="1389" spans="1:4" x14ac:dyDescent="0.2">
      <c r="A1389" s="5">
        <v>1328</v>
      </c>
      <c r="B1389" s="138">
        <f>'Expenditures 15-22'!K211</f>
        <v>25359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3074</v>
      </c>
      <c r="D1408" s="2" t="str">
        <f t="shared" si="21"/>
        <v>Error?</v>
      </c>
    </row>
    <row r="1409" spans="1:4" x14ac:dyDescent="0.2">
      <c r="A1409" s="5">
        <v>1348</v>
      </c>
      <c r="B1409" s="138">
        <f>'Expenditures 15-22'!D224</f>
        <v>12</v>
      </c>
      <c r="D1409" s="2" t="str">
        <f t="shared" si="21"/>
        <v>Error?</v>
      </c>
    </row>
    <row r="1410" spans="1:4" x14ac:dyDescent="0.2">
      <c r="A1410" s="5">
        <v>1349</v>
      </c>
      <c r="B1410" s="138">
        <f>'Expenditures 15-22'!D229</f>
        <v>51009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5152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5152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627</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627</v>
      </c>
      <c r="C1424" s="2" t="s">
        <v>573</v>
      </c>
      <c r="D1424" s="2" t="str">
        <f t="shared" si="21"/>
        <v>Error?</v>
      </c>
    </row>
    <row r="1425" spans="1:4" x14ac:dyDescent="0.2">
      <c r="A1425" s="5">
        <v>1364</v>
      </c>
      <c r="B1425" s="138">
        <f>'Expenditures 15-22'!D259</f>
        <v>8094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8094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6316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24471</v>
      </c>
      <c r="D1431" s="2" t="str">
        <f t="shared" si="21"/>
        <v>Error?</v>
      </c>
    </row>
    <row r="1432" spans="1:4" x14ac:dyDescent="0.2">
      <c r="A1432" s="5">
        <v>1371</v>
      </c>
      <c r="B1432" s="138">
        <f>'Expenditures 15-22'!D267</f>
        <v>13891</v>
      </c>
      <c r="D1432" s="2" t="str">
        <f t="shared" si="21"/>
        <v>Error?</v>
      </c>
    </row>
    <row r="1433" spans="1:4" x14ac:dyDescent="0.2">
      <c r="A1433" s="5">
        <v>1372</v>
      </c>
      <c r="B1433" s="138">
        <f>'Expenditures 15-22'!D268</f>
        <v>7048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51726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65599</v>
      </c>
      <c r="C1446" s="2" t="s">
        <v>573</v>
      </c>
      <c r="D1446" s="2" t="str">
        <f t="shared" si="21"/>
        <v>Error?</v>
      </c>
    </row>
    <row r="1447" spans="1:4" x14ac:dyDescent="0.2">
      <c r="A1447" s="5">
        <v>1386</v>
      </c>
      <c r="B1447" s="138">
        <f>'Expenditures 15-22'!D280</f>
        <v>45</v>
      </c>
      <c r="D1447" s="2" t="str">
        <f t="shared" si="21"/>
        <v>Error?</v>
      </c>
    </row>
    <row r="1448" spans="1:4" x14ac:dyDescent="0.2">
      <c r="A1448" s="5">
        <v>1387</v>
      </c>
      <c r="B1448" s="138">
        <f>'Expenditures 15-22'!D295</f>
        <v>116653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3074</v>
      </c>
      <c r="C1472" s="2" t="s">
        <v>573</v>
      </c>
      <c r="D1472" s="2" t="str">
        <f t="shared" si="22"/>
        <v>Error?</v>
      </c>
    </row>
    <row r="1473" spans="1:4" x14ac:dyDescent="0.2">
      <c r="A1473" s="5">
        <v>1412</v>
      </c>
      <c r="B1473" s="138">
        <f>'Expenditures 15-22'!K224</f>
        <v>12</v>
      </c>
      <c r="C1473" s="2" t="s">
        <v>573</v>
      </c>
      <c r="D1473" s="2" t="str">
        <f t="shared" si="22"/>
        <v>Error?</v>
      </c>
    </row>
    <row r="1474" spans="1:4" x14ac:dyDescent="0.2">
      <c r="A1474" s="5">
        <v>1413</v>
      </c>
      <c r="B1474" s="138">
        <f>'Expenditures 15-22'!K229</f>
        <v>51009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5152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5152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627</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627</v>
      </c>
      <c r="C1488" s="2" t="s">
        <v>573</v>
      </c>
      <c r="D1488" s="2" t="str">
        <f t="shared" si="22"/>
        <v>Error?</v>
      </c>
    </row>
    <row r="1489" spans="1:4" x14ac:dyDescent="0.2">
      <c r="A1489" s="5">
        <v>1428</v>
      </c>
      <c r="B1489" s="138">
        <f>'Expenditures 15-22'!K259</f>
        <v>8094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8094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6316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24471</v>
      </c>
      <c r="C1495" s="2" t="s">
        <v>573</v>
      </c>
      <c r="D1495" s="2" t="str">
        <f t="shared" si="22"/>
        <v>Error?</v>
      </c>
    </row>
    <row r="1496" spans="1:4" x14ac:dyDescent="0.2">
      <c r="A1496" s="5">
        <v>1435</v>
      </c>
      <c r="B1496" s="138">
        <f>'Expenditures 15-22'!K267</f>
        <v>13891</v>
      </c>
      <c r="C1496" s="2" t="s">
        <v>573</v>
      </c>
      <c r="D1496" s="2" t="str">
        <f t="shared" si="22"/>
        <v>Error?</v>
      </c>
    </row>
    <row r="1497" spans="1:4" x14ac:dyDescent="0.2">
      <c r="A1497" s="5">
        <v>1436</v>
      </c>
      <c r="B1497" s="138">
        <f>'Expenditures 15-22'!K268</f>
        <v>7048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51726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65599</v>
      </c>
      <c r="C1510" s="2" t="s">
        <v>573</v>
      </c>
      <c r="D1510" s="2" t="str">
        <f t="shared" si="22"/>
        <v>Error?</v>
      </c>
    </row>
    <row r="1511" spans="1:4" x14ac:dyDescent="0.2">
      <c r="A1511" s="5">
        <v>1450</v>
      </c>
      <c r="B1511" s="138">
        <f>'Expenditures 15-22'!K280</f>
        <v>45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116653</v>
      </c>
      <c r="C1517" s="2" t="s">
        <v>573</v>
      </c>
      <c r="D1517" s="2" t="str">
        <f t="shared" si="22"/>
        <v>Error?</v>
      </c>
    </row>
    <row r="1518" spans="1:4" x14ac:dyDescent="0.2">
      <c r="A1518" s="5">
        <v>1457</v>
      </c>
      <c r="B1518" s="138">
        <f>'Expenditures 15-22'!K296</f>
        <v>4183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237394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237394</v>
      </c>
      <c r="C1547" s="2" t="s">
        <v>573</v>
      </c>
      <c r="D1547" s="2" t="str">
        <f t="shared" si="23"/>
        <v>Error?</v>
      </c>
    </row>
    <row r="1548" spans="1:4" x14ac:dyDescent="0.2">
      <c r="A1548" s="5">
        <v>1487</v>
      </c>
      <c r="B1548" s="138">
        <f>'Expenditures 15-22'!G312</f>
        <v>237394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237394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237394</v>
      </c>
      <c r="C1559" s="2" t="s">
        <v>573</v>
      </c>
      <c r="D1559" s="2" t="str">
        <f t="shared" si="23"/>
        <v>Error?</v>
      </c>
    </row>
    <row r="1560" spans="1:4" x14ac:dyDescent="0.2">
      <c r="A1560" s="5">
        <v>1499</v>
      </c>
      <c r="B1560" s="138">
        <f>'Expenditures 15-22'!K312</f>
        <v>237394</v>
      </c>
      <c r="C1560" s="2" t="s">
        <v>573</v>
      </c>
      <c r="D1560" s="2" t="str">
        <f t="shared" si="23"/>
        <v>Error?</v>
      </c>
    </row>
    <row r="1561" spans="1:4" x14ac:dyDescent="0.2">
      <c r="A1561" s="5">
        <v>1500</v>
      </c>
      <c r="B1561" s="138">
        <f>'Expenditures 15-22'!K313</f>
        <v>-9803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1777558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1898358</v>
      </c>
      <c r="C1630" s="2" t="s">
        <v>573</v>
      </c>
      <c r="D1630" s="2" t="str">
        <f t="shared" si="24"/>
        <v>Error?</v>
      </c>
    </row>
    <row r="1631" spans="1:4" x14ac:dyDescent="0.2">
      <c r="A1631" s="5">
        <v>1570</v>
      </c>
      <c r="B1631" s="138">
        <f>'Acct Summary 7-8'!D79</f>
        <v>545890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554992</v>
      </c>
      <c r="C1644" s="2" t="s">
        <v>573</v>
      </c>
      <c r="D1644" s="2" t="str">
        <f t="shared" si="24"/>
        <v>Error?</v>
      </c>
    </row>
    <row r="1645" spans="1:4" x14ac:dyDescent="0.2">
      <c r="A1645" s="5">
        <v>1584</v>
      </c>
      <c r="B1645" s="138">
        <f>'Acct Summary 7-8'!E79</f>
        <v>190060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176690</v>
      </c>
      <c r="C1658" s="2" t="s">
        <v>573</v>
      </c>
      <c r="D1658" s="2" t="str">
        <f t="shared" si="24"/>
        <v>Error?</v>
      </c>
    </row>
    <row r="1659" spans="1:4" x14ac:dyDescent="0.2">
      <c r="A1659" s="5">
        <v>1598</v>
      </c>
      <c r="B1659" s="138">
        <f>'Acct Summary 7-8'!F79</f>
        <v>557582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582941</v>
      </c>
      <c r="C1672" s="2" t="s">
        <v>573</v>
      </c>
      <c r="D1672" s="2" t="str">
        <f t="shared" si="25"/>
        <v>Error?</v>
      </c>
    </row>
    <row r="1673" spans="1:4" x14ac:dyDescent="0.2">
      <c r="A1673" s="5">
        <v>1612</v>
      </c>
      <c r="B1673" s="138">
        <f>'Acct Summary 7-8'!G79</f>
        <v>63694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67877</v>
      </c>
      <c r="C1686" s="2" t="s">
        <v>573</v>
      </c>
      <c r="D1686" s="2" t="str">
        <f t="shared" si="25"/>
        <v>Error?</v>
      </c>
    </row>
    <row r="1687" spans="1:4" x14ac:dyDescent="0.2">
      <c r="A1687" s="5">
        <v>1626</v>
      </c>
      <c r="B1687" s="138">
        <f>'Acct Summary 7-8'!H79</f>
        <v>273334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263531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1680205</v>
      </c>
      <c r="C1744" s="2" t="s">
        <v>573</v>
      </c>
      <c r="D1744" s="2" t="str">
        <f t="shared" si="26"/>
        <v>Error?</v>
      </c>
    </row>
    <row r="1745" spans="1:5" x14ac:dyDescent="0.2">
      <c r="A1745" s="5">
        <v>1684</v>
      </c>
      <c r="B1745" s="138">
        <f>'Tax Sched 23'!B5</f>
        <v>298284</v>
      </c>
      <c r="C1745" s="2" t="s">
        <v>573</v>
      </c>
      <c r="D1745" s="2" t="str">
        <f t="shared" si="26"/>
        <v>Error?</v>
      </c>
    </row>
    <row r="1746" spans="1:5" x14ac:dyDescent="0.2">
      <c r="A1746" s="5">
        <v>1685</v>
      </c>
      <c r="B1746" s="138">
        <f>'Tax Sched 23'!B6</f>
        <v>286823</v>
      </c>
      <c r="C1746" s="2" t="s">
        <v>573</v>
      </c>
      <c r="D1746" s="2" t="str">
        <f t="shared" si="26"/>
        <v>Error?</v>
      </c>
    </row>
    <row r="1747" spans="1:5" x14ac:dyDescent="0.2">
      <c r="A1747" s="5">
        <v>1686</v>
      </c>
      <c r="B1747" s="138">
        <f>'Tax Sched 23'!B7</f>
        <v>164392</v>
      </c>
      <c r="C1747" s="2" t="s">
        <v>573</v>
      </c>
      <c r="D1747" s="2" t="str">
        <f t="shared" si="26"/>
        <v>Error?</v>
      </c>
    </row>
    <row r="1748" spans="1:5" x14ac:dyDescent="0.2">
      <c r="A1748" s="5">
        <v>1687</v>
      </c>
      <c r="B1748" s="138">
        <f>'Tax Sched 23'!B8</f>
        <v>58158</v>
      </c>
      <c r="C1748" s="2" t="s">
        <v>573</v>
      </c>
      <c r="D1748" s="2" t="str">
        <f t="shared" si="26"/>
        <v>Error?</v>
      </c>
    </row>
    <row r="1749" spans="1:5" x14ac:dyDescent="0.2">
      <c r="A1749" s="5">
        <v>1688</v>
      </c>
      <c r="B1749" s="138">
        <f>'Tax Sched 23'!B10</f>
        <v>20740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43094</v>
      </c>
      <c r="C1752" s="2" t="s">
        <v>573</v>
      </c>
      <c r="D1752" s="2" t="str">
        <f t="shared" si="26"/>
        <v>Error?</v>
      </c>
    </row>
    <row r="1753" spans="1:5" x14ac:dyDescent="0.2">
      <c r="A1753" s="5">
        <v>1692</v>
      </c>
      <c r="B1753" s="138">
        <f>'Tax Sched 23'!B12</f>
        <v>23256</v>
      </c>
      <c r="C1753" s="2" t="s">
        <v>573</v>
      </c>
      <c r="D1753" s="2" t="str">
        <f t="shared" si="26"/>
        <v>Error?</v>
      </c>
    </row>
    <row r="1754" spans="1:5" x14ac:dyDescent="0.2">
      <c r="A1754" s="5">
        <v>1693</v>
      </c>
      <c r="B1754" s="138">
        <f>'Tax Sched 23'!B14</f>
        <v>16902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2650006</v>
      </c>
      <c r="C1759" s="2" t="s">
        <v>573</v>
      </c>
      <c r="D1759" s="2" t="str">
        <f t="shared" si="26"/>
        <v>Error?</v>
      </c>
    </row>
    <row r="1760" spans="1:5" x14ac:dyDescent="0.2">
      <c r="A1760" s="5">
        <v>1699</v>
      </c>
      <c r="B1760" s="138">
        <f>'Tax Sched 23'!D4</f>
        <v>927984</v>
      </c>
      <c r="C1760" s="2" t="s">
        <v>573</v>
      </c>
      <c r="D1760" s="2" t="str">
        <f t="shared" si="26"/>
        <v>Error?</v>
      </c>
    </row>
    <row r="1761" spans="1:5" x14ac:dyDescent="0.2">
      <c r="A1761" s="5">
        <v>1700</v>
      </c>
      <c r="B1761" s="138">
        <f>'Tax Sched 23'!D5</f>
        <v>164746</v>
      </c>
      <c r="C1761" s="2" t="s">
        <v>573</v>
      </c>
      <c r="D1761" s="2" t="str">
        <f t="shared" si="26"/>
        <v>Error?</v>
      </c>
    </row>
    <row r="1762" spans="1:5" s="8" customFormat="1" x14ac:dyDescent="0.2">
      <c r="A1762" s="5">
        <v>1701</v>
      </c>
      <c r="B1762" s="138">
        <f>'Tax Sched 23'!D6</f>
        <v>159961</v>
      </c>
      <c r="C1762" s="2" t="s">
        <v>573</v>
      </c>
      <c r="D1762" s="2" t="str">
        <f t="shared" si="26"/>
        <v>Error?</v>
      </c>
      <c r="E1762" s="9"/>
    </row>
    <row r="1763" spans="1:5" x14ac:dyDescent="0.2">
      <c r="A1763" s="5">
        <v>1702</v>
      </c>
      <c r="B1763" s="138">
        <f>'Tax Sched 23'!D7</f>
        <v>90795</v>
      </c>
      <c r="C1763" s="2" t="s">
        <v>573</v>
      </c>
      <c r="D1763" s="2" t="str">
        <f t="shared" si="26"/>
        <v>Error?</v>
      </c>
    </row>
    <row r="1764" spans="1:5" x14ac:dyDescent="0.2">
      <c r="A1764" s="5">
        <v>1703</v>
      </c>
      <c r="B1764" s="138">
        <f>'Tax Sched 23'!D8</f>
        <v>26030</v>
      </c>
      <c r="C1764" s="2" t="s">
        <v>573</v>
      </c>
      <c r="D1764" s="2" t="str">
        <f t="shared" si="26"/>
        <v>Error?</v>
      </c>
    </row>
    <row r="1765" spans="1:5" x14ac:dyDescent="0.2">
      <c r="A1765" s="5">
        <v>1704</v>
      </c>
      <c r="B1765" s="138">
        <f>'Tax Sched 23'!D10</f>
        <v>11621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23798</v>
      </c>
      <c r="C1768" s="2" t="s">
        <v>573</v>
      </c>
      <c r="D1768" s="2" t="str">
        <f t="shared" si="26"/>
        <v>Error?</v>
      </c>
    </row>
    <row r="1769" spans="1:5" x14ac:dyDescent="0.2">
      <c r="A1769" s="5">
        <v>1708</v>
      </c>
      <c r="B1769" s="138">
        <f>'Tax Sched 23'!D12</f>
        <v>12846</v>
      </c>
      <c r="C1769" s="2" t="s">
        <v>573</v>
      </c>
      <c r="D1769" s="2" t="str">
        <f t="shared" si="26"/>
        <v>Error?</v>
      </c>
    </row>
    <row r="1770" spans="1:5" x14ac:dyDescent="0.2">
      <c r="A1770" s="5">
        <v>1709</v>
      </c>
      <c r="B1770" s="138">
        <f>'Tax Sched 23'!D14</f>
        <v>9327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1453138</v>
      </c>
      <c r="C1775" s="2" t="s">
        <v>573</v>
      </c>
      <c r="D1775" s="2" t="str">
        <f t="shared" si="26"/>
        <v>Error?</v>
      </c>
    </row>
    <row r="1776" spans="1:5" x14ac:dyDescent="0.2">
      <c r="A1776" s="5">
        <v>1715</v>
      </c>
      <c r="B1776" s="138">
        <f>'Tax Sched 23'!C4</f>
        <v>752221</v>
      </c>
      <c r="D1776" s="2" t="str">
        <f t="shared" si="26"/>
        <v>Error?</v>
      </c>
    </row>
    <row r="1777" spans="1:4" x14ac:dyDescent="0.2">
      <c r="A1777" s="5">
        <v>1716</v>
      </c>
      <c r="B1777" s="138">
        <f>'Tax Sched 23'!C5</f>
        <v>133538</v>
      </c>
      <c r="D1777" s="2" t="str">
        <f t="shared" si="26"/>
        <v>Error?</v>
      </c>
    </row>
    <row r="1778" spans="1:4" x14ac:dyDescent="0.2">
      <c r="A1778" s="5">
        <v>1717</v>
      </c>
      <c r="B1778" s="138">
        <f>'Tax Sched 23'!C6</f>
        <v>126862</v>
      </c>
      <c r="D1778" s="2" t="str">
        <f t="shared" si="26"/>
        <v>Error?</v>
      </c>
    </row>
    <row r="1779" spans="1:4" x14ac:dyDescent="0.2">
      <c r="A1779" s="5">
        <v>1718</v>
      </c>
      <c r="B1779" s="138">
        <f>'Tax Sched 23'!C7</f>
        <v>73597</v>
      </c>
      <c r="D1779" s="2" t="str">
        <f t="shared" si="26"/>
        <v>Error?</v>
      </c>
    </row>
    <row r="1780" spans="1:4" x14ac:dyDescent="0.2">
      <c r="A1780" s="5">
        <v>1719</v>
      </c>
      <c r="B1780" s="138">
        <f>'Tax Sched 23'!C8</f>
        <v>32128</v>
      </c>
      <c r="D1780" s="2" t="str">
        <f t="shared" si="26"/>
        <v>Error?</v>
      </c>
    </row>
    <row r="1781" spans="1:4" x14ac:dyDescent="0.2">
      <c r="A1781" s="5">
        <v>1720</v>
      </c>
      <c r="B1781" s="138">
        <f>'Tax Sched 23'!C10</f>
        <v>9119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19296</v>
      </c>
      <c r="D1784" s="2" t="str">
        <f t="shared" si="26"/>
        <v>Error?</v>
      </c>
    </row>
    <row r="1785" spans="1:4" x14ac:dyDescent="0.2">
      <c r="A1785" s="5">
        <v>1724</v>
      </c>
      <c r="B1785" s="138">
        <f>'Tax Sched 23'!C12</f>
        <v>10410</v>
      </c>
      <c r="D1785" s="2" t="str">
        <f t="shared" si="26"/>
        <v>Error?</v>
      </c>
    </row>
    <row r="1786" spans="1:4" x14ac:dyDescent="0.2">
      <c r="A1786" s="5">
        <v>1725</v>
      </c>
      <c r="B1786" s="138">
        <f>'Tax Sched 23'!C14</f>
        <v>7575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1196868</v>
      </c>
      <c r="C1791" s="2" t="s">
        <v>573</v>
      </c>
      <c r="D1791" s="2" t="str">
        <f t="shared" ref="D1791:D1854" si="27">IF(ISBLANK(B1791),"OK",IF(A1791-B1791=0,"OK","Error?"))</f>
        <v>Error?</v>
      </c>
    </row>
    <row r="1792" spans="1:4" x14ac:dyDescent="0.2">
      <c r="A1792" s="5">
        <v>1731</v>
      </c>
      <c r="B1792" s="138">
        <f>'Tax Sched 23'!F4</f>
        <v>1036262</v>
      </c>
      <c r="C1792" s="2" t="s">
        <v>573</v>
      </c>
      <c r="D1792" s="2" t="str">
        <f t="shared" si="27"/>
        <v>Error?</v>
      </c>
    </row>
    <row r="1793" spans="1:4" x14ac:dyDescent="0.2">
      <c r="A1793" s="5">
        <v>1732</v>
      </c>
      <c r="B1793" s="138">
        <f>'Tax Sched 23'!F5</f>
        <v>184040</v>
      </c>
      <c r="C1793" s="2" t="s">
        <v>573</v>
      </c>
      <c r="D1793" s="2" t="str">
        <f t="shared" si="27"/>
        <v>Error?</v>
      </c>
    </row>
    <row r="1794" spans="1:4" x14ac:dyDescent="0.2">
      <c r="A1794" s="5">
        <v>1733</v>
      </c>
      <c r="B1794" s="138">
        <f>'Tax Sched 23'!F6</f>
        <v>174810</v>
      </c>
      <c r="C1794" s="2" t="s">
        <v>573</v>
      </c>
      <c r="D1794" s="2" t="str">
        <f t="shared" si="27"/>
        <v>Error?</v>
      </c>
    </row>
    <row r="1795" spans="1:4" x14ac:dyDescent="0.2">
      <c r="A1795" s="5">
        <v>1734</v>
      </c>
      <c r="B1795" s="138">
        <f>'Tax Sched 23'!F7</f>
        <v>101420</v>
      </c>
      <c r="C1795" s="2" t="s">
        <v>573</v>
      </c>
      <c r="D1795" s="2" t="str">
        <f t="shared" si="27"/>
        <v>Error?</v>
      </c>
    </row>
    <row r="1796" spans="1:4" x14ac:dyDescent="0.2">
      <c r="A1796" s="5">
        <v>1735</v>
      </c>
      <c r="B1796" s="138">
        <f>'Tax Sched 23'!F8</f>
        <v>29775</v>
      </c>
      <c r="C1796" s="2" t="s">
        <v>573</v>
      </c>
      <c r="D1796" s="2" t="str">
        <f t="shared" si="27"/>
        <v>Error?</v>
      </c>
    </row>
    <row r="1797" spans="1:4" x14ac:dyDescent="0.2">
      <c r="A1797" s="5">
        <v>1736</v>
      </c>
      <c r="B1797" s="138">
        <f>'Tax Sched 23'!F10</f>
        <v>12590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26648</v>
      </c>
      <c r="C1800" s="2" t="s">
        <v>573</v>
      </c>
      <c r="D1800" s="2" t="str">
        <f t="shared" si="27"/>
        <v>Error?</v>
      </c>
    </row>
    <row r="1801" spans="1:4" x14ac:dyDescent="0.2">
      <c r="A1801" s="5">
        <v>1740</v>
      </c>
      <c r="B1801" s="138">
        <f>'Tax Sched 23'!F12</f>
        <v>14362</v>
      </c>
      <c r="C1801" s="2" t="s">
        <v>573</v>
      </c>
      <c r="D1801" s="2" t="str">
        <f t="shared" si="27"/>
        <v>Error?</v>
      </c>
    </row>
    <row r="1802" spans="1:4" x14ac:dyDescent="0.2">
      <c r="A1802" s="5">
        <v>1741</v>
      </c>
      <c r="B1802" s="138">
        <f>'Tax Sched 23'!F14</f>
        <v>10480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1620168</v>
      </c>
      <c r="C1807" s="2" t="s">
        <v>573</v>
      </c>
      <c r="D1807" s="2" t="str">
        <f t="shared" si="27"/>
        <v>Error?</v>
      </c>
    </row>
    <row r="1808" spans="1:4" x14ac:dyDescent="0.2">
      <c r="A1808" s="5">
        <v>1747</v>
      </c>
      <c r="B1808" s="138">
        <f>'Tax Sched 23'!E4</f>
        <v>1788483</v>
      </c>
      <c r="D1808" s="2" t="str">
        <f t="shared" si="27"/>
        <v>Error?</v>
      </c>
    </row>
    <row r="1809" spans="1:4" x14ac:dyDescent="0.2">
      <c r="A1809" s="5">
        <v>1748</v>
      </c>
      <c r="B1809" s="138">
        <f>'Tax Sched 23'!E5</f>
        <v>317578</v>
      </c>
      <c r="D1809" s="2" t="str">
        <f t="shared" si="27"/>
        <v>Error?</v>
      </c>
    </row>
    <row r="1810" spans="1:4" x14ac:dyDescent="0.2">
      <c r="A1810" s="5">
        <v>1749</v>
      </c>
      <c r="B1810" s="138">
        <f>'Tax Sched 23'!E6</f>
        <v>301672</v>
      </c>
      <c r="D1810" s="2" t="str">
        <f t="shared" si="27"/>
        <v>Error?</v>
      </c>
    </row>
    <row r="1811" spans="1:4" x14ac:dyDescent="0.2">
      <c r="A1811" s="5">
        <v>1750</v>
      </c>
      <c r="B1811" s="138">
        <f>'Tax Sched 23'!E7</f>
        <v>175017</v>
      </c>
      <c r="D1811" s="2" t="str">
        <f t="shared" si="27"/>
        <v>Error?</v>
      </c>
    </row>
    <row r="1812" spans="1:4" x14ac:dyDescent="0.2">
      <c r="A1812" s="5">
        <v>1751</v>
      </c>
      <c r="B1812" s="138">
        <f>'Tax Sched 23'!E8</f>
        <v>61903</v>
      </c>
      <c r="D1812" s="2" t="str">
        <f t="shared" si="27"/>
        <v>Error?</v>
      </c>
    </row>
    <row r="1813" spans="1:4" x14ac:dyDescent="0.2">
      <c r="A1813" s="5">
        <v>1752</v>
      </c>
      <c r="B1813" s="138">
        <f>'Tax Sched 23'!E10</f>
        <v>21709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45944</v>
      </c>
      <c r="D1816" s="2" t="str">
        <f t="shared" si="27"/>
        <v>Error?</v>
      </c>
    </row>
    <row r="1817" spans="1:4" x14ac:dyDescent="0.2">
      <c r="A1817" s="5">
        <v>1756</v>
      </c>
      <c r="B1817" s="138">
        <f>'Tax Sched 23'!E12</f>
        <v>24772</v>
      </c>
      <c r="D1817" s="2" t="str">
        <f t="shared" si="27"/>
        <v>Error?</v>
      </c>
    </row>
    <row r="1818" spans="1:4" x14ac:dyDescent="0.2">
      <c r="A1818" s="5">
        <v>1757</v>
      </c>
      <c r="B1818" s="138">
        <f>'Tax Sched 23'!E14</f>
        <v>18055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2817036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3165000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16902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16902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16902</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23000</v>
      </c>
      <c r="D2008" s="2" t="str">
        <f t="shared" si="30"/>
        <v>Error?</v>
      </c>
    </row>
    <row r="2009" spans="1:4" x14ac:dyDescent="0.2">
      <c r="A2009" s="5">
        <v>1948</v>
      </c>
      <c r="B2009" s="138">
        <f>'Cap Outlay Deprec 26'!C8</f>
        <v>8151548</v>
      </c>
      <c r="D2009" s="2" t="str">
        <f t="shared" si="30"/>
        <v>Error?</v>
      </c>
    </row>
    <row r="2010" spans="1:4" x14ac:dyDescent="0.2">
      <c r="A2010" s="5">
        <v>1949</v>
      </c>
      <c r="B2010" s="138">
        <f>'Cap Outlay Deprec 26'!C10</f>
        <v>169200</v>
      </c>
      <c r="D2010" s="2" t="str">
        <f t="shared" si="30"/>
        <v>Error?</v>
      </c>
    </row>
    <row r="2011" spans="1:4" x14ac:dyDescent="0.2">
      <c r="A2011" s="5">
        <v>1950</v>
      </c>
      <c r="B2011" s="138">
        <f>'Cap Outlay Deprec 26'!C12</f>
        <v>861063</v>
      </c>
      <c r="D2011" s="2" t="str">
        <f t="shared" si="30"/>
        <v>Error?</v>
      </c>
    </row>
    <row r="2012" spans="1:4" x14ac:dyDescent="0.2">
      <c r="A2012" s="5">
        <v>1951</v>
      </c>
      <c r="B2012" s="138">
        <f>'Cap Outlay Deprec 26'!C13</f>
        <v>162626</v>
      </c>
      <c r="D2012" s="2" t="str">
        <f t="shared" si="30"/>
        <v>Error?</v>
      </c>
    </row>
    <row r="2013" spans="1:4" x14ac:dyDescent="0.2">
      <c r="A2013" s="5">
        <v>1952</v>
      </c>
      <c r="B2013" s="138">
        <f>'Cap Outlay Deprec 26'!C16</f>
        <v>9367437</v>
      </c>
      <c r="C2013" s="2" t="s">
        <v>573</v>
      </c>
      <c r="D2013" s="2" t="str">
        <f t="shared" si="30"/>
        <v>Error?</v>
      </c>
    </row>
    <row r="2014" spans="1:4" x14ac:dyDescent="0.2">
      <c r="A2014" s="5">
        <v>1953</v>
      </c>
      <c r="B2014" s="138">
        <f>'Cap Outlay Deprec 26'!D5</f>
        <v>2161</v>
      </c>
      <c r="D2014" s="2" t="str">
        <f t="shared" si="30"/>
        <v>Error?</v>
      </c>
    </row>
    <row r="2015" spans="1:4" x14ac:dyDescent="0.2">
      <c r="A2015" s="5">
        <v>1954</v>
      </c>
      <c r="B2015" s="138">
        <f>'Cap Outlay Deprec 26'!D8</f>
        <v>287817</v>
      </c>
      <c r="D2015" s="2" t="str">
        <f t="shared" si="30"/>
        <v>Error?</v>
      </c>
    </row>
    <row r="2016" spans="1:4" x14ac:dyDescent="0.2">
      <c r="A2016" s="5">
        <v>1955</v>
      </c>
      <c r="B2016" s="138">
        <f>'Cap Outlay Deprec 26'!D10</f>
        <v>45441</v>
      </c>
      <c r="D2016" s="2" t="str">
        <f t="shared" si="30"/>
        <v>Error?</v>
      </c>
    </row>
    <row r="2017" spans="1:4" x14ac:dyDescent="0.2">
      <c r="A2017" s="5">
        <v>1956</v>
      </c>
      <c r="B2017" s="138">
        <f>'Cap Outlay Deprec 26'!D12</f>
        <v>57649</v>
      </c>
      <c r="D2017" s="2" t="str">
        <f t="shared" si="30"/>
        <v>Error?</v>
      </c>
    </row>
    <row r="2018" spans="1:4" x14ac:dyDescent="0.2">
      <c r="A2018" s="5">
        <v>1957</v>
      </c>
      <c r="B2018" s="138">
        <f>'Cap Outlay Deprec 26'!D13</f>
        <v>59138</v>
      </c>
      <c r="D2018" s="2" t="str">
        <f t="shared" si="30"/>
        <v>Error?</v>
      </c>
    </row>
    <row r="2019" spans="1:4" x14ac:dyDescent="0.2">
      <c r="A2019" s="5">
        <v>1958</v>
      </c>
      <c r="B2019" s="138">
        <f>'Cap Outlay Deprec 26'!D16</f>
        <v>452206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45440</v>
      </c>
      <c r="D2024" s="2" t="str">
        <f t="shared" si="30"/>
        <v>Error?</v>
      </c>
    </row>
    <row r="2025" spans="1:4" x14ac:dyDescent="0.2">
      <c r="A2025" s="5">
        <v>1964</v>
      </c>
      <c r="B2025" s="138">
        <f>'Cap Outlay Deprec 26'!E16</f>
        <v>45440</v>
      </c>
      <c r="C2025" s="2" t="s">
        <v>573</v>
      </c>
      <c r="D2025" s="2" t="str">
        <f t="shared" si="30"/>
        <v>Error?</v>
      </c>
    </row>
    <row r="2026" spans="1:4" x14ac:dyDescent="0.2">
      <c r="A2026" s="5">
        <v>1965</v>
      </c>
      <c r="B2026" s="138">
        <f>'Cap Outlay Deprec 26'!F5</f>
        <v>25161</v>
      </c>
      <c r="C2026" s="2" t="s">
        <v>573</v>
      </c>
      <c r="D2026" s="2" t="str">
        <f t="shared" si="30"/>
        <v>Error?</v>
      </c>
    </row>
    <row r="2027" spans="1:4" x14ac:dyDescent="0.2">
      <c r="A2027" s="5">
        <v>1966</v>
      </c>
      <c r="B2027" s="138">
        <f>'Cap Outlay Deprec 26'!F8</f>
        <v>8439365</v>
      </c>
      <c r="C2027" s="2" t="s">
        <v>573</v>
      </c>
      <c r="D2027" s="2" t="str">
        <f t="shared" si="30"/>
        <v>Error?</v>
      </c>
    </row>
    <row r="2028" spans="1:4" x14ac:dyDescent="0.2">
      <c r="A2028" s="5">
        <v>1967</v>
      </c>
      <c r="B2028" s="138">
        <f>'Cap Outlay Deprec 26'!F10</f>
        <v>214641</v>
      </c>
      <c r="C2028" s="2" t="s">
        <v>573</v>
      </c>
      <c r="D2028" s="2" t="str">
        <f t="shared" si="30"/>
        <v>Error?</v>
      </c>
    </row>
    <row r="2029" spans="1:4" x14ac:dyDescent="0.2">
      <c r="A2029" s="5">
        <v>1968</v>
      </c>
      <c r="B2029" s="138">
        <f>'Cap Outlay Deprec 26'!F12</f>
        <v>918712</v>
      </c>
      <c r="C2029" s="2" t="s">
        <v>573</v>
      </c>
      <c r="D2029" s="2" t="str">
        <f t="shared" si="30"/>
        <v>Error?</v>
      </c>
    </row>
    <row r="2030" spans="1:4" x14ac:dyDescent="0.2">
      <c r="A2030" s="5">
        <v>1969</v>
      </c>
      <c r="B2030" s="138">
        <f>'Cap Outlay Deprec 26'!F13</f>
        <v>176324</v>
      </c>
      <c r="C2030" s="2" t="s">
        <v>573</v>
      </c>
      <c r="D2030" s="2" t="str">
        <f t="shared" si="30"/>
        <v>Error?</v>
      </c>
    </row>
    <row r="2031" spans="1:4" x14ac:dyDescent="0.2">
      <c r="A2031" s="5">
        <v>1970</v>
      </c>
      <c r="B2031" s="138">
        <f>'Cap Outlay Deprec 26'!F16</f>
        <v>9774203</v>
      </c>
      <c r="C2031" s="2" t="s">
        <v>573</v>
      </c>
      <c r="D2031" s="2" t="str">
        <f t="shared" si="30"/>
        <v>Error?</v>
      </c>
    </row>
    <row r="2032" spans="1:4" x14ac:dyDescent="0.2">
      <c r="A2032" s="10">
        <v>1971</v>
      </c>
      <c r="D2032" s="2" t="str">
        <f t="shared" si="30"/>
        <v>OK</v>
      </c>
    </row>
    <row r="2033" spans="1:4" x14ac:dyDescent="0.2">
      <c r="A2033" s="5">
        <v>1972</v>
      </c>
      <c r="B2033" s="138">
        <f>'Cap Outlay Deprec 26'!H8</f>
        <v>5095693</v>
      </c>
      <c r="D2033" s="2" t="str">
        <f t="shared" si="30"/>
        <v>Error?</v>
      </c>
    </row>
    <row r="2034" spans="1:4" x14ac:dyDescent="0.2">
      <c r="A2034" s="5">
        <v>1973</v>
      </c>
      <c r="B2034" s="138">
        <f>'Cap Outlay Deprec 26'!H10</f>
        <v>86573</v>
      </c>
      <c r="D2034" s="2" t="str">
        <f t="shared" si="30"/>
        <v>Error?</v>
      </c>
    </row>
    <row r="2035" spans="1:4" x14ac:dyDescent="0.2">
      <c r="A2035" s="5">
        <v>1974</v>
      </c>
      <c r="B2035" s="138">
        <f>'Cap Outlay Deprec 26'!H12</f>
        <v>206422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5388688</v>
      </c>
      <c r="C2037" s="2" t="s">
        <v>573</v>
      </c>
      <c r="D2037" s="2" t="str">
        <f t="shared" si="30"/>
        <v>Error?</v>
      </c>
    </row>
    <row r="2038" spans="1:4" x14ac:dyDescent="0.2">
      <c r="A2038" s="10">
        <v>1977</v>
      </c>
      <c r="D2038" s="2" t="str">
        <f t="shared" si="30"/>
        <v>OK</v>
      </c>
    </row>
    <row r="2039" spans="1:4" x14ac:dyDescent="0.2">
      <c r="A2039" s="5">
        <v>1978</v>
      </c>
      <c r="B2039" s="138">
        <f>'Cap Outlay Deprec 26'!I8</f>
        <v>168788</v>
      </c>
      <c r="D2039" s="2" t="str">
        <f t="shared" si="30"/>
        <v>Error?</v>
      </c>
    </row>
    <row r="2040" spans="1:4" x14ac:dyDescent="0.2">
      <c r="A2040" s="5">
        <v>1979</v>
      </c>
      <c r="B2040" s="138">
        <f>'Cap Outlay Deprec 26'!I10</f>
        <v>9372</v>
      </c>
      <c r="D2040" s="2" t="str">
        <f t="shared" si="30"/>
        <v>Error?</v>
      </c>
    </row>
    <row r="2041" spans="1:4" x14ac:dyDescent="0.2">
      <c r="A2041" s="5">
        <v>1980</v>
      </c>
      <c r="B2041" s="138">
        <f>'Cap Outlay Deprec 26'!I12</f>
        <v>43447</v>
      </c>
      <c r="D2041" s="2" t="str">
        <f t="shared" si="30"/>
        <v>Error?</v>
      </c>
    </row>
    <row r="2042" spans="1:4" x14ac:dyDescent="0.2">
      <c r="A2042" s="5">
        <v>1981</v>
      </c>
      <c r="B2042" s="138">
        <f>'Cap Outlay Deprec 26'!I13</f>
        <v>11828</v>
      </c>
      <c r="D2042" s="2" t="str">
        <f t="shared" si="30"/>
        <v>Error?</v>
      </c>
    </row>
    <row r="2043" spans="1:4" x14ac:dyDescent="0.2">
      <c r="A2043" s="5">
        <v>1982</v>
      </c>
      <c r="B2043" s="138">
        <f>'Cap Outlay Deprec 26'!I16</f>
        <v>233435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45440</v>
      </c>
      <c r="D2048" s="2" t="str">
        <f t="shared" si="31"/>
        <v>Error?</v>
      </c>
    </row>
    <row r="2049" spans="1:4" x14ac:dyDescent="0.2">
      <c r="A2049" s="5">
        <v>1988</v>
      </c>
      <c r="B2049" s="138">
        <f>'Cap Outlay Deprec 26'!J16</f>
        <v>45440</v>
      </c>
      <c r="C2049" s="2" t="s">
        <v>573</v>
      </c>
      <c r="D2049" s="2" t="str">
        <f t="shared" si="31"/>
        <v>Error?</v>
      </c>
    </row>
    <row r="2050" spans="1:4" x14ac:dyDescent="0.2">
      <c r="A2050" s="10">
        <v>1989</v>
      </c>
      <c r="D2050" s="2" t="str">
        <f t="shared" si="31"/>
        <v>OK</v>
      </c>
    </row>
    <row r="2051" spans="1:4" x14ac:dyDescent="0.2">
      <c r="A2051" s="5">
        <v>1990</v>
      </c>
      <c r="B2051" s="138">
        <f>'Cap Outlay Deprec 26'!K8</f>
        <v>5264481</v>
      </c>
      <c r="C2051" s="2" t="s">
        <v>573</v>
      </c>
      <c r="D2051" s="2" t="str">
        <f t="shared" si="31"/>
        <v>Error?</v>
      </c>
    </row>
    <row r="2052" spans="1:4" x14ac:dyDescent="0.2">
      <c r="A2052" s="5">
        <v>1991</v>
      </c>
      <c r="B2052" s="138">
        <f>'Cap Outlay Deprec 26'!K10</f>
        <v>95945</v>
      </c>
      <c r="C2052" s="2" t="s">
        <v>573</v>
      </c>
      <c r="D2052" s="2" t="str">
        <f t="shared" si="31"/>
        <v>Error?</v>
      </c>
    </row>
    <row r="2053" spans="1:4" x14ac:dyDescent="0.2">
      <c r="A2053" s="5">
        <v>1992</v>
      </c>
      <c r="B2053" s="138">
        <f>'Cap Outlay Deprec 26'!K12</f>
        <v>249869</v>
      </c>
      <c r="C2053" s="2" t="s">
        <v>573</v>
      </c>
      <c r="D2053" s="2" t="str">
        <f t="shared" si="31"/>
        <v>Error?</v>
      </c>
    </row>
    <row r="2054" spans="1:4" x14ac:dyDescent="0.2">
      <c r="A2054" s="5">
        <v>1993</v>
      </c>
      <c r="B2054" s="138">
        <f>'Cap Outlay Deprec 26'!K13</f>
        <v>-33612</v>
      </c>
      <c r="C2054" s="2" t="s">
        <v>573</v>
      </c>
      <c r="D2054" s="2" t="str">
        <f t="shared" si="31"/>
        <v>Error?</v>
      </c>
    </row>
    <row r="2055" spans="1:4" x14ac:dyDescent="0.2">
      <c r="A2055" s="5">
        <v>1994</v>
      </c>
      <c r="B2055" s="138">
        <f>'Cap Outlay Deprec 26'!K16</f>
        <v>5576683</v>
      </c>
      <c r="C2055" s="2" t="s">
        <v>573</v>
      </c>
      <c r="D2055" s="2" t="str">
        <f t="shared" si="31"/>
        <v>Error?</v>
      </c>
    </row>
    <row r="2056" spans="1:4" x14ac:dyDescent="0.2">
      <c r="A2056" s="5">
        <v>1995</v>
      </c>
      <c r="B2056" s="138">
        <f>'Cap Outlay Deprec 26'!L5</f>
        <v>25161</v>
      </c>
      <c r="C2056" s="2" t="s">
        <v>573</v>
      </c>
      <c r="D2056" s="2" t="str">
        <f t="shared" si="31"/>
        <v>Error?</v>
      </c>
    </row>
    <row r="2057" spans="1:4" x14ac:dyDescent="0.2">
      <c r="A2057" s="5">
        <v>1996</v>
      </c>
      <c r="B2057" s="138">
        <f>'Cap Outlay Deprec 26'!L8</f>
        <v>3174884</v>
      </c>
      <c r="C2057" s="2" t="s">
        <v>573</v>
      </c>
      <c r="D2057" s="2" t="str">
        <f t="shared" si="31"/>
        <v>Error?</v>
      </c>
    </row>
    <row r="2058" spans="1:4" x14ac:dyDescent="0.2">
      <c r="A2058" s="5">
        <v>1997</v>
      </c>
      <c r="B2058" s="138">
        <f>'Cap Outlay Deprec 26'!L10</f>
        <v>118696</v>
      </c>
      <c r="C2058" s="2" t="s">
        <v>573</v>
      </c>
      <c r="D2058" s="2" t="str">
        <f t="shared" si="31"/>
        <v>Error?</v>
      </c>
    </row>
    <row r="2059" spans="1:4" x14ac:dyDescent="0.2">
      <c r="A2059" s="5">
        <v>1998</v>
      </c>
      <c r="B2059" s="138">
        <f>'Cap Outlay Deprec 26'!L12</f>
        <v>668843</v>
      </c>
      <c r="C2059" s="2" t="s">
        <v>573</v>
      </c>
      <c r="D2059" s="2" t="str">
        <f t="shared" si="31"/>
        <v>Error?</v>
      </c>
    </row>
    <row r="2060" spans="1:4" x14ac:dyDescent="0.2">
      <c r="A2060" s="5">
        <v>1999</v>
      </c>
      <c r="B2060" s="138">
        <f>'Cap Outlay Deprec 26'!L13</f>
        <v>209936</v>
      </c>
      <c r="C2060" s="2" t="s">
        <v>573</v>
      </c>
      <c r="D2060" s="2" t="str">
        <f t="shared" si="31"/>
        <v>Error?</v>
      </c>
    </row>
    <row r="2061" spans="1:4" x14ac:dyDescent="0.2">
      <c r="A2061" s="5">
        <v>2000</v>
      </c>
      <c r="B2061" s="138">
        <f>'Cap Outlay Deprec 26'!L16</f>
        <v>4197520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132421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1977247</v>
      </c>
      <c r="C2551" s="2" t="s">
        <v>573</v>
      </c>
      <c r="D2551" s="2" t="str">
        <f t="shared" si="38"/>
        <v>Error?</v>
      </c>
    </row>
    <row r="2552" spans="1:4" x14ac:dyDescent="0.2">
      <c r="A2552" s="10">
        <v>2491</v>
      </c>
      <c r="D2552" s="2" t="str">
        <f t="shared" si="38"/>
        <v>OK</v>
      </c>
    </row>
    <row r="2553" spans="1:4" x14ac:dyDescent="0.2">
      <c r="A2553" s="5">
        <v>2492</v>
      </c>
      <c r="B2553" s="138">
        <f>'Acct Summary 7-8'!C6</f>
        <v>1098815</v>
      </c>
      <c r="C2553" s="2" t="s">
        <v>573</v>
      </c>
      <c r="D2553" s="2" t="str">
        <f t="shared" si="38"/>
        <v>Error?</v>
      </c>
    </row>
    <row r="2554" spans="1:4" x14ac:dyDescent="0.2">
      <c r="A2554" s="5">
        <v>2493</v>
      </c>
      <c r="B2554" s="138">
        <f>'Acct Summary 7-8'!C7</f>
        <v>280500</v>
      </c>
      <c r="C2554" s="2" t="s">
        <v>573</v>
      </c>
      <c r="D2554" s="2" t="str">
        <f t="shared" si="38"/>
        <v>Error?</v>
      </c>
    </row>
    <row r="2555" spans="1:4" x14ac:dyDescent="0.2">
      <c r="A2555" s="5">
        <v>2494</v>
      </c>
      <c r="B2555" s="138">
        <f>'Acct Summary 7-8'!C8</f>
        <v>3356562</v>
      </c>
      <c r="C2555" s="2" t="s">
        <v>573</v>
      </c>
      <c r="D2555" s="2" t="str">
        <f t="shared" si="38"/>
        <v>Error?</v>
      </c>
    </row>
    <row r="2556" spans="1:4" x14ac:dyDescent="0.2">
      <c r="A2556" s="5">
        <v>2495</v>
      </c>
      <c r="B2556" s="138">
        <f>'Acct Summary 7-8'!C12</f>
        <v>2248332</v>
      </c>
      <c r="C2556" s="2" t="s">
        <v>573</v>
      </c>
      <c r="D2556" s="2" t="str">
        <f t="shared" si="38"/>
        <v>Error?</v>
      </c>
    </row>
    <row r="2557" spans="1:4" x14ac:dyDescent="0.2">
      <c r="A2557" s="5">
        <v>2496</v>
      </c>
      <c r="B2557" s="138">
        <f>'Acct Summary 7-8'!C13</f>
        <v>853462</v>
      </c>
      <c r="C2557" s="2" t="s">
        <v>573</v>
      </c>
      <c r="D2557" s="2" t="str">
        <f t="shared" si="38"/>
        <v>Error?</v>
      </c>
    </row>
    <row r="2558" spans="1:4" x14ac:dyDescent="0.2">
      <c r="A2558" s="5">
        <v>2497</v>
      </c>
      <c r="B2558" s="138">
        <f>'Acct Summary 7-8'!C14</f>
        <v>1547</v>
      </c>
      <c r="C2558" s="2" t="s">
        <v>573</v>
      </c>
      <c r="D2558" s="2" t="str">
        <f t="shared" si="38"/>
        <v>Error?</v>
      </c>
    </row>
    <row r="2559" spans="1:4" x14ac:dyDescent="0.2">
      <c r="A2559" s="5">
        <v>2498</v>
      </c>
      <c r="B2559" s="138">
        <f>'Acct Summary 7-8'!C15</f>
        <v>132421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3235762</v>
      </c>
      <c r="C2561" s="2" t="s">
        <v>573</v>
      </c>
      <c r="D2561" s="2" t="str">
        <f t="shared" si="39"/>
        <v>Error?</v>
      </c>
    </row>
    <row r="2562" spans="1:4" x14ac:dyDescent="0.2">
      <c r="A2562" s="5">
        <v>2501</v>
      </c>
      <c r="B2562" s="138">
        <f>'Acct Summary 7-8'!C20</f>
        <v>120800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407429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407429</v>
      </c>
      <c r="C2568" s="2" t="s">
        <v>573</v>
      </c>
      <c r="D2568" s="2" t="str">
        <f t="shared" si="39"/>
        <v>Error?</v>
      </c>
    </row>
    <row r="2569" spans="1:4" x14ac:dyDescent="0.2">
      <c r="A2569" s="5">
        <v>2508</v>
      </c>
      <c r="B2569" s="138">
        <f>'Acct Summary 7-8'!D13</f>
        <v>398327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398327</v>
      </c>
      <c r="C2573" s="2" t="s">
        <v>573</v>
      </c>
      <c r="D2573" s="2" t="str">
        <f t="shared" si="39"/>
        <v>Error?</v>
      </c>
    </row>
    <row r="2574" spans="1:4" x14ac:dyDescent="0.2">
      <c r="A2574" s="5">
        <v>2513</v>
      </c>
      <c r="B2574" s="138">
        <f>'Acct Summary 7-8'!D20</f>
        <v>9102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180421</v>
      </c>
      <c r="C2591" s="2" t="s">
        <v>573</v>
      </c>
      <c r="D2591" s="2" t="str">
        <f t="shared" si="39"/>
        <v>Error?</v>
      </c>
    </row>
    <row r="2592" spans="1:4" x14ac:dyDescent="0.2">
      <c r="A2592" s="10">
        <v>2531</v>
      </c>
      <c r="D2592" s="2" t="str">
        <f t="shared" si="39"/>
        <v>OK</v>
      </c>
    </row>
    <row r="2593" spans="1:4" x14ac:dyDescent="0.2">
      <c r="A2593" s="5">
        <v>2532</v>
      </c>
      <c r="B2593" s="138">
        <f>'Acct Summary 7-8'!F6</f>
        <v>143625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324046</v>
      </c>
      <c r="C2595" s="2" t="s">
        <v>573</v>
      </c>
      <c r="D2595" s="2" t="str">
        <f t="shared" si="39"/>
        <v>Error?</v>
      </c>
    </row>
    <row r="2596" spans="1:4" x14ac:dyDescent="0.2">
      <c r="A2596" s="5">
        <v>2535</v>
      </c>
      <c r="B2596" s="138">
        <f>'Acct Summary 7-8'!F13</f>
        <v>298687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298687</v>
      </c>
      <c r="C2600" s="2" t="s">
        <v>573</v>
      </c>
      <c r="D2600" s="2" t="str">
        <f t="shared" si="39"/>
        <v>Error?</v>
      </c>
    </row>
    <row r="2601" spans="1:4" x14ac:dyDescent="0.2">
      <c r="A2601" s="5">
        <v>2540</v>
      </c>
      <c r="B2601" s="138">
        <f>'Acct Summary 7-8'!F20</f>
        <v>25359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120836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120836</v>
      </c>
      <c r="C2606" s="2" t="s">
        <v>573</v>
      </c>
      <c r="D2606" s="2" t="str">
        <f t="shared" si="39"/>
        <v>Error?</v>
      </c>
    </row>
    <row r="2607" spans="1:4" x14ac:dyDescent="0.2">
      <c r="A2607" s="5">
        <v>2546</v>
      </c>
      <c r="B2607" s="138">
        <f>'Acct Summary 7-8'!G12</f>
        <v>51009</v>
      </c>
      <c r="C2607" s="2" t="s">
        <v>573</v>
      </c>
      <c r="D2607" s="2" t="str">
        <f t="shared" si="39"/>
        <v>Error?</v>
      </c>
    </row>
    <row r="2608" spans="1:4" x14ac:dyDescent="0.2">
      <c r="A2608" s="5">
        <v>2547</v>
      </c>
      <c r="B2608" s="138">
        <f>'Acct Summary 7-8'!G13</f>
        <v>65599</v>
      </c>
      <c r="C2608" s="2" t="s">
        <v>573</v>
      </c>
      <c r="D2608" s="2" t="str">
        <f t="shared" si="39"/>
        <v>Error?</v>
      </c>
    </row>
    <row r="2609" spans="1:4" x14ac:dyDescent="0.2">
      <c r="A2609" s="5">
        <v>2548</v>
      </c>
      <c r="B2609" s="138">
        <f>'Acct Summary 7-8'!G14</f>
        <v>45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116653</v>
      </c>
      <c r="C2612" s="2" t="s">
        <v>573</v>
      </c>
      <c r="D2612" s="2" t="str">
        <f t="shared" si="39"/>
        <v>Error?</v>
      </c>
    </row>
    <row r="2613" spans="1:4" x14ac:dyDescent="0.2">
      <c r="A2613" s="5">
        <v>2552</v>
      </c>
      <c r="B2613" s="138">
        <f>'Acct Summary 7-8'!G20</f>
        <v>4183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288025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288025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301395</v>
      </c>
      <c r="C2634" s="2" t="s">
        <v>573</v>
      </c>
      <c r="D2634" s="2" t="str">
        <f t="shared" si="40"/>
        <v>Error?</v>
      </c>
    </row>
    <row r="2635" spans="1:4" x14ac:dyDescent="0.2">
      <c r="A2635" s="5">
        <v>2574</v>
      </c>
      <c r="B2635" s="138">
        <f>'Acct Summary 7-8'!E17</f>
        <v>301395</v>
      </c>
      <c r="C2635" s="2" t="s">
        <v>573</v>
      </c>
      <c r="D2635" s="2" t="str">
        <f t="shared" si="40"/>
        <v>Error?</v>
      </c>
    </row>
    <row r="2636" spans="1:4" x14ac:dyDescent="0.2">
      <c r="A2636" s="5">
        <v>2575</v>
      </c>
      <c r="B2636" s="138">
        <f>'Acct Summary 7-8'!E20</f>
        <v>-13370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227591</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227591</v>
      </c>
      <c r="C2658" s="2" t="s">
        <v>573</v>
      </c>
      <c r="D2658" s="2" t="str">
        <f t="shared" si="40"/>
        <v>Error?</v>
      </c>
    </row>
    <row r="2659" spans="1:4" x14ac:dyDescent="0.2">
      <c r="A2659" s="5">
        <v>2598</v>
      </c>
      <c r="B2659" s="138">
        <f>'Acct Summary 7-8'!H13</f>
        <v>237394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237394</v>
      </c>
      <c r="C2661" s="2" t="s">
        <v>573</v>
      </c>
      <c r="D2661" s="2" t="str">
        <f t="shared" si="40"/>
        <v>Error?</v>
      </c>
    </row>
    <row r="2662" spans="1:4" x14ac:dyDescent="0.2">
      <c r="A2662" s="5">
        <v>2601</v>
      </c>
      <c r="B2662" s="138">
        <f>'Acct Summary 7-8'!H20</f>
        <v>-9803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63721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308097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203039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308097</v>
      </c>
      <c r="D2912" s="2" t="str">
        <f t="shared" si="44"/>
        <v>Error?</v>
      </c>
    </row>
    <row r="2913" spans="1:4" x14ac:dyDescent="0.2">
      <c r="A2913" s="5">
        <v>2852</v>
      </c>
      <c r="B2913" s="138">
        <f>'Assets-Liab 5-6'!I41</f>
        <v>308097</v>
      </c>
      <c r="C2913" s="2" t="s">
        <v>573</v>
      </c>
      <c r="D2913" s="2" t="str">
        <f t="shared" si="44"/>
        <v>Error?</v>
      </c>
    </row>
    <row r="2914" spans="1:4" x14ac:dyDescent="0.2">
      <c r="A2914" s="5">
        <v>2853</v>
      </c>
      <c r="B2914" s="138">
        <f>'Assets-Liab 5-6'!L33</f>
        <v>203039</v>
      </c>
      <c r="D2914" s="2" t="str">
        <f t="shared" si="44"/>
        <v>Error?</v>
      </c>
    </row>
    <row r="2915" spans="1:4" x14ac:dyDescent="0.2">
      <c r="A2915" s="10">
        <v>2854</v>
      </c>
      <c r="D2915" s="2" t="str">
        <f t="shared" si="44"/>
        <v>OK</v>
      </c>
    </row>
    <row r="2916" spans="1:4" x14ac:dyDescent="0.2">
      <c r="A2916" s="5">
        <v>2855</v>
      </c>
      <c r="B2916" s="138">
        <f>'Assets-Liab 5-6'!L34</f>
        <v>203039</v>
      </c>
      <c r="C2916" s="2" t="s">
        <v>573</v>
      </c>
      <c r="D2916" s="2" t="str">
        <f t="shared" si="44"/>
        <v>Error?</v>
      </c>
    </row>
    <row r="2917" spans="1:4" x14ac:dyDescent="0.2">
      <c r="A2917" s="5">
        <v>2856</v>
      </c>
      <c r="B2917" s="138">
        <f>'Assets-Liab 5-6'!L41</f>
        <v>203039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46981</v>
      </c>
      <c r="D3055" s="2" t="str">
        <f t="shared" si="46"/>
        <v>Error?</v>
      </c>
    </row>
    <row r="3056" spans="1:4" x14ac:dyDescent="0.2">
      <c r="A3056" s="5">
        <v>2995</v>
      </c>
      <c r="B3056" s="138">
        <f>'Expenditures 15-22'!D10</f>
        <v>11219</v>
      </c>
      <c r="D3056" s="2" t="str">
        <f t="shared" si="46"/>
        <v>Error?</v>
      </c>
    </row>
    <row r="3057" spans="1:4" x14ac:dyDescent="0.2">
      <c r="A3057" s="5">
        <v>2996</v>
      </c>
      <c r="B3057" s="138">
        <f>'Expenditures 15-22'!E10</f>
        <v>3525</v>
      </c>
      <c r="D3057" s="2" t="str">
        <f t="shared" si="46"/>
        <v>Error?</v>
      </c>
    </row>
    <row r="3058" spans="1:4" x14ac:dyDescent="0.2">
      <c r="A3058" s="5">
        <v>2997</v>
      </c>
      <c r="B3058" s="138">
        <f>'Expenditures 15-22'!F10</f>
        <v>25659</v>
      </c>
      <c r="D3058" s="2" t="str">
        <f t="shared" si="46"/>
        <v>Error?</v>
      </c>
    </row>
    <row r="3059" spans="1:4" x14ac:dyDescent="0.2">
      <c r="A3059" s="5">
        <v>2998</v>
      </c>
      <c r="B3059" s="138">
        <f>'Expenditures 15-22'!G10</f>
        <v>7860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95244</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22192</v>
      </c>
      <c r="C3225" s="2" t="s">
        <v>573</v>
      </c>
      <c r="D3225" s="2" t="str">
        <f t="shared" si="49"/>
        <v>Error?</v>
      </c>
    </row>
    <row r="3226" spans="1:4" x14ac:dyDescent="0.2">
      <c r="A3226" s="5">
        <v>3165</v>
      </c>
      <c r="B3226" s="138">
        <f>'Acct Summary 7-8'!I8</f>
        <v>22192</v>
      </c>
      <c r="C3226" s="2" t="s">
        <v>573</v>
      </c>
      <c r="D3226" s="2" t="str">
        <f t="shared" si="49"/>
        <v>Error?</v>
      </c>
    </row>
    <row r="3227" spans="1:4" x14ac:dyDescent="0.2">
      <c r="A3227" s="5">
        <v>3166</v>
      </c>
      <c r="B3227" s="138">
        <f>'Acct Summary 7-8'!I20</f>
        <v>22192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120800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9102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25359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4183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-13370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-9803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22192</v>
      </c>
      <c r="C3320" s="2" t="s">
        <v>573</v>
      </c>
      <c r="D3320" s="2" t="str">
        <f t="shared" si="50"/>
        <v>Error?</v>
      </c>
    </row>
    <row r="3321" spans="1:4" x14ac:dyDescent="0.2">
      <c r="A3321" s="5">
        <v>3260</v>
      </c>
      <c r="B3321" s="138">
        <f>'Acct Summary 7-8'!I79</f>
        <v>285905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308097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269196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40060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74660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383916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27530</v>
      </c>
      <c r="D3387" s="2" t="str">
        <f t="shared" si="51"/>
        <v>Error?</v>
      </c>
    </row>
    <row r="3388" spans="1:4" x14ac:dyDescent="0.2">
      <c r="A3388" s="5">
        <v>3327</v>
      </c>
      <c r="B3388" s="138">
        <f>'Expenditures 15-22'!D217</f>
        <v>11757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27530</v>
      </c>
      <c r="C3390" s="2" t="s">
        <v>573</v>
      </c>
      <c r="D3390" s="2" t="str">
        <f t="shared" si="51"/>
        <v>Error?</v>
      </c>
    </row>
    <row r="3391" spans="1:4" x14ac:dyDescent="0.2">
      <c r="A3391" s="5">
        <v>3330</v>
      </c>
      <c r="B3391" s="138">
        <f>'Expenditures 15-22'!K217</f>
        <v>11757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1280897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431570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136176</v>
      </c>
      <c r="D3417" s="2" t="str">
        <f t="shared" si="52"/>
        <v>Error?</v>
      </c>
    </row>
    <row r="3418" spans="1:4" x14ac:dyDescent="0.2">
      <c r="A3418" s="10">
        <v>3357</v>
      </c>
      <c r="D3418" s="2" t="str">
        <f t="shared" si="52"/>
        <v>OK</v>
      </c>
    </row>
    <row r="3419" spans="1:4" x14ac:dyDescent="0.2">
      <c r="A3419" s="5">
        <v>3358</v>
      </c>
      <c r="B3419" s="138">
        <f>'Assets-Liab 5-6'!F4</f>
        <v>490926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67811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263531</v>
      </c>
      <c r="D3425" s="2" t="str">
        <f t="shared" si="52"/>
        <v>Error?</v>
      </c>
    </row>
    <row r="3426" spans="1:4" x14ac:dyDescent="0.2">
      <c r="A3426" s="10">
        <v>3365</v>
      </c>
      <c r="D3426" s="2" t="str">
        <f t="shared" si="52"/>
        <v>OK</v>
      </c>
    </row>
    <row r="3427" spans="1:4" x14ac:dyDescent="0.2">
      <c r="A3427" s="5">
        <v>3366</v>
      </c>
      <c r="B3427" s="138">
        <f>'Assets-Liab 5-6'!I4</f>
        <v>244376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203039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58152</v>
      </c>
      <c r="C3446" s="2" t="s">
        <v>573</v>
      </c>
      <c r="D3446" s="2" t="str">
        <f t="shared" si="52"/>
        <v>Error?</v>
      </c>
    </row>
    <row r="3447" spans="1:4" x14ac:dyDescent="0.2">
      <c r="A3447" s="5">
        <v>3386</v>
      </c>
      <c r="B3447" s="138">
        <f>'Tax Sched 23'!D16</f>
        <v>26030</v>
      </c>
      <c r="C3447" s="2" t="s">
        <v>573</v>
      </c>
      <c r="D3447" s="2" t="str">
        <f t="shared" si="52"/>
        <v>Error?</v>
      </c>
    </row>
    <row r="3448" spans="1:4" x14ac:dyDescent="0.2">
      <c r="A3448" s="5">
        <v>3387</v>
      </c>
      <c r="B3448" s="138">
        <f>'Tax Sched 23'!C16</f>
        <v>32122</v>
      </c>
      <c r="D3448" s="2" t="str">
        <f t="shared" si="52"/>
        <v>Error?</v>
      </c>
    </row>
    <row r="3449" spans="1:4" x14ac:dyDescent="0.2">
      <c r="A3449" s="5">
        <v>3388</v>
      </c>
      <c r="B3449" s="138">
        <f>'Tax Sched 23'!F16</f>
        <v>29781</v>
      </c>
      <c r="C3449" s="2" t="s">
        <v>573</v>
      </c>
      <c r="D3449" s="2" t="str">
        <f t="shared" si="52"/>
        <v>Error?</v>
      </c>
    </row>
    <row r="3450" spans="1:4" x14ac:dyDescent="0.2">
      <c r="A3450" s="5">
        <v>3389</v>
      </c>
      <c r="B3450" s="138">
        <f>'Tax Sched 23'!E16</f>
        <v>61903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131342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131342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131342</v>
      </c>
      <c r="D3567" s="2" t="str">
        <f t="shared" si="54"/>
        <v>Error?</v>
      </c>
    </row>
    <row r="3568" spans="1:4" x14ac:dyDescent="0.2">
      <c r="A3568" s="5">
        <v>3507</v>
      </c>
      <c r="B3568" s="138">
        <f>'Assets-Liab 5-6'!K41</f>
        <v>131342</v>
      </c>
      <c r="C3568" s="2" t="s">
        <v>573</v>
      </c>
      <c r="D3568" s="2" t="str">
        <f t="shared" si="54"/>
        <v>Error?</v>
      </c>
    </row>
    <row r="3569" spans="1:4" x14ac:dyDescent="0.2">
      <c r="A3569" s="5">
        <v>3508</v>
      </c>
      <c r="B3569" s="138">
        <f>'Acct Summary 7-8'!K4</f>
        <v>23280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23280</v>
      </c>
      <c r="C3571" s="2" t="s">
        <v>573</v>
      </c>
      <c r="D3571" s="2" t="str">
        <f t="shared" si="54"/>
        <v>Error?</v>
      </c>
    </row>
    <row r="3572" spans="1:4" x14ac:dyDescent="0.2">
      <c r="A3572" s="5">
        <v>3511</v>
      </c>
      <c r="B3572" s="138">
        <f>'Acct Summary 7-8'!K13</f>
        <v>2330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2330</v>
      </c>
      <c r="C3575" s="2" t="s">
        <v>573</v>
      </c>
      <c r="D3575" s="2" t="str">
        <f t="shared" si="54"/>
        <v>Error?</v>
      </c>
    </row>
    <row r="3576" spans="1:4" x14ac:dyDescent="0.2">
      <c r="A3576" s="5">
        <v>3515</v>
      </c>
      <c r="B3576" s="138">
        <f>'Acct Summary 7-8'!K20</f>
        <v>20950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20950</v>
      </c>
      <c r="C3588" s="2" t="s">
        <v>573</v>
      </c>
      <c r="D3588" s="2" t="str">
        <f t="shared" si="55"/>
        <v>Error?</v>
      </c>
    </row>
    <row r="3589" spans="1:4" x14ac:dyDescent="0.2">
      <c r="A3589" s="5">
        <v>3528</v>
      </c>
      <c r="B3589" s="138">
        <f>'Acct Summary 7-8'!K79</f>
        <v>110392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131342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2330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2330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2330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2330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2330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2330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2330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20950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206789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3563351</v>
      </c>
      <c r="C4122" s="2" t="s">
        <v>573</v>
      </c>
      <c r="D4122" s="2" t="str">
        <f t="shared" si="63"/>
        <v>Error?</v>
      </c>
    </row>
    <row r="4123" spans="1:4" x14ac:dyDescent="0.2">
      <c r="A4123" s="5">
        <v>4062</v>
      </c>
      <c r="B4123" s="138">
        <f>'Acct Summary 7-8'!D10</f>
        <v>407429</v>
      </c>
      <c r="C4123" s="2" t="s">
        <v>573</v>
      </c>
      <c r="D4123" s="2" t="str">
        <f t="shared" si="63"/>
        <v>Error?</v>
      </c>
    </row>
    <row r="4124" spans="1:4" x14ac:dyDescent="0.2">
      <c r="A4124" s="5">
        <v>4063</v>
      </c>
      <c r="B4124" s="138">
        <f>'Acct Summary 7-8'!E10</f>
        <v>288025</v>
      </c>
      <c r="C4124" s="2" t="s">
        <v>573</v>
      </c>
      <c r="D4124" s="2" t="str">
        <f t="shared" si="63"/>
        <v>Error?</v>
      </c>
    </row>
    <row r="4125" spans="1:4" x14ac:dyDescent="0.2">
      <c r="A4125" s="5">
        <v>4064</v>
      </c>
      <c r="B4125" s="138">
        <f>'Acct Summary 7-8'!F10</f>
        <v>324046</v>
      </c>
      <c r="C4125" s="2" t="s">
        <v>573</v>
      </c>
      <c r="D4125" s="2" t="str">
        <f t="shared" si="63"/>
        <v>Error?</v>
      </c>
    </row>
    <row r="4126" spans="1:4" x14ac:dyDescent="0.2">
      <c r="A4126" s="5">
        <v>4065</v>
      </c>
      <c r="B4126" s="138">
        <f>'Acct Summary 7-8'!G10</f>
        <v>120836</v>
      </c>
      <c r="C4126" s="2" t="s">
        <v>573</v>
      </c>
      <c r="D4126" s="2" t="str">
        <f t="shared" si="63"/>
        <v>Error?</v>
      </c>
    </row>
    <row r="4127" spans="1:4" x14ac:dyDescent="0.2">
      <c r="A4127" s="5">
        <v>4066</v>
      </c>
      <c r="B4127" s="138">
        <f>'Acct Summary 7-8'!H10</f>
        <v>227591</v>
      </c>
      <c r="C4127" s="2" t="s">
        <v>573</v>
      </c>
      <c r="D4127" s="2" t="str">
        <f t="shared" si="63"/>
        <v>Error?</v>
      </c>
    </row>
    <row r="4128" spans="1:4" x14ac:dyDescent="0.2">
      <c r="A4128" s="5">
        <v>4067</v>
      </c>
      <c r="B4128" s="138">
        <f>'Acct Summary 7-8'!I10</f>
        <v>22192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23280</v>
      </c>
      <c r="C4130" s="2" t="s">
        <v>573</v>
      </c>
      <c r="D4130" s="2" t="str">
        <f t="shared" si="63"/>
        <v>Error?</v>
      </c>
    </row>
    <row r="4131" spans="1:4" x14ac:dyDescent="0.2">
      <c r="A4131" s="5">
        <v>4070</v>
      </c>
      <c r="B4131" s="138">
        <f>'Acct Summary 7-8'!C18</f>
        <v>206789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3442551</v>
      </c>
      <c r="C4136" s="2" t="s">
        <v>573</v>
      </c>
      <c r="D4136" s="2" t="str">
        <f t="shared" si="63"/>
        <v>Error?</v>
      </c>
    </row>
    <row r="4137" spans="1:4" x14ac:dyDescent="0.2">
      <c r="A4137" s="5">
        <v>4076</v>
      </c>
      <c r="B4137" s="138">
        <f>'Acct Summary 7-8'!D19</f>
        <v>398327</v>
      </c>
      <c r="C4137" s="2" t="s">
        <v>573</v>
      </c>
      <c r="D4137" s="2" t="str">
        <f t="shared" si="63"/>
        <v>Error?</v>
      </c>
    </row>
    <row r="4138" spans="1:4" x14ac:dyDescent="0.2">
      <c r="A4138" s="5">
        <v>4077</v>
      </c>
      <c r="B4138" s="138">
        <f>'Acct Summary 7-8'!E19</f>
        <v>301395</v>
      </c>
      <c r="C4138" s="2" t="s">
        <v>573</v>
      </c>
      <c r="D4138" s="2" t="str">
        <f t="shared" si="63"/>
        <v>Error?</v>
      </c>
    </row>
    <row r="4139" spans="1:4" x14ac:dyDescent="0.2">
      <c r="A4139" s="5">
        <v>4078</v>
      </c>
      <c r="B4139" s="138">
        <f>'Acct Summary 7-8'!F19</f>
        <v>298687</v>
      </c>
      <c r="C4139" s="2" t="s">
        <v>573</v>
      </c>
      <c r="D4139" s="2" t="str">
        <f t="shared" si="63"/>
        <v>Error?</v>
      </c>
    </row>
    <row r="4140" spans="1:4" x14ac:dyDescent="0.2">
      <c r="A4140" s="5">
        <v>4079</v>
      </c>
      <c r="B4140" s="138">
        <f>'Acct Summary 7-8'!G19</f>
        <v>116653</v>
      </c>
      <c r="C4140" s="2" t="s">
        <v>573</v>
      </c>
      <c r="D4140" s="2" t="str">
        <f t="shared" si="63"/>
        <v>Error?</v>
      </c>
    </row>
    <row r="4141" spans="1:4" x14ac:dyDescent="0.2">
      <c r="A4141" s="5">
        <v>4080</v>
      </c>
      <c r="B4141" s="138">
        <f>'Acct Summary 7-8'!H19</f>
        <v>237394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2330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2985000</v>
      </c>
      <c r="C4171" s="2" t="s">
        <v>573</v>
      </c>
      <c r="D4171" s="2" t="str">
        <f t="shared" si="64"/>
        <v>Error?</v>
      </c>
    </row>
    <row r="4172" spans="1:4" x14ac:dyDescent="0.2">
      <c r="A4172" s="5">
        <v>4111</v>
      </c>
      <c r="B4172" s="138">
        <f>'Short-Term Long-Term Debt 24'!J49</f>
        <v>2808310</v>
      </c>
      <c r="C4172" s="2" t="s">
        <v>573</v>
      </c>
      <c r="D4172" s="2" t="str">
        <f t="shared" si="64"/>
        <v>Error?</v>
      </c>
    </row>
    <row r="4173" spans="1:4" x14ac:dyDescent="0.2">
      <c r="A4173" s="5">
        <v>4112</v>
      </c>
      <c r="B4173" s="138">
        <f>'Short-Term Long-Term Debt 24'!H49</f>
        <v>180000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3328.3</v>
      </c>
      <c r="C4265" s="2" t="s">
        <v>573</v>
      </c>
      <c r="D4265" s="2" t="str">
        <f t="shared" si="65"/>
        <v>Error?</v>
      </c>
      <c r="E4265" s="128"/>
    </row>
    <row r="4266" spans="1:5" x14ac:dyDescent="0.2">
      <c r="A4266" s="12">
        <v>4205</v>
      </c>
      <c r="B4266" s="138">
        <f>('FP Info 3'!F10)*100000</f>
        <v>591</v>
      </c>
      <c r="C4266" s="2" t="s">
        <v>573</v>
      </c>
      <c r="D4266" s="2" t="str">
        <f t="shared" si="65"/>
        <v>Error?</v>
      </c>
      <c r="E4266" s="128"/>
    </row>
    <row r="4267" spans="1:5" x14ac:dyDescent="0.2">
      <c r="A4267" s="12">
        <v>4206</v>
      </c>
      <c r="B4267" s="138">
        <f>('FP Info 3'!H10)*100000</f>
        <v>325.7</v>
      </c>
      <c r="C4267" s="2" t="s">
        <v>573</v>
      </c>
      <c r="D4267" s="2" t="str">
        <f t="shared" si="65"/>
        <v>Error?</v>
      </c>
      <c r="E4267" s="128"/>
    </row>
    <row r="4268" spans="1:5" x14ac:dyDescent="0.2">
      <c r="A4268" s="12">
        <v>4207</v>
      </c>
      <c r="B4268" s="138">
        <f>('FP Info 3'!J10)*100000</f>
        <v>4245</v>
      </c>
      <c r="C4268" s="2" t="s">
        <v>573</v>
      </c>
      <c r="D4268" s="2" t="str">
        <f t="shared" si="65"/>
        <v>Error?</v>
      </c>
    </row>
    <row r="4269" spans="1:5" x14ac:dyDescent="0.2">
      <c r="A4269" s="12">
        <v>4208</v>
      </c>
      <c r="B4269" s="138">
        <f>'FP Info 3'!J16</f>
        <v>3344388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38285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42115</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42115</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12119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41.4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227591</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52713992</v>
      </c>
      <c r="D4995" s="2" t="str">
        <f t="shared" si="77"/>
        <v>Error?</v>
      </c>
    </row>
    <row r="4996" spans="1:4" x14ac:dyDescent="0.2">
      <c r="A4996" s="12">
        <v>4935</v>
      </c>
      <c r="B4996" s="138">
        <f>'FP Info 3'!H31</f>
        <v>7274530.8960000006</v>
      </c>
      <c r="D4996" s="2" t="str">
        <f t="shared" si="77"/>
        <v>Error?</v>
      </c>
    </row>
    <row r="4997" spans="1:4" x14ac:dyDescent="0.2">
      <c r="A4997" s="12">
        <v>4936</v>
      </c>
      <c r="B4997" s="138">
        <f>'FP Info 3'!H37</f>
        <v>2985000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1680205</v>
      </c>
      <c r="D5061" s="2" t="str">
        <f t="shared" si="78"/>
        <v>Error?</v>
      </c>
    </row>
    <row r="5062" spans="1:4" x14ac:dyDescent="0.2">
      <c r="A5062" s="10">
        <v>5001</v>
      </c>
      <c r="D5062" s="2" t="str">
        <f t="shared" si="78"/>
        <v>OK</v>
      </c>
    </row>
    <row r="5063" spans="1:4" x14ac:dyDescent="0.2">
      <c r="A5063" s="5">
        <v>5002</v>
      </c>
      <c r="B5063" s="138">
        <f>'Revenues 9-14'!C7</f>
        <v>16902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1697107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82050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82050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23160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23160</v>
      </c>
      <c r="C5087" s="2" t="s">
        <v>573</v>
      </c>
      <c r="D5087" s="2" t="str">
        <f t="shared" si="78"/>
        <v>Error?</v>
      </c>
    </row>
    <row r="5088" spans="1:4" x14ac:dyDescent="0.2">
      <c r="A5088" s="5">
        <v>5027</v>
      </c>
      <c r="B5088" s="138">
        <f>'Revenues 9-14'!C65</f>
        <v>15606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15606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42242</v>
      </c>
      <c r="C5096" s="2" t="s">
        <v>573</v>
      </c>
      <c r="D5096" s="2" t="str">
        <f t="shared" si="78"/>
        <v>Error?</v>
      </c>
    </row>
    <row r="5097" spans="1:4" x14ac:dyDescent="0.2">
      <c r="A5097" s="5">
        <v>5036</v>
      </c>
      <c r="B5097" s="138">
        <f>'Revenues 9-14'!C77</f>
        <v>9655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4049</v>
      </c>
      <c r="D5101" s="2" t="str">
        <f t="shared" si="78"/>
        <v>Error?</v>
      </c>
    </row>
    <row r="5102" spans="1:4" x14ac:dyDescent="0.2">
      <c r="A5102" s="5">
        <v>5041</v>
      </c>
      <c r="B5102" s="138">
        <f>'Revenues 9-14'!C82</f>
        <v>13704</v>
      </c>
      <c r="C5102" s="2" t="s">
        <v>573</v>
      </c>
      <c r="D5102" s="2" t="str">
        <f t="shared" si="78"/>
        <v>Error?</v>
      </c>
    </row>
    <row r="5103" spans="1:4" x14ac:dyDescent="0.2">
      <c r="A5103" s="5">
        <v>5042</v>
      </c>
      <c r="B5103" s="138">
        <f>'Revenues 9-14'!C84</f>
        <v>11345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11345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19838</v>
      </c>
      <c r="D5114" s="2" t="str">
        <f t="shared" si="78"/>
        <v>Error?</v>
      </c>
    </row>
    <row r="5115" spans="1:4" x14ac:dyDescent="0.2">
      <c r="A5115" s="5">
        <v>5054</v>
      </c>
      <c r="B5115" s="138">
        <f>'Revenues 9-14'!C98</f>
        <v>62831</v>
      </c>
      <c r="D5115" s="2" t="str">
        <f t="shared" si="78"/>
        <v>Error?</v>
      </c>
    </row>
    <row r="5116" spans="1:4" x14ac:dyDescent="0.2">
      <c r="A5116" s="5">
        <v>5055</v>
      </c>
      <c r="B5116" s="138">
        <f>'Revenues 9-14'!C99</f>
        <v>7605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934</v>
      </c>
      <c r="D5119" s="2" t="str">
        <f t="shared" ref="D5119:D5182" si="79">IF(ISBLANK(B5119),"OK",IF(A5119-B5119=0,"OK","Error?"))</f>
        <v>Error?</v>
      </c>
    </row>
    <row r="5120" spans="1:4" x14ac:dyDescent="0.2">
      <c r="A5120" s="5">
        <v>5059</v>
      </c>
      <c r="B5120" s="138">
        <f>'Revenues 9-14'!C108</f>
        <v>92033</v>
      </c>
      <c r="C5120" s="2" t="s">
        <v>573</v>
      </c>
      <c r="D5120" s="2" t="str">
        <f t="shared" si="79"/>
        <v>Error?</v>
      </c>
    </row>
    <row r="5121" spans="1:4" x14ac:dyDescent="0.2">
      <c r="A5121" s="5">
        <v>5060</v>
      </c>
      <c r="B5121" s="138">
        <f>'Revenues 9-14'!C109</f>
        <v>1977247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946912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946912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4667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4667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1152</v>
      </c>
      <c r="D5167" s="2" t="str">
        <f t="shared" si="79"/>
        <v>Error?</v>
      </c>
    </row>
    <row r="5168" spans="1:4" x14ac:dyDescent="0.2">
      <c r="A5168" s="5">
        <v>5107</v>
      </c>
      <c r="B5168" s="138">
        <f>'Revenues 9-14'!C148</f>
        <v>4740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140594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151903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1098815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46510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17287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63797</v>
      </c>
      <c r="C5246" s="2" t="s">
        <v>573</v>
      </c>
      <c r="D5246" s="2" t="str">
        <f t="shared" si="80"/>
        <v>Error?</v>
      </c>
    </row>
    <row r="5247" spans="1:4" x14ac:dyDescent="0.2">
      <c r="A5247" s="5">
        <v>5186</v>
      </c>
      <c r="B5247" s="138">
        <f>'Revenues 9-14'!C200</f>
        <v>124184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124184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280500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280500</v>
      </c>
      <c r="C5326" s="2" t="s">
        <v>573</v>
      </c>
      <c r="D5326" s="2" t="str">
        <f t="shared" si="82"/>
        <v>Error?</v>
      </c>
    </row>
    <row r="5327" spans="1:5" x14ac:dyDescent="0.2">
      <c r="A5327" s="5">
        <v>5266</v>
      </c>
      <c r="B5327" s="138">
        <f>'Revenues 9-14'!C268</f>
        <v>3356562</v>
      </c>
      <c r="C5327" s="2" t="s">
        <v>573</v>
      </c>
      <c r="D5327" s="2" t="str">
        <f t="shared" si="82"/>
        <v>Error?</v>
      </c>
    </row>
    <row r="5328" spans="1:5" x14ac:dyDescent="0.2">
      <c r="A5328" s="5">
        <v>5267</v>
      </c>
      <c r="B5328" s="138">
        <f>'Revenues 9-14'!D5</f>
        <v>298284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298284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64409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64409</v>
      </c>
      <c r="C5339" s="2" t="s">
        <v>573</v>
      </c>
      <c r="D5339" s="2" t="str">
        <f t="shared" si="82"/>
        <v>Error?</v>
      </c>
    </row>
    <row r="5340" spans="1:4" x14ac:dyDescent="0.2">
      <c r="A5340" s="5">
        <v>5279</v>
      </c>
      <c r="B5340" s="138">
        <f>'Revenues 9-14'!D65</f>
        <v>2992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2992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12064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29680</v>
      </c>
      <c r="D5354" s="2" t="str">
        <f t="shared" si="82"/>
        <v>Error?</v>
      </c>
    </row>
    <row r="5355" spans="1:4" x14ac:dyDescent="0.2">
      <c r="A5355" s="5">
        <v>5294</v>
      </c>
      <c r="B5355" s="138">
        <f>'Revenues 9-14'!D108</f>
        <v>41744</v>
      </c>
      <c r="C5355" s="2" t="s">
        <v>573</v>
      </c>
      <c r="D5355" s="2" t="str">
        <f t="shared" si="82"/>
        <v>Error?</v>
      </c>
    </row>
    <row r="5356" spans="1:4" x14ac:dyDescent="0.2">
      <c r="A5356" s="5">
        <v>5295</v>
      </c>
      <c r="B5356" s="138">
        <f>'Revenues 9-14'!D109</f>
        <v>407429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407429</v>
      </c>
      <c r="C5508" s="2" t="s">
        <v>573</v>
      </c>
      <c r="D5508" s="2" t="str">
        <f t="shared" si="85"/>
        <v>Error?</v>
      </c>
    </row>
    <row r="5509" spans="1:4" x14ac:dyDescent="0.2">
      <c r="A5509" s="5">
        <v>5448</v>
      </c>
      <c r="B5509" s="138">
        <f>'Revenues 9-14'!E5</f>
        <v>286823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286823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1202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1202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288025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288025</v>
      </c>
      <c r="C5552" s="2" t="s">
        <v>573</v>
      </c>
      <c r="D5552" s="2" t="str">
        <f t="shared" si="85"/>
        <v>Error?</v>
      </c>
    </row>
    <row r="5553" spans="1:4" x14ac:dyDescent="0.2">
      <c r="A5553" s="5">
        <v>5492</v>
      </c>
      <c r="B5553" s="138">
        <f>'Revenues 9-14'!F5</f>
        <v>164392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164392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2186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2186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11343</v>
      </c>
      <c r="D5585" s="2" t="str">
        <f t="shared" si="86"/>
        <v>Error?</v>
      </c>
    </row>
    <row r="5586" spans="1:4" x14ac:dyDescent="0.2">
      <c r="A5586" s="5">
        <v>5525</v>
      </c>
      <c r="B5586" s="138">
        <f>'Revenues 9-14'!F107</f>
        <v>2500</v>
      </c>
      <c r="D5586" s="2" t="str">
        <f t="shared" si="86"/>
        <v>Error?</v>
      </c>
    </row>
    <row r="5587" spans="1:4" x14ac:dyDescent="0.2">
      <c r="A5587" s="5">
        <v>5526</v>
      </c>
      <c r="B5587" s="138">
        <f>'Revenues 9-14'!F108</f>
        <v>13843</v>
      </c>
      <c r="C5587" s="2" t="s">
        <v>573</v>
      </c>
      <c r="D5587" s="2" t="str">
        <f t="shared" si="86"/>
        <v>Error?</v>
      </c>
    </row>
    <row r="5588" spans="1:4" x14ac:dyDescent="0.2">
      <c r="A5588" s="5">
        <v>5527</v>
      </c>
      <c r="B5588" s="138">
        <f>'Revenues 9-14'!F109</f>
        <v>180421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98859</v>
      </c>
      <c r="D5615" s="2" t="str">
        <f t="shared" si="86"/>
        <v>Error?</v>
      </c>
    </row>
    <row r="5616" spans="1:4" x14ac:dyDescent="0.2">
      <c r="A5616" s="10">
        <v>5555</v>
      </c>
      <c r="D5616" s="2" t="str">
        <f t="shared" si="86"/>
        <v>OK</v>
      </c>
    </row>
    <row r="5617" spans="1:5" x14ac:dyDescent="0.2">
      <c r="A5617" s="5">
        <v>5556</v>
      </c>
      <c r="B5617" s="138">
        <f>'Revenues 9-14'!F153</f>
        <v>44766</v>
      </c>
      <c r="D5617" s="2" t="str">
        <f t="shared" si="86"/>
        <v>Error?</v>
      </c>
    </row>
    <row r="5618" spans="1:5" x14ac:dyDescent="0.2">
      <c r="A5618" s="5">
        <v>5557</v>
      </c>
      <c r="B5618" s="138">
        <f>'Revenues 9-14'!F155</f>
        <v>143625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143625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143625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324046</v>
      </c>
      <c r="C5720" s="2" t="s">
        <v>573</v>
      </c>
      <c r="D5720" s="2" t="str">
        <f t="shared" si="88"/>
        <v>Error?</v>
      </c>
    </row>
    <row r="5721" spans="1:4" x14ac:dyDescent="0.2">
      <c r="A5721" s="5">
        <v>5660</v>
      </c>
      <c r="B5721" s="138">
        <f>'Revenues 9-14'!G5</f>
        <v>58158</v>
      </c>
      <c r="D5721" s="2" t="str">
        <f t="shared" si="88"/>
        <v>Error?</v>
      </c>
    </row>
    <row r="5722" spans="1:4" x14ac:dyDescent="0.2">
      <c r="A5722" s="5">
        <v>5661</v>
      </c>
      <c r="B5722" s="138">
        <f>'Revenues 9-14'!G7</f>
        <v>0</v>
      </c>
      <c r="D5722" s="2" t="str">
        <f t="shared" si="88"/>
        <v>Error?</v>
      </c>
    </row>
    <row r="5723" spans="1:4" x14ac:dyDescent="0.2">
      <c r="A5723" s="5">
        <v>5662</v>
      </c>
      <c r="B5723" s="138">
        <f>'Revenues 9-14'!G8</f>
        <v>58152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116310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4409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4409</v>
      </c>
      <c r="C5730" s="2" t="s">
        <v>573</v>
      </c>
      <c r="D5730" s="2" t="str">
        <f t="shared" si="88"/>
        <v>Error?</v>
      </c>
    </row>
    <row r="5731" spans="1:4" x14ac:dyDescent="0.2">
      <c r="A5731" s="5">
        <v>5670</v>
      </c>
      <c r="B5731" s="138">
        <f>'Revenues 9-14'!G65</f>
        <v>117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120836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227591</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227591</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227591</v>
      </c>
      <c r="C5915" s="2" t="s">
        <v>573</v>
      </c>
      <c r="D5915" s="2" t="str">
        <f t="shared" si="91"/>
        <v>Error?</v>
      </c>
    </row>
    <row r="5916" spans="1:4" x14ac:dyDescent="0.2">
      <c r="A5916" s="5">
        <v>5855</v>
      </c>
      <c r="B5916" s="138">
        <f>'Revenues 9-14'!I5</f>
        <v>20740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20740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1452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1452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22192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23256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23256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23280</v>
      </c>
      <c r="C6023" s="2" t="s">
        <v>573</v>
      </c>
      <c r="D6023" s="2" t="str">
        <f t="shared" si="93"/>
        <v>Error?</v>
      </c>
    </row>
    <row r="6024" spans="1:5" x14ac:dyDescent="0.2">
      <c r="A6024" s="5">
        <v>5963</v>
      </c>
      <c r="B6024" s="138">
        <f>'Revenues 9-14'!G109</f>
        <v>120836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22192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23280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42242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11153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255.9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41003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41003</v>
      </c>
      <c r="D6215" s="2" t="str">
        <f t="shared" si="96"/>
        <v>Error?</v>
      </c>
      <c r="E6215" s="2" t="s">
        <v>190</v>
      </c>
    </row>
    <row r="6216" spans="1:5" x14ac:dyDescent="0.2">
      <c r="A6216">
        <v>6155</v>
      </c>
      <c r="B6216" s="138">
        <f>'Assets-Liab 5-6'!J41</f>
        <v>41003</v>
      </c>
      <c r="D6216" s="2" t="str">
        <f t="shared" si="96"/>
        <v>Error?</v>
      </c>
      <c r="E6216" s="2" t="s">
        <v>190</v>
      </c>
    </row>
    <row r="6217" spans="1:5" x14ac:dyDescent="0.2">
      <c r="A6217">
        <v>6156</v>
      </c>
      <c r="B6217" s="138">
        <f>'Assets-Liab 5-6'!J4</f>
        <v>41003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44369</v>
      </c>
      <c r="D6220" s="2" t="str">
        <f t="shared" si="96"/>
        <v>Error?</v>
      </c>
      <c r="E6220" s="2" t="s">
        <v>190</v>
      </c>
    </row>
    <row r="6221" spans="1:5" x14ac:dyDescent="0.2">
      <c r="A6221">
        <v>6160</v>
      </c>
      <c r="B6221" s="138">
        <f>'Acct Summary 7-8'!J6</f>
        <v>17500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61869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61869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55578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55578</v>
      </c>
      <c r="D6229" s="2" t="str">
        <f t="shared" si="96"/>
        <v>Error?</v>
      </c>
      <c r="E6229" s="2" t="s">
        <v>190</v>
      </c>
    </row>
    <row r="6230" spans="1:5" x14ac:dyDescent="0.2">
      <c r="A6230">
        <v>6169</v>
      </c>
      <c r="B6230" s="138">
        <f>'Acct Summary 7-8'!J20</f>
        <v>6291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6291</v>
      </c>
      <c r="D6263" s="2" t="str">
        <f t="shared" si="96"/>
        <v>Error?</v>
      </c>
      <c r="E6263" s="2" t="s">
        <v>190</v>
      </c>
    </row>
    <row r="6264" spans="1:5" x14ac:dyDescent="0.2">
      <c r="A6264">
        <v>6203</v>
      </c>
      <c r="B6264" s="138">
        <f>'Acct Summary 7-8'!J79</f>
        <v>34712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41003</v>
      </c>
      <c r="D6266" s="2" t="str">
        <f t="shared" si="96"/>
        <v>Error?</v>
      </c>
      <c r="E6266" s="2" t="s">
        <v>190</v>
      </c>
    </row>
    <row r="6267" spans="1:5" x14ac:dyDescent="0.2">
      <c r="A6267">
        <v>6206</v>
      </c>
      <c r="B6267" s="138">
        <f>'Acct Summary 7-8'!C82</f>
        <v>120800</v>
      </c>
      <c r="D6267" s="2" t="str">
        <f t="shared" si="96"/>
        <v>Error?</v>
      </c>
      <c r="E6267" s="2" t="s">
        <v>190</v>
      </c>
    </row>
    <row r="6268" spans="1:5" x14ac:dyDescent="0.2">
      <c r="A6268">
        <v>6207</v>
      </c>
      <c r="B6268" s="138">
        <f>'Acct Summary 7-8'!D82</f>
        <v>9102</v>
      </c>
      <c r="D6268" s="2" t="str">
        <f t="shared" si="96"/>
        <v>Error?</v>
      </c>
      <c r="E6268" s="2" t="s">
        <v>190</v>
      </c>
    </row>
    <row r="6269" spans="1:5" x14ac:dyDescent="0.2">
      <c r="A6269">
        <v>6208</v>
      </c>
      <c r="B6269" s="138">
        <f>'Acct Summary 7-8'!E82</f>
        <v>-13370</v>
      </c>
      <c r="D6269" s="2" t="str">
        <f t="shared" si="96"/>
        <v>Error?</v>
      </c>
      <c r="E6269" s="2" t="s">
        <v>190</v>
      </c>
    </row>
    <row r="6270" spans="1:5" x14ac:dyDescent="0.2">
      <c r="A6270">
        <v>6209</v>
      </c>
      <c r="B6270" s="138">
        <f>'Acct Summary 7-8'!F82</f>
        <v>25359</v>
      </c>
      <c r="D6270" s="2" t="str">
        <f t="shared" si="96"/>
        <v>Error?</v>
      </c>
      <c r="E6270" s="2" t="s">
        <v>190</v>
      </c>
    </row>
    <row r="6271" spans="1:5" x14ac:dyDescent="0.2">
      <c r="A6271">
        <v>6210</v>
      </c>
      <c r="B6271" s="138">
        <f>'Acct Summary 7-8'!G82</f>
        <v>4183</v>
      </c>
      <c r="D6271" s="2" t="str">
        <f t="shared" ref="D6271:D6334" si="97">IF(ISBLANK(B6271),"OK",IF(A6271-B6271=0,"OK","Error?"))</f>
        <v>Error?</v>
      </c>
      <c r="E6271" s="2" t="s">
        <v>190</v>
      </c>
    </row>
    <row r="6272" spans="1:5" x14ac:dyDescent="0.2">
      <c r="A6272">
        <v>6211</v>
      </c>
      <c r="B6272" s="138">
        <f>'Acct Summary 7-8'!H82</f>
        <v>-9803</v>
      </c>
      <c r="D6272" s="2" t="str">
        <f t="shared" si="97"/>
        <v>Error?</v>
      </c>
      <c r="E6272" s="2" t="s">
        <v>190</v>
      </c>
    </row>
    <row r="6273" spans="1:5" x14ac:dyDescent="0.2">
      <c r="A6273">
        <v>6212</v>
      </c>
      <c r="B6273" s="138">
        <f>'Acct Summary 7-8'!I82</f>
        <v>22192</v>
      </c>
      <c r="D6273" s="2" t="str">
        <f t="shared" si="97"/>
        <v>Error?</v>
      </c>
      <c r="E6273" s="2" t="s">
        <v>190</v>
      </c>
    </row>
    <row r="6274" spans="1:5" x14ac:dyDescent="0.2">
      <c r="A6274">
        <v>6213</v>
      </c>
      <c r="B6274" s="138">
        <f>'Acct Summary 7-8'!J82</f>
        <v>6291</v>
      </c>
      <c r="D6274" s="2" t="str">
        <f t="shared" si="97"/>
        <v>Error?</v>
      </c>
      <c r="E6274" s="2" t="s">
        <v>190</v>
      </c>
    </row>
    <row r="6275" spans="1:5" x14ac:dyDescent="0.2">
      <c r="A6275">
        <v>6214</v>
      </c>
      <c r="B6275" s="138">
        <f>'Acct Summary 7-8'!K82</f>
        <v>20950</v>
      </c>
      <c r="D6275" s="2" t="str">
        <f t="shared" si="97"/>
        <v>Error?</v>
      </c>
      <c r="E6275" s="2" t="s">
        <v>190</v>
      </c>
    </row>
    <row r="6276" spans="1:5" x14ac:dyDescent="0.2">
      <c r="A6276">
        <v>6215</v>
      </c>
      <c r="B6276" s="138">
        <f>'Acct Summary 7-8'!C83</f>
        <v>6.3633940489623134E-2</v>
      </c>
      <c r="D6276" s="2" t="str">
        <f t="shared" si="97"/>
        <v>Error?</v>
      </c>
      <c r="E6276" s="2" t="s">
        <v>190</v>
      </c>
    </row>
    <row r="6277" spans="1:5" x14ac:dyDescent="0.2">
      <c r="A6277">
        <v>6216</v>
      </c>
      <c r="B6277" s="138">
        <f>'Acct Summary 7-8'!D83</f>
        <v>1.6400236399803963E-2</v>
      </c>
      <c r="D6277" s="2" t="str">
        <f t="shared" si="97"/>
        <v>Error?</v>
      </c>
      <c r="E6277" s="2" t="s">
        <v>190</v>
      </c>
    </row>
    <row r="6278" spans="1:5" x14ac:dyDescent="0.2">
      <c r="A6278">
        <v>6217</v>
      </c>
      <c r="B6278" s="138">
        <f>'Acct Summary 7-8'!E83</f>
        <v>-7.56692512309695E-2</v>
      </c>
      <c r="D6278" s="2" t="str">
        <f t="shared" si="97"/>
        <v>Error?</v>
      </c>
      <c r="E6278" s="2" t="s">
        <v>190</v>
      </c>
    </row>
    <row r="6279" spans="1:5" x14ac:dyDescent="0.2">
      <c r="A6279">
        <v>6218</v>
      </c>
      <c r="B6279" s="138">
        <f>'Acct Summary 7-8'!F83</f>
        <v>4.3501829516194607E-2</v>
      </c>
      <c r="D6279" s="2" t="str">
        <f t="shared" si="97"/>
        <v>Error?</v>
      </c>
      <c r="E6279" s="2" t="s">
        <v>190</v>
      </c>
    </row>
    <row r="6280" spans="1:5" x14ac:dyDescent="0.2">
      <c r="A6280">
        <v>6219</v>
      </c>
      <c r="B6280" s="138">
        <f>'Acct Summary 7-8'!G83</f>
        <v>6.1626176760905753E-2</v>
      </c>
      <c r="D6280" s="2" t="str">
        <f t="shared" si="97"/>
        <v>Error?</v>
      </c>
      <c r="E6280" s="2" t="s">
        <v>190</v>
      </c>
    </row>
    <row r="6281" spans="1:5" x14ac:dyDescent="0.2">
      <c r="A6281">
        <v>6220</v>
      </c>
      <c r="B6281" s="138">
        <f>'Acct Summary 7-8'!H83</f>
        <v>-3.7198659740220318E-2</v>
      </c>
      <c r="D6281" s="2" t="str">
        <f t="shared" si="97"/>
        <v>Error?</v>
      </c>
      <c r="E6281" s="2" t="s">
        <v>190</v>
      </c>
    </row>
    <row r="6282" spans="1:5" x14ac:dyDescent="0.2">
      <c r="A6282">
        <v>6221</v>
      </c>
      <c r="B6282" s="138">
        <f>'Acct Summary 7-8'!I83</f>
        <v>7.2029263511166938E-2</v>
      </c>
      <c r="D6282" s="2" t="str">
        <f t="shared" si="97"/>
        <v>Error?</v>
      </c>
      <c r="E6282" s="2" t="s">
        <v>190</v>
      </c>
    </row>
    <row r="6283" spans="1:5" x14ac:dyDescent="0.2">
      <c r="A6283">
        <v>6222</v>
      </c>
      <c r="B6283" s="138">
        <f>'Acct Summary 7-8'!J83</f>
        <v>0.15342779796600248</v>
      </c>
      <c r="D6283" s="2" t="str">
        <f t="shared" si="97"/>
        <v>Error?</v>
      </c>
      <c r="E6283" s="2" t="s">
        <v>190</v>
      </c>
    </row>
    <row r="6284" spans="1:5" x14ac:dyDescent="0.2">
      <c r="A6284">
        <v>6223</v>
      </c>
      <c r="B6284" s="138">
        <f>'Acct Summary 7-8'!K83</f>
        <v>0.15950724063894262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43094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43094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825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1229</v>
      </c>
      <c r="D6350" s="2" t="str">
        <f t="shared" si="98"/>
        <v>Error?</v>
      </c>
      <c r="E6350" s="2" t="s">
        <v>190</v>
      </c>
    </row>
    <row r="6351" spans="1:5" x14ac:dyDescent="0.2">
      <c r="A6351">
        <v>6290</v>
      </c>
      <c r="B6351" s="138">
        <f>'Revenues 9-14'!J108</f>
        <v>1229</v>
      </c>
      <c r="D6351" s="2" t="str">
        <f t="shared" si="98"/>
        <v>Error?</v>
      </c>
      <c r="E6351" s="2" t="s">
        <v>190</v>
      </c>
    </row>
    <row r="6352" spans="1:5" x14ac:dyDescent="0.2">
      <c r="A6352">
        <v>6291</v>
      </c>
      <c r="B6352" s="138">
        <f>'Revenues 9-14'!J109</f>
        <v>44369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17500</v>
      </c>
      <c r="D6356" s="2" t="str">
        <f t="shared" si="98"/>
        <v>Error?</v>
      </c>
      <c r="E6356" s="2" t="s">
        <v>190</v>
      </c>
    </row>
    <row r="6357" spans="1:5" x14ac:dyDescent="0.2">
      <c r="A6357">
        <v>6296</v>
      </c>
      <c r="B6357" s="138">
        <f>'Revenues 9-14'!J122</f>
        <v>17500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17500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60701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83686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60864</v>
      </c>
      <c r="D6981" s="2" t="str">
        <f t="shared" si="108"/>
        <v>Error?</v>
      </c>
    </row>
    <row r="6982" spans="1:4" x14ac:dyDescent="0.2">
      <c r="A6982">
        <v>6921</v>
      </c>
      <c r="B6982" s="138">
        <f>'Expenditures 15-22'!K85</f>
        <v>60864</v>
      </c>
      <c r="D6982" s="2" t="str">
        <f t="shared" si="108"/>
        <v>Error?</v>
      </c>
    </row>
    <row r="6983" spans="1:4" x14ac:dyDescent="0.2">
      <c r="A6983">
        <v>6922</v>
      </c>
      <c r="B6983" s="138">
        <f>'Expenditures 15-22'!H86</f>
        <v>38143</v>
      </c>
      <c r="D6983" s="2" t="str">
        <f t="shared" si="108"/>
        <v>Error?</v>
      </c>
    </row>
    <row r="6984" spans="1:4" x14ac:dyDescent="0.2">
      <c r="A6984">
        <v>6923</v>
      </c>
      <c r="B6984" s="138">
        <f>'Expenditures 15-22'!K86</f>
        <v>38143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33414</v>
      </c>
      <c r="D6987" s="2" t="str">
        <f t="shared" si="108"/>
        <v>Error?</v>
      </c>
    </row>
    <row r="6988" spans="1:4" x14ac:dyDescent="0.2">
      <c r="A6988">
        <v>6927</v>
      </c>
      <c r="B6988" s="138">
        <f>'Expenditures 15-22'!K88</f>
        <v>33414</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132421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55578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61869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8636</v>
      </c>
      <c r="D7073" s="2" t="str">
        <f t="shared" si="109"/>
        <v>Error?</v>
      </c>
    </row>
    <row r="7074" spans="1:4" x14ac:dyDescent="0.2">
      <c r="A7074">
        <v>7013</v>
      </c>
      <c r="B7074" s="138">
        <f>'Expenditures 15-22'!K216</f>
        <v>8636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51935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51935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3643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3643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55578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55578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55578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55578</v>
      </c>
      <c r="D7224" s="2" t="str">
        <f t="shared" si="111"/>
        <v>Error?</v>
      </c>
    </row>
    <row r="7225" spans="1:4" x14ac:dyDescent="0.2">
      <c r="A7225">
        <v>7164</v>
      </c>
      <c r="B7225" s="138">
        <f>'Expenditures 15-22'!K343</f>
        <v>6291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10689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12296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233435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825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4740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5565</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5565</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16902</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5565</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13453.8</v>
      </c>
      <c r="D7797" s="2" t="str">
        <f t="shared" si="127"/>
        <v>Error?</v>
      </c>
      <c r="E7797" s="4" t="s">
        <v>1903</v>
      </c>
    </row>
    <row r="7798" spans="1:5" x14ac:dyDescent="0.2">
      <c r="A7798">
        <v>7737</v>
      </c>
      <c r="B7798" s="138">
        <f>'Contracts Paid in CY 29'!F142</f>
        <v>13453.8</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1987</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Waverly CUSD 6</v>
      </c>
      <c r="B7" s="2406"/>
      <c r="C7" s="2406"/>
      <c r="D7" s="2407"/>
      <c r="E7" s="2408">
        <f>COVER!A13</f>
        <v>1069006026</v>
      </c>
      <c r="F7" s="2409"/>
      <c r="G7" s="2415" t="str">
        <f>COVER!T23</f>
        <v>066-004750</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Hughes, Cameron &amp; Company, LLC</v>
      </c>
      <c r="H9" s="2421"/>
      <c r="I9" s="2421"/>
      <c r="J9" s="2421"/>
      <c r="K9" s="2421"/>
      <c r="L9" s="2422"/>
    </row>
    <row r="10" spans="1:29" ht="13.5" customHeight="1" x14ac:dyDescent="0.2">
      <c r="A10" s="2395">
        <f>COVER!A38</f>
        <v>0</v>
      </c>
      <c r="B10" s="2396"/>
      <c r="C10" s="2396"/>
      <c r="D10" s="2396"/>
      <c r="E10" s="2396"/>
      <c r="F10" s="2397"/>
      <c r="G10" s="2389" t="str">
        <f>COVER!T17</f>
        <v>386 S. Koke Mill Rd.</v>
      </c>
      <c r="H10" s="2390"/>
      <c r="I10" s="2390"/>
      <c r="J10" s="2390"/>
      <c r="K10" s="2390"/>
      <c r="L10" s="2391"/>
    </row>
    <row r="11" spans="1:29" ht="13.5" customHeight="1" x14ac:dyDescent="0.2">
      <c r="A11" s="1184" t="s">
        <v>1519</v>
      </c>
      <c r="B11" s="1185"/>
      <c r="C11" s="1186"/>
      <c r="D11" s="1191"/>
      <c r="E11" s="1186"/>
      <c r="F11" s="1190"/>
      <c r="G11" s="2389" t="str">
        <f>COVER!T19</f>
        <v>Springfield</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apranaitis@hughescpas.com</v>
      </c>
      <c r="J13" s="2402"/>
      <c r="K13" s="2402"/>
      <c r="L13" s="2403"/>
    </row>
    <row r="14" spans="1:29" ht="13.5" customHeight="1" x14ac:dyDescent="0.2">
      <c r="A14" s="2389" t="str">
        <f>COVER!A19</f>
        <v>201 North Miller</v>
      </c>
      <c r="B14" s="2390"/>
      <c r="C14" s="2390"/>
      <c r="D14" s="2390"/>
      <c r="E14" s="2390"/>
      <c r="F14" s="2391"/>
      <c r="G14" s="1195" t="s">
        <v>1185</v>
      </c>
      <c r="H14" s="1193"/>
      <c r="I14" s="1193"/>
      <c r="J14" s="1193"/>
      <c r="K14" s="1193"/>
      <c r="L14" s="1194"/>
    </row>
    <row r="15" spans="1:29" ht="13.5" customHeight="1" x14ac:dyDescent="0.2">
      <c r="A15" s="2389" t="str">
        <f>COVER!A21</f>
        <v>Waverly</v>
      </c>
      <c r="B15" s="2390"/>
      <c r="C15" s="2390"/>
      <c r="D15" s="2390"/>
      <c r="E15" s="2390"/>
      <c r="F15" s="2391"/>
      <c r="G15" s="2386" t="str">
        <f>COVER!T15</f>
        <v>Amie Pranaitis</v>
      </c>
      <c r="H15" s="2387"/>
      <c r="I15" s="2387"/>
      <c r="J15" s="2387"/>
      <c r="K15" s="2387"/>
      <c r="L15" s="2388"/>
    </row>
    <row r="16" spans="1:29" ht="12.2" customHeight="1" x14ac:dyDescent="0.2">
      <c r="A16" s="2411">
        <f>COVER!A25</f>
        <v>62692</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(217) 787-8822</v>
      </c>
      <c r="H18" s="2406"/>
      <c r="I18" s="2406"/>
      <c r="J18" s="2406"/>
      <c r="K18" s="2405" t="str">
        <f>COVER!X21</f>
        <v>(217) 787-8823</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Waverly CUSD 6</v>
      </c>
      <c r="B1" s="2404"/>
      <c r="C1" s="2404"/>
      <c r="D1" s="2404"/>
    </row>
    <row r="2" spans="1:11" s="1212" customFormat="1" ht="12.75" x14ac:dyDescent="0.2">
      <c r="A2" s="2428">
        <f>'Single Audit Cover'!E7</f>
        <v>1069006026</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Waverly CUSD 6</v>
      </c>
      <c r="B1" s="2431"/>
      <c r="C1" s="2431"/>
      <c r="D1" s="2431"/>
      <c r="E1" s="2431"/>
    </row>
    <row r="2" spans="1:5" x14ac:dyDescent="0.2">
      <c r="A2" s="2432">
        <f>'Single Audit Cover'!E7</f>
        <v>1069006026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280500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11153</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-38285</v>
      </c>
    </row>
    <row r="19" spans="1:4" ht="13.5" thickBot="1" x14ac:dyDescent="0.25">
      <c r="A19" s="1262" t="s">
        <v>1235</v>
      </c>
      <c r="D19" s="1263">
        <f>SUM(D10:D17)</f>
        <v>253368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253368</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253368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Waverly CUSD 6</v>
      </c>
      <c r="C1" s="2435"/>
      <c r="D1" s="2435"/>
      <c r="E1" s="2435"/>
      <c r="F1" s="2435"/>
      <c r="G1" s="2435"/>
      <c r="H1" s="2435"/>
      <c r="I1" s="2435"/>
      <c r="J1" s="2435"/>
      <c r="K1" s="2435"/>
      <c r="L1" s="2435"/>
      <c r="M1" s="2435"/>
    </row>
    <row r="2" spans="2:14" ht="15" x14ac:dyDescent="0.2">
      <c r="B2" s="2436">
        <f>'Single Audit Cover'!E7</f>
        <v>1069006026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Waverly CUSD 6</v>
      </c>
      <c r="B1" s="2448"/>
      <c r="C1" s="2448"/>
      <c r="D1" s="2448"/>
      <c r="E1" s="2448"/>
      <c r="F1" s="2448"/>
    </row>
    <row r="2" spans="1:7" ht="13.5" customHeight="1" x14ac:dyDescent="0.2">
      <c r="A2" s="2436">
        <f>'Single Audit Cover'!E7</f>
        <v>1069006026</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1729</v>
      </c>
      <c r="B7" s="2447"/>
      <c r="C7" s="2447"/>
      <c r="D7" s="2447"/>
      <c r="E7" s="2447"/>
      <c r="F7" s="244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1731</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1732</v>
      </c>
      <c r="B32" s="2441"/>
      <c r="C32" s="2441"/>
      <c r="D32" s="2441"/>
      <c r="E32" s="2441"/>
      <c r="F32" s="2441"/>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2">
        <f>+C33+C34</f>
        <v>0</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Waverly CUSD 6</v>
      </c>
      <c r="C1" s="2463"/>
      <c r="D1" s="2463"/>
      <c r="E1" s="2463"/>
      <c r="F1" s="2463"/>
      <c r="G1" s="2463"/>
      <c r="H1" s="2463"/>
      <c r="I1" s="2463"/>
      <c r="J1" s="1406"/>
    </row>
    <row r="2" spans="2:10" s="317" customFormat="1" ht="12.75" customHeight="1" x14ac:dyDescent="0.2">
      <c r="B2" s="2464">
        <f>'Single Audit Cover'!E7</f>
        <v>1069006026</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0</v>
      </c>
      <c r="H43" s="2454"/>
      <c r="I43" s="2454"/>
    </row>
    <row r="44" spans="2:9" ht="12.75" customHeight="1" x14ac:dyDescent="0.2"/>
    <row r="45" spans="2:9" ht="12.75" customHeight="1" x14ac:dyDescent="0.2">
      <c r="B45" s="1419" t="s">
        <v>2062</v>
      </c>
      <c r="D45" s="2455">
        <v>0</v>
      </c>
      <c r="E45" s="245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7"/>
      <c r="F49" s="2457"/>
      <c r="G49" s="245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Waverly CUSD 6</v>
      </c>
      <c r="C1" s="2462"/>
      <c r="D1" s="2462"/>
      <c r="E1" s="2462"/>
      <c r="F1" s="2462"/>
      <c r="G1" s="2462"/>
      <c r="H1" s="2462"/>
      <c r="I1" s="2462"/>
      <c r="J1" s="2462"/>
      <c r="K1" s="2462"/>
      <c r="L1" s="1371"/>
      <c r="M1" s="1371"/>
    </row>
    <row r="2" spans="1:13" ht="12" customHeight="1" x14ac:dyDescent="0.2">
      <c r="B2" s="2464">
        <f>'Single Audit Cover'!E7</f>
        <v>1069006026</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Waverly CUSD 6</v>
      </c>
      <c r="C1" s="2485"/>
      <c r="D1" s="2485"/>
      <c r="E1" s="2485"/>
      <c r="F1" s="2485"/>
      <c r="G1" s="2485"/>
      <c r="H1" s="2485"/>
      <c r="I1" s="2485"/>
      <c r="J1" s="2485"/>
      <c r="K1" s="2485"/>
      <c r="L1" s="1449"/>
    </row>
    <row r="2" spans="1:12" ht="12.75" customHeight="1" x14ac:dyDescent="0.2">
      <c r="B2" s="2486">
        <f>'Single Audit Cover'!E7</f>
        <v>1069006026</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Waverly CUSD 6</v>
      </c>
      <c r="C1" s="2462"/>
      <c r="D1" s="2462"/>
      <c r="E1" s="1469"/>
    </row>
    <row r="2" spans="2:5" s="1279" customFormat="1" ht="12.75" customHeight="1" x14ac:dyDescent="0.2">
      <c r="B2" s="2464">
        <f>'Single Audit Cover'!E7</f>
        <v>1069006026</v>
      </c>
      <c r="C2" s="2464"/>
      <c r="D2" s="2464"/>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www.w3.org/XML/1998/namespace"/>
    <ds:schemaRef ds:uri="http://schemas.microsoft.com/sharepoint/v3"/>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'ICR Computation 30'!Print_Area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2019-10-23T20:07:30Z</cp:lastPrinted>
  <dcterms:created xsi:type="dcterms:W3CDTF">2003-10-29T19:06:34Z</dcterms:created>
  <dcterms:modified xsi:type="dcterms:W3CDTF">2019-12-12T15:22:29Z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