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F19583D-7A93-4F99-81F7-5407F4FC2470}" xr6:coauthVersionLast="36" xr6:coauthVersionMax="36" xr10:uidLastSave="{00000000-0000-0000-0000-000000000000}"/>
  <bookViews>
    <workbookView xWindow="750" yWindow="750" windowWidth="2208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F&amp;QC Sec-3 (2)" sheetId="187" r:id="rId35"/>
    <sheet name="SF&amp;QC Sec-3 (3)" sheetId="185" r:id="rId36"/>
    <sheet name="SF&amp;QC Sec-3 (4)" sheetId="188" r:id="rId37"/>
    <sheet name="SF&amp;QC Sec-3 (5)" sheetId="186" r:id="rId38"/>
    <sheet name="SSPAF" sheetId="177" r:id="rId39"/>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34">'SF&amp;QC Sec-3 (2)'!$A$1:$K$48</definedName>
    <definedName name="_xlnm.Print_Area" localSheetId="35">'SF&amp;QC Sec-3 (3)'!$A$1:$K$48</definedName>
    <definedName name="_xlnm.Print_Area" localSheetId="36">'SF&amp;QC Sec-3 (4)'!$A$1:$K$48</definedName>
    <definedName name="_xlnm.Print_Area" localSheetId="37">'SF&amp;QC Sec-3 (5)'!$A$1:$K$48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8" l="1"/>
  <c r="B4" i="187" l="1"/>
  <c r="B4" i="186" l="1"/>
  <c r="B4" i="185"/>
  <c r="L25" i="184" l="1"/>
  <c r="L22" i="184"/>
  <c r="L21" i="184"/>
  <c r="L20" i="184"/>
  <c r="L19" i="184"/>
  <c r="L18" i="184"/>
  <c r="L17" i="184"/>
  <c r="L16" i="184"/>
  <c r="L12" i="184"/>
  <c r="L11" i="184"/>
  <c r="B4" i="184"/>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1" i="184"/>
  <c r="B1" i="183"/>
  <c r="B2" i="179"/>
  <c r="B2" i="188"/>
  <c r="B2" i="187"/>
  <c r="B2" i="185"/>
  <c r="B2" i="186"/>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E27" i="108"/>
  <c r="G27" i="108"/>
  <c r="F28" i="108"/>
  <c r="F36" i="108"/>
  <c r="G28" i="108"/>
  <c r="G29" i="108"/>
  <c r="G30" i="108"/>
  <c r="D36" i="108"/>
  <c r="E31" i="108"/>
  <c r="G31" i="108"/>
  <c r="E33" i="108"/>
  <c r="G33" i="108"/>
  <c r="E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11" i="37"/>
  <c r="D22" i="37"/>
  <c r="J22" i="37"/>
  <c r="D24" i="37"/>
  <c r="B4270" i="106" s="1"/>
  <c r="D4270" i="106" s="1"/>
  <c r="D9" i="7"/>
  <c r="B1767" i="106" s="1"/>
  <c r="D1767" i="106" s="1"/>
  <c r="L5" i="11" l="1"/>
  <c r="B2056" i="106" s="1"/>
  <c r="D2056" i="106" s="1"/>
  <c r="L22" i="37"/>
  <c r="F70" i="34"/>
  <c r="F49" i="34"/>
  <c r="F44" i="34"/>
  <c r="F38" i="34"/>
  <c r="G39" i="108"/>
  <c r="D37" i="108"/>
  <c r="D31" i="108"/>
  <c r="E30" i="108"/>
  <c r="E29" i="108"/>
  <c r="F37" i="108"/>
  <c r="E28" i="108"/>
  <c r="D69" i="36"/>
  <c r="G15" i="145"/>
  <c r="D17" i="7"/>
  <c r="B4104" i="106" s="1"/>
  <c r="D4104" i="106" s="1"/>
  <c r="F67" i="34"/>
  <c r="F34" i="34"/>
  <c r="E38" i="108"/>
  <c r="K76" i="4"/>
  <c r="B3586" i="106" s="1"/>
  <c r="D3586" i="106" s="1"/>
  <c r="B1126" i="106"/>
  <c r="D1126" i="106" s="1"/>
  <c r="H28" i="118"/>
  <c r="K28" i="118" s="1"/>
  <c r="O27" i="118" s="1"/>
  <c r="O29" i="118" s="1"/>
  <c r="F69" i="34"/>
  <c r="I24" i="12"/>
  <c r="B1996" i="106" s="1"/>
  <c r="D1996" i="106" s="1"/>
  <c r="F19" i="7"/>
  <c r="B1807" i="106" s="1"/>
  <c r="D1807" i="106" s="1"/>
  <c r="C342" i="29"/>
  <c r="B7216" i="106" s="1"/>
  <c r="D7216" i="106" s="1"/>
  <c r="F27" i="108"/>
  <c r="L13" i="11"/>
  <c r="B2060" i="106" s="1"/>
  <c r="D2060" i="106" s="1"/>
  <c r="J41" i="3"/>
  <c r="D51" i="36" s="1"/>
  <c r="K184" i="29"/>
  <c r="F13" i="4" s="1"/>
  <c r="B2596" i="106" s="1"/>
  <c r="D2596" i="106" s="1"/>
  <c r="G210" i="29"/>
  <c r="K41" i="3"/>
  <c r="L15" i="11"/>
  <c r="B3459" i="106" s="1"/>
  <c r="D3459" i="106" s="1"/>
  <c r="B1990" i="106"/>
  <c r="D1990" i="106" s="1"/>
  <c r="C129" i="29"/>
  <c r="L367" i="29"/>
  <c r="D7245" i="106"/>
  <c r="C352" i="29"/>
  <c r="B3621" i="106" s="1"/>
  <c r="D3621" i="106" s="1"/>
  <c r="B1308" i="106"/>
  <c r="D1308" i="106" s="1"/>
  <c r="E174" i="29"/>
  <c r="B1309" i="106" s="1"/>
  <c r="D1309" i="106" s="1"/>
  <c r="L342" i="29"/>
  <c r="B3254" i="106"/>
  <c r="D3254"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4" i="106" l="1"/>
  <c r="D7256" i="106"/>
  <c r="D7251" i="106"/>
  <c r="D7252" i="106"/>
  <c r="I7" i="4"/>
  <c r="B4444" i="106" s="1"/>
  <c r="D4444" i="106" s="1"/>
  <c r="C367" i="29"/>
  <c r="B3622" i="106" s="1"/>
  <c r="D3622" i="106" s="1"/>
  <c r="I26" i="12"/>
  <c r="B7741" i="106" s="1"/>
  <c r="D7741" i="106" s="1"/>
  <c r="B1317" i="106"/>
  <c r="D1317" i="106" s="1"/>
  <c r="F174" i="34"/>
  <c r="D44" i="36"/>
  <c r="B1381" i="106"/>
  <c r="D1381" i="106" s="1"/>
  <c r="C114" i="29"/>
  <c r="B757" i="106" s="1"/>
  <c r="D757" i="106" s="1"/>
  <c r="L114" i="29"/>
  <c r="L16" i="11"/>
  <c r="B2061" i="106" s="1"/>
  <c r="D2061" i="106" s="1"/>
  <c r="B2031" i="106"/>
  <c r="D2031" i="106" s="1"/>
  <c r="D7253" i="106"/>
  <c r="K342" i="29"/>
  <c r="F13" i="34" s="1"/>
  <c r="B3568" i="106"/>
  <c r="D3568" i="106" s="1"/>
  <c r="D52" i="3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<sst xmlns="http://schemas.openxmlformats.org/spreadsheetml/2006/main" count="5512" uniqueCount="2240">
  <si>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</si>
  <si>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</si>
  <si>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</si>
  <si>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</si>
  <si>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</si>
  <si>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</si>
  <si>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</si>
  <si>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</si>
  <si>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</si>
  <si>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</si>
  <si>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</si>
  <si>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</si>
  <si>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</si>
  <si>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</si>
  <si>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</si>
  <si>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</si>
  <si>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</si>
  <si>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</si>
  <si>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</si>
  <si>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</si>
  <si>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</si>
  <si>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</si>
  <si>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</si>
  <si>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</si>
  <si>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</si>
  <si>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</si>
  <si>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</si>
  <si>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</si>
  <si>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</si>
  <si>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</si>
  <si>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</si>
  <si>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</si>
  <si>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</si>
  <si>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</si>
  <si>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</si>
  <si>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</si>
  <si>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</si>
  <si>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</si>
  <si>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</si>
  <si>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</si>
  <si>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</si>
  <si>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</si>
  <si>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</si>
  <si>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</si>
  <si>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</si>
  <si>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</si>
  <si>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</si>
  <si>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</si>
  <si>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</si>
  <si>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</si>
  <si>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</si>
  <si>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</si>
  <si>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</si>
  <si>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</si>
  <si>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</si>
  <si>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</si>
  <si>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</si>
  <si>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</si>
  <si>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</si>
  <si>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</si>
  <si>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</si>
  <si>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</si>
  <si>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</si>
  <si>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</si>
  <si>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</si>
  <si>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</si>
  <si>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</si>
  <si>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</si>
  <si>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</si>
  <si>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</si>
  <si>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</si>
  <si>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</si>
  <si>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</si>
  <si>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</si>
  <si>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</si>
  <si>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</si>
  <si>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</si>
  <si>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</si>
  <si>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</si>
  <si>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</si>
  <si>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</si>
  <si>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</si>
  <si>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</si>
  <si>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</si>
  <si>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</si>
  <si>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</si>
  <si>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</si>
  <si>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</si>
  <si>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</si>
  <si>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</si>
  <si>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</si>
  <si>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</si>
  <si>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</si>
  <si>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</si>
  <si>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</si>
  <si>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</si>
  <si>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</si>
  <si>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</si>
  <si>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</si>
  <si>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</si>
  <si>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</si>
  <si>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</si>
  <si>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</si>
  <si>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</si>
  <si>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</si>
  <si>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</si>
  <si>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</si>
  <si>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</si>
  <si>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</si>
  <si>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</si>
  <si>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</si>
  <si>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</si>
  <si>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</si>
  <si>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</si>
  <si>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</si>
  <si>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</si>
  <si>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</si>
  <si>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</si>
  <si>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</si>
  <si>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</si>
  <si>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</si>
  <si>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</si>
  <si>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</si>
  <si>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</si>
  <si>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</si>
  <si>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</si>
  <si>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</si>
  <si>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</si>
  <si>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</si>
  <si>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</si>
  <si>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</si>
  <si>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</si>
  <si>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</si>
  <si>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</si>
  <si>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</si>
  <si>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</si>
  <si>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</si>
  <si>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</si>
  <si>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</si>
  <si>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</si>
  <si>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</si>
  <si>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</si>
  <si>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</si>
  <si>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</si>
  <si>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</si>
  <si>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</si>
  <si>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</si>
  <si>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</si>
  <si>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</si>
  <si>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</si>
  <si>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</si>
  <si>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</si>
  <si>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</si>
  <si>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</si>
  <si>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</si>
  <si>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</si>
  <si>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</si>
  <si>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</si>
  <si>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</si>
  <si>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</si>
  <si>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</si>
  <si>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</si>
  <si>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</si>
  <si>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</si>
  <si>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</si>
  <si>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</si>
  <si>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</si>
  <si>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</si>
  <si>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</si>
  <si>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</si>
  <si>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</si>
  <si>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</si>
  <si>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</si>
  <si>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</si>
  <si>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</si>
  <si>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</si>
  <si>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</si>
  <si>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</si>
  <si>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</si>
  <si>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</si>
  <si>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</si>
  <si>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</si>
  <si>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</si>
  <si>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</si>
  <si>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</si>
  <si>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</si>
  <si>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</si>
  <si>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</si>
  <si>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</si>
  <si>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</si>
  <si>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</si>
  <si>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</si>
  <si>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</si>
  <si>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</si>
  <si>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</si>
  <si>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</si>
  <si>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</si>
  <si>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</si>
  <si>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</si>
  <si>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</si>
  <si>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</si>
  <si>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</si>
  <si>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</si>
  <si>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</si>
  <si>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</si>
  <si>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</si>
  <si>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</si>
  <si>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</si>
  <si>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</si>
  <si>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</si>
  <si>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</si>
  <si>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</si>
  <si>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</si>
  <si>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</si>
  <si>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</si>
  <si>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</si>
  <si>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</si>
  <si>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</si>
  <si>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</si>
  <si>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</si>
  <si>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</si>
  <si>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</si>
  <si>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</si>
  <si>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</si>
  <si>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</si>
  <si>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</si>
  <si>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</si>
  <si>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</si>
  <si>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</si>
  <si>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</si>
  <si>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</si>
  <si>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</si>
  <si>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</si>
  <si>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</si>
  <si>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</si>
  <si>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</si>
  <si>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</si>
  <si>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</si>
  <si>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</si>
  <si>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</si>
  <si>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</si>
  <si>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</si>
  <si>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</si>
  <si>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</si>
  <si>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</si>
  <si>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</si>
  <si>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</si>
  <si>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</si>
  <si>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</si>
  <si>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</si>
  <si>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</si>
  <si>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</si>
  <si>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</si>
  <si>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</si>
  <si>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</si>
  <si>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</si>
  <si>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</si>
  <si>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</si>
  <si>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</si>
  <si>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</si>
  <si>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</si>
  <si>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</si>
  <si>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</si>
  <si>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</si>
  <si>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</si>
  <si>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</si>
  <si>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</si>
  <si>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</si>
  <si>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</si>
  <si>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</si>
  <si>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</si>
  <si>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</si>
  <si>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</si>
  <si>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</si>
  <si>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</si>
  <si>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</si>
  <si>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</si>
  <si>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</si>
  <si>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</si>
  <si>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</si>
  <si>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</si>
  <si>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</si>
  <si>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</si>
  <si>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</si>
  <si>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</si>
  <si>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</si>
  <si>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</si>
  <si>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</si>
  <si>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</si>
  <si>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</si>
  <si>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</si>
  <si>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</si>
  <si>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</si>
  <si>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</si>
  <si>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</si>
  <si>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</si>
  <si>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</si>
  <si>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</si>
  <si>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</si>
  <si>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</si>
  <si>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</si>
  <si>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</si>
  <si>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</si>
  <si>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</si>
  <si>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</si>
  <si>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</si>
  <si>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</si>
  <si>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</si>
  <si>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</si>
  <si>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</si>
  <si>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</si>
  <si>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</si>
  <si>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</si>
  <si>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</si>
  <si>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</si>
  <si>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</si>
  <si>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</si>
  <si>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</si>
  <si>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</si>
  <si>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</si>
  <si>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</si>
  <si>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</si>
  <si>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</si>
  <si>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</si>
  <si>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</si>
  <si>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</si>
  <si>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</si>
  <si>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</si>
  <si>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</si>
  <si>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</si>
  <si>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</si>
  <si>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</si>
  <si>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</si>
  <si>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</si>
  <si>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</si>
  <si>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</si>
  <si>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</si>
  <si>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</si>
  <si>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</si>
  <si>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</si>
  <si>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</si>
  <si>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</si>
  <si>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</si>
  <si>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</si>
  <si>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</si>
  <si>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</si>
  <si>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</si>
  <si>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</si>
  <si>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</si>
  <si>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</si>
  <si>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</si>
  <si>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</si>
  <si>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</si>
  <si>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</si>
  <si>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</si>
  <si>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</si>
  <si>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</si>
  <si>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</si>
  <si>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</si>
  <si>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</si>
  <si>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</si>
  <si>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</si>
  <si>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</si>
  <si>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</si>
  <si>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</si>
  <si>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</si>
  <si>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</si>
  <si>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</si>
  <si>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</si>
  <si>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</si>
  <si>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</si>
  <si>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</si>
  <si>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</si>
  <si>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</si>
  <si>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</si>
  <si>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</si>
  <si>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</si>
  <si>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</si>
  <si>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</si>
  <si>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</si>
  <si>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</si>
  <si>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</si>
  <si>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</si>
  <si>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</si>
  <si>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</si>
  <si>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</si>
  <si>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</si>
  <si>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</si>
  <si>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</si>
  <si>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</si>
  <si>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</si>
  <si>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</si>
  <si>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</si>
  <si>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</si>
  <si>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</si>
  <si>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</si>
  <si>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</si>
  <si>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</si>
  <si>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</si>
  <si>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</si>
  <si>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</si>
  <si>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</si>
  <si>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</si>
  <si>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</si>
  <si>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</si>
  <si>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</si>
  <si>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</si>
  <si>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</si>
  <si>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</si>
  <si>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</si>
  <si>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</si>
  <si>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</si>
  <si>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</si>
  <si>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</si>
  <si>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</si>
  <si>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</si>
  <si>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</si>
  <si>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</si>
  <si>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</si>
  <si>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</si>
  <si>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</si>
  <si>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</si>
  <si>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</si>
  <si>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</si>
  <si>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</si>
  <si>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</si>
  <si>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</si>
  <si>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</si>
  <si>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</si>
  <si>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</si>
  <si>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</si>
  <si>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</si>
  <si>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</si>
  <si>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</si>
  <si>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</si>
  <si>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</si>
  <si>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</si>
  <si>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</si>
  <si>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</si>
  <si>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</si>
  <si>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</si>
  <si>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</si>
  <si>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</si>
  <si>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</si>
  <si>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</si>
  <si>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</si>
  <si>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</si>
  <si>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</si>
  <si>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</si>
  <si>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</si>
  <si>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</si>
  <si>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</si>
  <si>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</si>
  <si>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</si>
  <si>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</si>
  <si>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</si>
  <si>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</si>
  <si>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</si>
  <si>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</si>
  <si>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</si>
  <si>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</si>
  <si>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</si>
  <si>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</si>
  <si>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</si>
  <si>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</si>
  <si>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</si>
  <si>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</si>
  <si>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</si>
  <si>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</si>
  <si>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</si>
  <si>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</si>
  <si>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</si>
  <si>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</si>
  <si>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</si>
  <si>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</si>
  <si>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</si>
  <si>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</si>
  <si>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</si>
  <si>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</si>
  <si>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</si>
  <si>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</si>
  <si>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</si>
  <si>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</si>
  <si>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</si>
  <si>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</si>
  <si>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</si>
  <si>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</si>
  <si>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</si>
  <si>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</si>
  <si>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</si>
  <si>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</si>
  <si>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</si>
  <si>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</si>
  <si>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</si>
  <si>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</si>
  <si>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</si>
  <si>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</si>
  <si>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</si>
  <si>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</si>
  <si>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</si>
  <si>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</si>
  <si>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</si>
  <si>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</si>
  <si>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</si>
  <si>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</si>
  <si>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</si>
  <si>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</si>
  <si>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</si>
  <si>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</si>
  <si>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</si>
  <si>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</si>
  <si>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</si>
  <si>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</si>
  <si>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</si>
  <si>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</si>
  <si>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</si>
  <si>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</si>
  <si>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</si>
  <si>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</si>
  <si>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</si>
  <si>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</si>
  <si>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</si>
  <si>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</si>
  <si>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</si>
  <si>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</si>
  <si>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</si>
  <si>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</si>
  <si>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</si>
  <si>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</si>
  <si>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</si>
  <si>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</si>
  <si>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</si>
  <si>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</si>
  <si>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</si>
  <si>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</si>
  <si>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</si>
  <si>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</si>
  <si>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</si>
  <si>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</si>
  <si>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</si>
  <si>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</si>
  <si>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</si>
  <si>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</si>
  <si>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</si>
  <si>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</si>
  <si>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</si>
  <si>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</si>
  <si>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</si>
  <si>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</si>
  <si>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</si>
  <si>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</si>
  <si>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</si>
  <si>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</si>
  <si>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</si>
  <si>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</si>
  <si>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</si>
  <si>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</si>
  <si>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</si>
  <si>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</si>
  <si>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</si>
  <si>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</si>
  <si>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</si>
  <si>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</si>
  <si>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</si>
  <si>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</si>
  <si>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</si>
  <si>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</si>
  <si>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</si>
  <si>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</si>
  <si>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</si>
  <si>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</si>
  <si>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</si>
  <si>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</si>
  <si>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</si>
  <si>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</si>
  <si>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</si>
  <si>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</si>
  <si>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</si>
  <si>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</si>
  <si>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</si>
  <si>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</si>
  <si>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</si>
  <si>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</si>
  <si>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</si>
  <si>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</si>
  <si>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</si>
  <si>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</si>
  <si>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</si>
  <si>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</si>
  <si>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</si>
  <si>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</si>
  <si>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</si>
  <si>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</si>
  <si>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</si>
  <si>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</si>
  <si>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</si>
  <si>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</si>
  <si>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</si>
  <si>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</si>
  <si>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</si>
  <si>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</si>
  <si>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</si>
  <si>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</si>
  <si>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</si>
  <si>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</si>
  <si>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</si>
  <si>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</si>
  <si>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</si>
  <si>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</si>
  <si>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</si>
  <si>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</si>
  <si>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</si>
  <si>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</si>
  <si>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</si>
  <si>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</si>
  <si>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</si>
  <si>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</si>
  <si>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</si>
  <si>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</si>
  <si>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</si>
  <si>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</si>
  <si>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</si>
  <si>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</si>
  <si>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</si>
  <si>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</si>
  <si>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</si>
  <si>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</si>
  <si>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</si>
  <si>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</si>
  <si>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</si>
  <si>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</si>
  <si>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</si>
  <si>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</si>
  <si>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</si>
  <si>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</si>
  <si>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</si>
  <si>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</si>
  <si>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</si>
  <si>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</si>
  <si>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</si>
  <si>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</si>
  <si>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</si>
  <si>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</si>
  <si>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</si>
  <si>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</si>
  <si>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</si>
  <si>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</si>
  <si>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</si>
  <si>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</si>
  <si>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</si>
  <si>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</si>
  <si>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</si>
  <si>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</si>
  <si>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</si>
  <si>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</si>
  <si>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</si>
  <si>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</si>
  <si>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</si>
  <si>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</si>
  <si>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</si>
  <si>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</si>
  <si>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</si>
  <si>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</si>
  <si>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</si>
  <si>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</si>
  <si>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</si>
  <si>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</si>
  <si>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</si>
  <si>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</si>
  <si>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</si>
  <si>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</si>
  <si>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</si>
  <si>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</si>
  <si>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</si>
  <si>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</si>
  <si>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</si>
  <si>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</si>
  <si>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</si>
  <si>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</si>
  <si>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</si>
  <si>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</si>
  <si>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</si>
  <si>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</si>
  <si>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</si>
  <si>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</si>
  <si>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</si>
  <si>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</si>
  <si>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</si>
  <si>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</si>
  <si>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</si>
  <si>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</si>
  <si>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</si>
  <si>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</si>
  <si>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</si>
  <si>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</si>
  <si>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</si>
  <si>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</si>
  <si>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</si>
  <si>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</si>
  <si>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</si>
  <si>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</si>
  <si>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</si>
  <si>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</si>
  <si>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</si>
  <si>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</si>
  <si>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</si>
  <si>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</si>
  <si>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</si>
  <si>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</si>
  <si>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</si>
  <si>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</si>
  <si>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</si>
  <si>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</si>
  <si>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</si>
  <si>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</si>
  <si>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</si>
  <si>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</si>
  <si>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</si>
  <si>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</si>
  <si>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</si>
  <si>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</si>
  <si>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</si>
  <si>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</si>
  <si>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</si>
  <si>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</si>
  <si>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</si>
  <si>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</si>
  <si>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</si>
  <si>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</si>
  <si>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</si>
  <si>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</si>
  <si>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</si>
  <si>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</si>
  <si>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</si>
  <si>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</si>
  <si>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</si>
  <si>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</si>
  <si>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</si>
  <si>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</si>
  <si>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</si>
  <si>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</si>
  <si>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</si>
  <si>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</si>
  <si>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</si>
  <si>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</si>
  <si>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</si>
  <si>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</si>
  <si>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</si>
  <si>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</si>
  <si>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</si>
  <si>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</si>
  <si>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</si>
  <si>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</si>
  <si>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</si>
  <si>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</si>
  <si>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</si>
  <si>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</si>
  <si>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</si>
  <si>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</si>
  <si>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</si>
  <si>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</si>
  <si>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</si>
  <si>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</si>
  <si>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</si>
  <si>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</si>
  <si>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</si>
  <si>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</si>
  <si>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</si>
  <si>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</si>
  <si>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</si>
  <si>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</si>
  <si>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</si>
  <si>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</si>
  <si>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</si>
  <si>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</si>
  <si>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</si>
  <si>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</si>
  <si>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</si>
  <si>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</si>
  <si>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</si>
  <si>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</si>
  <si>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</si>
  <si>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</si>
  <si>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</si>
  <si>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</si>
  <si>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</si>
  <si>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</si>
  <si>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</si>
  <si>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</si>
  <si>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</si>
  <si>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</si>
  <si>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</si>
  <si>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</si>
  <si>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</si>
  <si>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</si>
  <si>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</si>
  <si>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</si>
  <si>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</si>
  <si>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</si>
  <si>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</si>
  <si>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</si>
  <si>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</si>
  <si>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</si>
  <si>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</si>
  <si>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</si>
  <si>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</si>
  <si>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</si>
  <si>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</si>
  <si>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</si>
  <si>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</si>
  <si>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</si>
  <si>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</si>
  <si>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</si>
  <si>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</si>
  <si>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</si>
  <si>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</si>
  <si>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</si>
  <si>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</si>
  <si>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</si>
  <si>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</si>
  <si>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</si>
  <si>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</si>
  <si>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</si>
  <si>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</si>
  <si>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</si>
  <si>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</si>
  <si>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</si>
  <si>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</si>
  <si>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</si>
  <si>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</si>
  <si>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</si>
  <si>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</si>
  <si>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</si>
  <si>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</si>
  <si>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</si>
  <si>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</si>
  <si>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</si>
  <si>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</si>
  <si>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</si>
  <si>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</si>
  <si>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</si>
  <si>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</si>
  <si>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</si>
  <si>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</si>
  <si>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</si>
  <si>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</si>
  <si>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</si>
  <si>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</si>
  <si>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</si>
  <si>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</si>
  <si>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</si>
  <si>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</si>
  <si>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</si>
  <si>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</si>
  <si>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</si>
  <si>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</si>
  <si>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</si>
  <si>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</si>
  <si>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</si>
  <si>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</si>
  <si>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</si>
  <si>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</si>
  <si>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</si>
  <si>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</si>
  <si>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</si>
  <si>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</si>
  <si>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</si>
  <si>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</si>
  <si>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</si>
  <si>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</si>
  <si>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</si>
  <si>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</si>
  <si>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</si>
  <si>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</si>
  <si>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</si>
  <si>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</si>
  <si>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</si>
  <si>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</si>
  <si>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</si>
  <si>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</si>
  <si>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</si>
  <si>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</si>
  <si>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</si>
  <si>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</si>
  <si>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</si>
  <si>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</si>
  <si>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</si>
  <si>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</si>
  <si>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</si>
  <si>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</si>
  <si>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</si>
  <si>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</si>
  <si>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</si>
  <si>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</si>
  <si>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</si>
  <si>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</si>
  <si>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</si>
  <si>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</si>
  <si>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</si>
  <si>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</si>
  <si>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</si>
  <si>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</si>
  <si>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</si>
  <si>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</si>
  <si>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</si>
  <si>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</si>
  <si>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</si>
  <si>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</si>
  <si>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</si>
  <si>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</si>
  <si>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</si>
  <si>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</si>
  <si>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</si>
  <si>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</si>
  <si>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</si>
  <si>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</si>
  <si>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</si>
  <si>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</si>
  <si>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</si>
  <si>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</si>
  <si>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</si>
  <si>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</si>
  <si>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</si>
  <si>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</si>
  <si>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</si>
  <si>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</si>
  <si>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</si>
  <si>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</si>
  <si>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</si>
  <si>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</si>
  <si>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</si>
  <si>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</si>
  <si>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</si>
  <si>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</si>
  <si>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</si>
  <si>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</si>
  <si>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</si>
  <si>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</si>
  <si>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</si>
  <si>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</si>
  <si>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</si>
  <si>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</si>
  <si>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</si>
  <si>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</si>
  <si>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</si>
  <si>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</si>
  <si>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</si>
  <si>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</si>
  <si>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</si>
  <si>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</si>
  <si>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</si>
  <si>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</si>
  <si>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</si>
  <si>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</si>
  <si>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</si>
  <si>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</si>
  <si>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</si>
  <si>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</si>
  <si>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</si>
  <si>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</si>
  <si>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</si>
  <si>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</si>
  <si>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</si>
  <si>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</si>
  <si>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</si>
  <si>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</si>
  <si>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</si>
  <si>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</si>
  <si>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</si>
  <si>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</si>
  <si>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</si>
  <si>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</si>
  <si>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</si>
  <si>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</si>
  <si>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</si>
  <si>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</si>
  <si>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</si>
  <si>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</si>
  <si>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</si>
  <si>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</si>
  <si>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</si>
  <si>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</si>
  <si>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</si>
  <si>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</si>
  <si>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</si>
  <si>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</si>
  <si>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</si>
  <si>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</si>
  <si>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</si>
  <si>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</si>
  <si>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</si>
  <si>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</si>
  <si>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</si>
  <si>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</si>
  <si>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</si>
  <si>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</si>
  <si>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</si>
  <si>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</si>
  <si>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</si>
  <si>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</si>
  <si>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</si>
  <si>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</si>
  <si>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</si>
  <si>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</si>
  <si>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</si>
  <si>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</si>
  <si>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</si>
  <si>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</si>
  <si>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</si>
  <si>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</si>
  <si>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</si>
  <si>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</si>
  <si>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</si>
  <si>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</si>
  <si>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</si>
  <si>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</si>
  <si>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</si>
  <si>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</si>
  <si>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</si>
  <si>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</si>
  <si>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</si>
  <si>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</si>
  <si>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</si>
  <si>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</si>
  <si>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</si>
  <si>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</si>
  <si>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</si>
  <si>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</si>
  <si>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</si>
  <si>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</si>
  <si>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</si>
  <si>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</si>
  <si>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</si>
  <si>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</si>
  <si>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</si>
  <si>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</si>
  <si>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</si>
  <si>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</si>
  <si>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</si>
  <si>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</si>
  <si>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</si>
  <si>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</si>
  <si>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</si>
  <si>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</si>
  <si>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</si>
  <si>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</si>
  <si>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</si>
  <si>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</si>
  <si>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</si>
  <si>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</si>
  <si>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</si>
  <si>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</si>
  <si>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</si>
  <si>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</si>
  <si>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</si>
  <si>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</si>
  <si>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</si>
  <si>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</si>
  <si>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</si>
  <si>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</si>
  <si>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</si>
  <si>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</si>
  <si>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</si>
  <si>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</si>
  <si>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</si>
  <si>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</si>
  <si>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</si>
  <si>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</si>
  <si>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</si>
  <si>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</si>
  <si>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</si>
  <si>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</si>
  <si>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</si>
  <si>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</si>
  <si>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</si>
  <si>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</si>
  <si>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</si>
  <si>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</si>
  <si>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</si>
  <si>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</si>
  <si>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</si>
  <si>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</si>
  <si>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</si>
  <si>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</si>
  <si>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</si>
  <si>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</si>
  <si>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</si>
  <si>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</si>
  <si>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</si>
  <si>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</si>
  <si>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</si>
  <si>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</si>
  <si>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</si>
  <si>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</si>
  <si>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</si>
  <si>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</si>
  <si>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</si>
  <si>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</si>
  <si>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</si>
  <si>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</si>
  <si>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</si>
  <si>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</si>
  <si>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</si>
  <si>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</si>
  <si>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</si>
  <si>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</si>
  <si>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</si>
  <si>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</si>
  <si>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</si>
  <si>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</si>
  <si>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</si>
  <si>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</si>
  <si>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</si>
  <si>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</si>
  <si>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</si>
  <si>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</si>
  <si>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</si>
  <si>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</si>
  <si>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</si>
  <si>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</si>
  <si>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</si>
  <si>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</si>
  <si>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</si>
  <si>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</si>
  <si>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</si>
  <si>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</si>
  <si>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</si>
  <si>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</si>
  <si>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</si>
  <si>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</si>
  <si>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</si>
  <si>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</si>
  <si>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</si>
  <si>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</si>
  <si>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</si>
  <si>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</si>
  <si>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</si>
  <si>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</si>
  <si>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</si>
  <si>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</si>
  <si>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</si>
  <si>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</si>
  <si>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</si>
  <si>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</si>
  <si>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</si>
  <si>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</si>
  <si>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</si>
  <si>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</si>
  <si>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</si>
  <si>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</si>
  <si>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</si>
  <si>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</si>
  <si>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</si>
  <si>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</si>
  <si>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</si>
  <si>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</si>
  <si>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</si>
  <si>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</si>
  <si>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</si>
  <si>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</si>
  <si>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</si>
  <si>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</si>
  <si>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</si>
  <si>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</si>
  <si>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</si>
  <si>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</si>
  <si>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</si>
  <si>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</si>
  <si>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</si>
  <si>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</si>
  <si>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</si>
  <si>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</si>
  <si>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</si>
  <si>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</si>
  <si>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</si>
  <si>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</si>
  <si>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</si>
  <si>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</si>
  <si>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</si>
  <si>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</si>
  <si>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</si>
  <si>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</si>
  <si>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</si>
  <si>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</si>
  <si>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</si>
  <si>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</si>
  <si>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</si>
  <si>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</si>
  <si>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</si>
  <si>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</si>
  <si>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</si>
  <si>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</si>
  <si>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</si>
  <si>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</si>
  <si>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</si>
  <si>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</si>
  <si>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</si>
  <si>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</si>
  <si>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</si>
  <si>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</si>
  <si>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</si>
  <si>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</si>
  <si>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</si>
  <si>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</si>
  <si>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</si>
  <si>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</si>
  <si>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</si>
  <si>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</si>
  <si>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</si>
  <si>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</si>
  <si>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</si>
  <si>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</si>
  <si>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</si>
  <si>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</si>
  <si>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</si>
  <si>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</si>
  <si>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</si>
  <si>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</si>
  <si>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</si>
  <si>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</si>
  <si>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</si>
  <si>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</si>
  <si>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</si>
  <si>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</si>
  <si>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</si>
  <si>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</si>
  <si>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</si>
  <si>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</si>
  <si>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</si>
  <si>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</si>
  <si>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</si>
  <si>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</si>
  <si>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</si>
  <si>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</si>
  <si>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</si>
  <si>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</si>
  <si>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</si>
  <si>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</si>
  <si>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</si>
  <si>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</si>
  <si>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</si>
  <si>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</si>
  <si>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</si>
  <si>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</si>
  <si>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</si>
  <si>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</si>
  <si>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</si>
  <si>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</si>
  <si>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</si>
  <si>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</si>
  <si>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</si>
  <si>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</si>
  <si>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</si>
  <si>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</si>
  <si>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</si>
  <si>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</si>
  <si>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</si>
  <si>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</si>
  <si>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</si>
  <si>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</si>
  <si>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</si>
  <si>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</si>
  <si>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</si>
  <si>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</si>
  <si>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</si>
  <si>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</si>
  <si>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</si>
  <si>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</si>
  <si>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</si>
  <si>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</si>
  <si>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</si>
  <si>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</si>
  <si>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</si>
  <si>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</si>
  <si>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</si>
  <si>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</si>
  <si>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</si>
  <si>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</si>
  <si>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</si>
  <si>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</si>
  <si>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</si>
  <si>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</si>
  <si>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</si>
  <si>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</si>
  <si>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</si>
  <si>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</si>
  <si>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</si>
  <si>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</si>
  <si>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</si>
  <si>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</si>
  <si>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</si>
  <si>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</si>
  <si>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</si>
  <si>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</si>
  <si>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</si>
  <si>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</si>
  <si>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</si>
  <si>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</si>
  <si>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</si>
  <si>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</si>
  <si>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</si>
  <si>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</si>
  <si>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</si>
  <si>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</si>
  <si>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</si>
  <si>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</si>
  <si>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</si>
  <si>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</si>
  <si>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</si>
  <si>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</si>
  <si>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</si>
  <si>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</si>
  <si>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</si>
  <si>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</si>
  <si>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</si>
  <si>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</si>
  <si>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</si>
  <si>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</si>
  <si>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</si>
  <si>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</si>
  <si>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</si>
  <si>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</si>
  <si>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</si>
  <si>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</si>
  <si>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</si>
  <si>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</si>
  <si>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</si>
  <si>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</si>
  <si>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</si>
  <si>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</si>
  <si>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</si>
  <si>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</si>
  <si>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</si>
  <si>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</si>
  <si>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</si>
  <si>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</si>
  <si>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</si>
  <si>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</si>
  <si>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</si>
  <si>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</si>
  <si>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</si>
  <si>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</si>
  <si>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</si>
  <si>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</si>
  <si>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</si>
  <si>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</si>
  <si>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</si>
  <si>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</si>
  <si>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</si>
  <si>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</si>
  <si>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</si>
  <si>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</si>
  <si>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</si>
  <si>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</si>
  <si>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</si>
  <si>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</si>
  <si>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</si>
  <si>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</si>
  <si>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</si>
  <si>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</si>
  <si>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</si>
  <si>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</si>
  <si>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</si>
  <si>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</si>
  <si>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</si>
  <si>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</si>
  <si>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</si>
  <si>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</si>
  <si>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</si>
  <si>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</si>
  <si>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</si>
  <si>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</si>
  <si>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</si>
  <si>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</si>
  <si>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</si>
  <si>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</si>
  <si>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</si>
  <si>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</si>
  <si>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</si>
  <si>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</si>
  <si>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</si>
  <si>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</si>
  <si>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</si>
  <si>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</si>
  <si>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</si>
  <si>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</si>
  <si>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</si>
  <si>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</si>
  <si>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</si>
  <si>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</si>
  <si>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</si>
  <si>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</si>
  <si>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</si>
  <si>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</si>
  <si>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</si>
  <si>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</si>
  <si>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</si>
  <si>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</si>
  <si>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</si>
  <si>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</si>
  <si>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</si>
  <si>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</si>
  <si>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</si>
  <si>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</si>
  <si>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</si>
  <si>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</si>
  <si>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</si>
  <si>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</si>
  <si>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</si>
  <si>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</si>
  <si>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</si>
  <si>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</si>
  <si>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</si>
  <si>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</si>
  <si>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</si>
  <si>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</si>
  <si>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</si>
  <si>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</si>
  <si>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</si>
  <si>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</si>
  <si>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</si>
  <si>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</si>
  <si>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</si>
  <si>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</si>
  <si>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</si>
  <si>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</si>
  <si>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</si>
  <si>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</si>
  <si>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</si>
  <si>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</si>
  <si>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</si>
  <si>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</si>
  <si>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</si>
  <si>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</si>
  <si>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</si>
  <si>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</si>
  <si>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</si>
  <si>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</si>
  <si>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</si>
  <si>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</si>
  <si>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</si>
  <si>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</si>
  <si>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</si>
  <si>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</si>
  <si>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</si>
  <si>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</si>
  <si>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</si>
  <si>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</si>
  <si>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</si>
  <si>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</si>
  <si>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</si>
  <si>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</si>
  <si>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</si>
  <si>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</si>
  <si>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</si>
  <si>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</si>
  <si>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</si>
  <si>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</si>
  <si>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</si>
  <si>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</si>
  <si>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</si>
  <si>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</si>
  <si>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</si>
  <si>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</si>
  <si>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</si>
  <si>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</si>
  <si>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</si>
  <si>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</si>
  <si>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</si>
  <si>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</si>
  <si>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</si>
  <si>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</si>
  <si>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</si>
  <si>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</si>
  <si>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</si>
  <si>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</si>
  <si>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</si>
  <si>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</si>
  <si>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</si>
  <si>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</si>
  <si>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</si>
  <si>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</si>
  <si>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</si>
  <si>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</si>
  <si>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</si>
  <si>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</si>
  <si>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</si>
  <si>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</si>
  <si>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</si>
  <si>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</si>
  <si>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</si>
  <si>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</si>
  <si>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</si>
  <si>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</si>
  <si>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</si>
  <si>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</si>
  <si>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</si>
  <si>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</si>
  <si>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</si>
  <si>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</si>
  <si>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</si>
  <si>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</si>
  <si>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</si>
  <si>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</si>
  <si>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</si>
  <si>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</si>
  <si>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</si>
  <si>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</si>
  <si>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</si>
  <si>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</si>
  <si>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</si>
  <si>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</si>
  <si>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</si>
  <si>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</si>
  <si>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</si>
  <si>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</si>
  <si>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</si>
  <si>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</si>
  <si>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</si>
  <si>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</si>
  <si>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</si>
  <si>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</si>
  <si>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</si>
  <si>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</si>
  <si>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</si>
  <si>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</si>
  <si>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</si>
  <si>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</si>
  <si>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</si>
  <si>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</si>
  <si>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</si>
  <si>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</si>
  <si>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</si>
  <si>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</si>
  <si>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</si>
  <si>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</si>
  <si>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</si>
  <si>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</si>
  <si>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</si>
  <si>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</si>
  <si>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</si>
  <si>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</si>
  <si>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</si>
  <si>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</si>
  <si>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</si>
  <si>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</si>
  <si>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</si>
  <si>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</si>
  <si>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</si>
  <si>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</si>
  <si>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</si>
  <si>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</si>
  <si>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</si>
  <si>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</si>
  <si>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</si>
  <si>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</si>
  <si>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</si>
  <si>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</si>
  <si>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</si>
  <si>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</si>
  <si>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</si>
  <si>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</si>
  <si>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</si>
  <si>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</si>
  <si>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</si>
  <si>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</si>
  <si>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</si>
  <si>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</si>
  <si>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</si>
  <si>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</si>
  <si>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</si>
  <si>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</si>
  <si>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</si>
  <si>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</si>
  <si>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</si>
  <si>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</si>
  <si>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</si>
  <si>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</si>
  <si>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</si>
  <si>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</si>
  <si>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</si>
  <si>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</si>
  <si>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</si>
  <si>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</si>
  <si>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</si>
  <si>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</si>
  <si>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</si>
  <si>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</si>
  <si>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</si>
  <si>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</si>
  <si>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</si>
  <si>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</si>
  <si>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</si>
  <si>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</si>
  <si>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</si>
  <si>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</si>
  <si>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</si>
  <si>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</si>
  <si>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</si>
  <si>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</si>
  <si>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</si>
  <si>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</si>
  <si>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</si>
  <si>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</si>
  <si>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</si>
  <si>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</si>
  <si>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</si>
  <si>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</si>
  <si>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</si>
  <si>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</si>
  <si>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</si>
  <si>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</si>
  <si>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</si>
  <si>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</si>
  <si>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</si>
  <si>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</si>
  <si>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</si>
  <si>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</si>
  <si>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</si>
  <si>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</si>
  <si>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</si>
  <si>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</si>
  <si>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</si>
  <si>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</si>
  <si>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</si>
  <si>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</si>
  <si>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</si>
  <si>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</si>
  <si>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</si>
  <si>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</si>
  <si>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</si>
  <si>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</si>
  <si>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</si>
  <si>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</si>
  <si>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</si>
  <si>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</si>
  <si>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</si>
  <si>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</si>
  <si>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</si>
  <si>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</si>
  <si>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</si>
  <si>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</si>
  <si>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</si>
  <si>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</si>
  <si>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</si>
  <si>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</si>
  <si>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</si>
  <si>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</si>
  <si>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</si>
  <si>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</si>
  <si>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</si>
  <si>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</si>
  <si>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</si>
  <si>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</si>
  <si>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</si>
  <si>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</si>
  <si>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</si>
  <si>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</si>
  <si>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</si>
  <si>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</si>
  <si>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</si>
  <si>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</si>
  <si>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</si>
  <si>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</si>
  <si>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</si>
  <si>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</si>
  <si>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</si>
  <si>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</si>
  <si>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</si>
  <si>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</si>
  <si>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</si>
  <si>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</si>
  <si>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</si>
  <si>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</si>
  <si>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</si>
  <si>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</si>
  <si>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</si>
  <si>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</si>
  <si>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</si>
  <si>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</si>
  <si>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</si>
  <si>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</si>
  <si>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</si>
  <si>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</si>
  <si>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</si>
  <si>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</si>
  <si>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</si>
  <si>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</si>
  <si>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</si>
  <si>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</si>
  <si>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</si>
  <si>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</si>
  <si>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</si>
  <si>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</si>
  <si>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</si>
  <si>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</si>
  <si>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</si>
  <si>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</si>
  <si>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</si>
  <si>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</si>
  <si>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</si>
  <si>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</si>
  <si>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</si>
  <si>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</si>
  <si>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</si>
  <si>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</si>
  <si>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</si>
  <si>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</si>
  <si>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</si>
  <si>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</si>
  <si>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</si>
  <si>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</si>
  <si>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</si>
  <si>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</si>
  <si>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</si>
  <si>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</si>
  <si>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</si>
  <si>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</si>
  <si>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</si>
  <si>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</si>
  <si>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</si>
  <si>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</si>
  <si>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</si>
  <si>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</si>
  <si>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</si>
  <si>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</si>
  <si>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</si>
  <si>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</si>
  <si>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</si>
  <si>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</si>
  <si>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</si>
  <si>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</si>
  <si>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</si>
  <si>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</si>
  <si>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</si>
  <si>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</si>
  <si>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</si>
  <si>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</si>
  <si>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</si>
  <si>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</si>
  <si>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</si>
  <si>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</si>
  <si>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</si>
  <si>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</si>
  <si>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</si>
  <si>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</si>
  <si>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</si>
  <si>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</si>
  <si>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</si>
  <si>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</si>
  <si>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</si>
  <si>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</si>
  <si>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</si>
  <si>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</si>
  <si>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</si>
  <si>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</si>
  <si>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</si>
  <si>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</si>
  <si>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</si>
  <si>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</si>
  <si>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</si>
  <si>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</si>
  <si>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</si>
  <si>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</si>
  <si>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</si>
  <si>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</si>
  <si>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</si>
  <si>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</si>
  <si>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</si>
  <si>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</si>
  <si>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</si>
  <si>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</si>
  <si>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</si>
  <si>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</si>
  <si>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</si>
  <si>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</si>
  <si>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</si>
  <si>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</si>
  <si>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</si>
  <si>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</si>
  <si>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</si>
  <si>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</si>
  <si>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</si>
  <si>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</si>
  <si>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</si>
  <si>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</si>
  <si>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</si>
  <si>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</si>
  <si>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</si>
  <si>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</si>
  <si>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</si>
  <si>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</si>
  <si>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</si>
  <si>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</si>
  <si>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</si>
  <si>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</si>
  <si>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</si>
  <si>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</si>
  <si>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</si>
  <si>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</si>
  <si>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</si>
  <si>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</si>
  <si>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</si>
  <si>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</si>
  <si>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</si>
  <si>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</si>
  <si>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</si>
  <si>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</si>
  <si>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</si>
  <si>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</si>
  <si>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</si>
  <si>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</si>
  <si>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</si>
  <si>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</si>
  <si>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</si>
  <si>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</si>
  <si>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</si>
  <si>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</si>
  <si>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</si>
  <si>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</si>
  <si>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</si>
  <si>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</si>
  <si>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</si>
  <si>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</si>
  <si>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</si>
  <si>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</si>
  <si>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</si>
  <si>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</si>
  <si>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</si>
  <si>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</si>
  <si>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</si>
  <si>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</si>
  <si>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</si>
  <si>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</si>
  <si>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</si>
  <si>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</si>
  <si>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</si>
  <si>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</si>
  <si>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</si>
  <si>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</si>
  <si>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</si>
  <si>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</si>
  <si>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</si>
  <si>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</si>
  <si>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</si>
  <si>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</si>
  <si>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</si>
  <si>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</si>
  <si>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</si>
  <si>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</si>
  <si>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</si>
  <si>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</si>
  <si>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</si>
  <si>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</si>
  <si>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</si>
  <si>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</si>
  <si>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</si>
  <si>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</si>
  <si>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</si>
  <si>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</si>
  <si>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</si>
  <si>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</si>
  <si>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</si>
  <si>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</si>
  <si>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</si>
  <si>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</si>
  <si>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</si>
  <si>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</si>
  <si>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</si>
  <si>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</si>
  <si>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</si>
  <si>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</si>
  <si>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</si>
  <si>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</si>
  <si>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</si>
  <si>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</si>
  <si>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</si>
  <si>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</si>
  <si>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</si>
  <si>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</si>
  <si>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</si>
  <si>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</si>
  <si>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</si>
  <si>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</si>
  <si>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</si>
  <si>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</si>
  <si>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</si>
  <si>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</si>
  <si>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</si>
  <si>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</si>
  <si>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</si>
  <si>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</si>
  <si>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</si>
  <si>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</si>
  <si>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</si>
  <si>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</si>
  <si>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</si>
  <si>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</si>
  <si>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</si>
  <si>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</si>
  <si>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</si>
  <si>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</si>
  <si>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</si>
  <si>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</si>
  <si>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</si>
  <si>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</si>
  <si>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</si>
  <si>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</si>
  <si>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</si>
  <si>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</si>
  <si>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</si>
  <si>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</si>
  <si>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</si>
  <si>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</si>
  <si>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</si>
  <si>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</si>
  <si>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</si>
  <si>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</si>
  <si>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</si>
  <si>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</si>
  <si>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</si>
  <si>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</si>
  <si>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</si>
  <si>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</si>
  <si>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</si>
  <si>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</si>
  <si>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</si>
  <si>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</si>
  <si>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</si>
  <si>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</si>
  <si>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</si>
  <si>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</si>
  <si>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</si>
  <si>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</si>
  <si>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</si>
  <si>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</si>
  <si>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</si>
  <si>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</si>
  <si>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</si>
  <si>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</si>
  <si>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</si>
  <si>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</si>
  <si>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</si>
  <si>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</si>
  <si>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</si>
  <si>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</si>
  <si>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</si>
  <si>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</si>
  <si>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</si>
  <si>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</si>
  <si>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</si>
  <si>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</si>
  <si>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</si>
  <si>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</si>
  <si>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</si>
  <si>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</si>
  <si>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</si>
  <si>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</si>
  <si>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</si>
  <si>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</si>
  <si>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</si>
  <si>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</si>
  <si>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</si>
  <si>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</si>
  <si>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</si>
  <si>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</si>
  <si>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</si>
  <si>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</si>
  <si>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</si>
  <si>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</si>
  <si>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</si>
  <si>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</si>
  <si>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</si>
  <si>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</si>
  <si>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</si>
  <si>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</si>
  <si>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</si>
  <si>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</si>
  <si>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</si>
  <si>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</si>
  <si>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</si>
  <si>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</si>
  <si>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</si>
  <si>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</si>
  <si>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</si>
  <si>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</si>
  <si>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</si>
  <si>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</si>
  <si>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</si>
  <si>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</si>
  <si>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</si>
  <si>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</si>
  <si>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</si>
  <si>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</si>
  <si>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</si>
  <si>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</si>
  <si>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</si>
  <si>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</si>
  <si>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</si>
  <si>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</si>
  <si>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</si>
  <si>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</si>
  <si>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</si>
  <si>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</si>
  <si>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</si>
  <si>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</si>
  <si>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</si>
  <si>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</si>
  <si>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</si>
  <si>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</si>
  <si>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</si>
  <si>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</si>
  <si>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</si>
  <si>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</si>
  <si>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</si>
  <si>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</si>
  <si>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</si>
  <si>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</si>
  <si>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</si>
  <si>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</si>
  <si>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</si>
  <si>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</si>
  <si>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</si>
  <si>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</si>
  <si>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</si>
  <si>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</si>
  <si>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</si>
  <si>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</si>
  <si>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</si>
  <si>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</si>
  <si>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</si>
  <si>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</si>
  <si>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</si>
  <si>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</si>
  <si>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</si>
  <si>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</si>
  <si>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</si>
  <si>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</si>
  <si>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</si>
  <si>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</si>
  <si>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</si>
  <si>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</si>
  <si>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</si>
  <si>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</si>
  <si>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</si>
  <si>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</si>
  <si>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</si>
  <si>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</si>
  <si>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</si>
  <si>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</si>
  <si>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</si>
  <si>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</si>
  <si>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</si>
  <si>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</si>
  <si>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</si>
  <si>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</si>
  <si>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</si>
  <si>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</si>
  <si>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</si>
  <si>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</si>
  <si>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</si>
  <si>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Pehlman and Dold, P.C.</t>
  </si>
  <si>
    <t>100 North Amos Avenue</t>
  </si>
  <si>
    <t>Springfield</t>
  </si>
  <si>
    <t>IL</t>
  </si>
  <si>
    <t>(217) 787-0563</t>
  </si>
  <si>
    <t>(217) 787-9266</t>
  </si>
  <si>
    <t>060-004845</t>
  </si>
  <si>
    <t>x</t>
  </si>
  <si>
    <t>Dorinda L Fitzgerald</t>
  </si>
  <si>
    <t>dfitzgerald@p-dcpas.cpm</t>
  </si>
  <si>
    <t>500 East 15th Street</t>
  </si>
  <si>
    <t>Ron Gilbert, Superintendent</t>
  </si>
  <si>
    <t>(217) 323-3099</t>
  </si>
  <si>
    <t>(217) 323-5190</t>
  </si>
  <si>
    <t>gilbertr@beardstown.com</t>
  </si>
  <si>
    <t>Series 2005 QZAB</t>
  </si>
  <si>
    <t>Series 2010 QZAB</t>
  </si>
  <si>
    <t>Bus Capital Lease (paid out of Transportation Fund)</t>
  </si>
  <si>
    <t>Copier Capital Lease (paid out of Education Fund)</t>
  </si>
  <si>
    <t>Series 2016 Bonds</t>
  </si>
  <si>
    <t>Bus Capital Lease</t>
  </si>
  <si>
    <t>Copier Capital Lease</t>
  </si>
  <si>
    <t>Part C, 23 - Other than cash basis, the Auditor's Report is qualified due to the District not maintaining a formal record keeping system to track fixed assets accounted for in the General Fixed Asset Account Group.</t>
  </si>
  <si>
    <t>Series 2019 Bonds</t>
  </si>
  <si>
    <t>Prairie State Insurance Cooperative</t>
  </si>
  <si>
    <t>Four Rivers Special Education District</t>
  </si>
  <si>
    <t>Two Rivers Career Education System</t>
  </si>
  <si>
    <t>Education Fund - Acct 1690 - Cafeteria Rebates</t>
  </si>
  <si>
    <t>Education Fund - Acct 1993 - Student Parking Fees $350,  Child Care Program $41,949</t>
  </si>
  <si>
    <t>Education Fund - Acct 1999 - E-Rate $27,147, Misc Refunds &amp; Reimbursements $1,354</t>
  </si>
  <si>
    <t>Operations &amp; Maintenancer Fund - Acct 1999 - Insurance Claim Proceeds</t>
  </si>
  <si>
    <t>Education Fund - Acct 3999 - Other State Programs ISBE Source of Fund 3999 $1,484, Annual per Capita Grant $1,070</t>
  </si>
  <si>
    <t>Educaiton Fund - Acct 4399 - Title I School Improvement &amp; Accountability ISBE Source of Funds 4331 %22,206,  Title I Migrant</t>
  </si>
  <si>
    <t xml:space="preserve">     Incentive ISBE Source of Funds 4341 $5,245</t>
  </si>
  <si>
    <t>Education Fund - Function 4190, Object 600 - Refund of AG Grant Funds $386, Refund of Early Childhood Grant Funds $22,010</t>
  </si>
  <si>
    <t>Audit Check - Error 8 - Princpal payments for Capital Bus Leases are paid out of the Transportation Fund - Function 5300, Object 600</t>
  </si>
  <si>
    <t xml:space="preserve">    Principal payments for Capital Copier Lease is paid out of the Education Fund - Acct 8990 - Other Financing Uses</t>
  </si>
  <si>
    <t>Beardstown, IL</t>
  </si>
  <si>
    <t>US Department of Agriculture passed through the IL State Board of Education:</t>
  </si>
  <si>
    <t>Child Nutrition Cluster:</t>
  </si>
  <si>
    <t>National School Lunch Program-USDA Foods (non cash award)</t>
  </si>
  <si>
    <t>National School Lunch Program-DOD Fruits &amp; Vegetables (non cash award)</t>
  </si>
  <si>
    <t xml:space="preserve">   Total CFDA #10.555</t>
  </si>
  <si>
    <t>2018-4210</t>
  </si>
  <si>
    <t>2019-4210</t>
  </si>
  <si>
    <t>n/a</t>
  </si>
  <si>
    <t xml:space="preserve">   Total CFDA #10.553</t>
  </si>
  <si>
    <t>TOTAL US DEPT OF AG PASSED THROUGH THE IL STATE BOARD OF ED-CHILD NUTRITION CLUSTER</t>
  </si>
  <si>
    <t>2018-4220</t>
  </si>
  <si>
    <t>2019-4220</t>
  </si>
  <si>
    <t>US Department of Education passed through the IL State Board of Education:</t>
  </si>
  <si>
    <t>Title I Grants to Local Education Agencies-Low Income  (M)</t>
  </si>
  <si>
    <t>2018-4300</t>
  </si>
  <si>
    <t>2019-4300</t>
  </si>
  <si>
    <t>84.010A</t>
  </si>
  <si>
    <t>Title I Grants to Local Education Agencies-School Improvement &amp; Accountability  (M)</t>
  </si>
  <si>
    <t xml:space="preserve">   Total CFDA #84.010A</t>
  </si>
  <si>
    <t>Migrant Education State Grant Program-Migrant Basic Education  (M)</t>
  </si>
  <si>
    <t>Migrant Education State Grant Program-Migrant Summer  (M)</t>
  </si>
  <si>
    <t>84.011A</t>
  </si>
  <si>
    <t xml:space="preserve">   Total CFDA #84.011A</t>
  </si>
  <si>
    <t>Migrant Education Cooperative Program-Migrant Incentive  (M)</t>
  </si>
  <si>
    <t xml:space="preserve">   Total CFDA #84.144F</t>
  </si>
  <si>
    <t>84.144F</t>
  </si>
  <si>
    <t>2018-4340</t>
  </si>
  <si>
    <t>2018-4340-01</t>
  </si>
  <si>
    <t>2019-4340-01</t>
  </si>
  <si>
    <t>2018-4341</t>
  </si>
  <si>
    <t>2019-4341</t>
  </si>
  <si>
    <t>English Language Acquisition State Grants-Title III Immigrant Education Program (IEP)</t>
  </si>
  <si>
    <t>English Language Acquisition State Grants-Title III Limited Englist Program (LIPLEP)</t>
  </si>
  <si>
    <t>English Language Acquisition State Grants-Title III Limited English Program (LIPLEP)</t>
  </si>
  <si>
    <t>84.365A</t>
  </si>
  <si>
    <t xml:space="preserve">    Total CFDA #84.365A</t>
  </si>
  <si>
    <t>2018-4905</t>
  </si>
  <si>
    <t>2019-4905</t>
  </si>
  <si>
    <t>2018-4909</t>
  </si>
  <si>
    <t>2019-4909</t>
  </si>
  <si>
    <t>Improving Teacher Quality State Grants-Title II</t>
  </si>
  <si>
    <t xml:space="preserve">   Total CFDA #84.367A</t>
  </si>
  <si>
    <t>84.367A</t>
  </si>
  <si>
    <t>2018-4932</t>
  </si>
  <si>
    <t>Adverse-GAAP, Qualified-Regulatory Basis</t>
  </si>
  <si>
    <t>Title I Grants to Local Educ Agencies-School Improve/Accountability</t>
  </si>
  <si>
    <t>Title I Grants to Local Education Agencies-Low Income</t>
  </si>
  <si>
    <t>Migrant Education State Grant Pgm-Migrant Summer</t>
  </si>
  <si>
    <t>Migrant Education State Grant Pgm-Migrant Basic Education</t>
  </si>
  <si>
    <t>Migrant Educ Cooperative Pgm-Migrant Incentive</t>
  </si>
  <si>
    <t>The accompanying Schedule of Expenditures of Federal Awards includes the federal grant activity of Beardstown CUSD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</si>
  <si>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Beardstown CUSD #15 provided federal awards to subrecipients as follows:</t>
  </si>
  <si>
    <t>Not Applicable - no payments to subrecipients</t>
  </si>
  <si>
    <r>
      <t xml:space="preserve">The following amounts were expended in the form of non-cash assistance by Beardstown CUSD #15 and </t>
    </r>
    <r>
      <rPr>
        <b/>
        <sz val="9"/>
        <rFont val="Calibri"/>
        <family val="2"/>
        <scheme val="minor"/>
      </rPr>
      <t>should be</t>
    </r>
    <r>
      <rPr>
        <sz val="9"/>
        <rFont val="Calibri"/>
        <family val="2"/>
        <scheme val="minor"/>
      </rPr>
      <t xml:space="preserve"> included in the Schedule of Expenditures of Federal Awards:</t>
    </r>
  </si>
  <si>
    <t>2018-001</t>
  </si>
  <si>
    <t>agency were not supported by general ledger</t>
  </si>
  <si>
    <t>postings.  Additionally, one expenditure not</t>
  </si>
  <si>
    <t>2018-002</t>
  </si>
  <si>
    <t>Procurement requirement not properly followed.</t>
  </si>
  <si>
    <t>Purchases between $3,500 - $150,000 were not</t>
  </si>
  <si>
    <t>supported by proper rate quotes and properly</t>
  </si>
  <si>
    <t>Student Support and Academic Enrichment Program Title IVA</t>
  </si>
  <si>
    <t>2019-4400</t>
  </si>
  <si>
    <t>TOTAL US DEPT OF EDUCATION PASSED THROUGH THE IL STATE BOARD OF EDUCATION</t>
  </si>
  <si>
    <t>US Department of Education -Federal Flow Through from One LEA to Another:</t>
  </si>
  <si>
    <t>Flow Through from 4 Rivers Special Education District:</t>
  </si>
  <si>
    <t xml:space="preserve">    Total CFDA #84.027A</t>
  </si>
  <si>
    <t>84.027A</t>
  </si>
  <si>
    <t>Special Education Grants to States-Fed. Sp. Ed.-Preschool Flow Through</t>
  </si>
  <si>
    <t>Special Education Grants to States-Fed. Sp. Ed.-IDEA Flow Through</t>
  </si>
  <si>
    <t>84.173A</t>
  </si>
  <si>
    <t xml:space="preserve">   Total CFDA #84.173A</t>
  </si>
  <si>
    <t>TOTAL US DEPT OF EDUCATION-FEDERAL FLOW THROUGH FROM ONE LEA TO ANOTHER</t>
  </si>
  <si>
    <t>TOTAL FEDERAL FUNDING</t>
  </si>
  <si>
    <t>Without proper internal controls over financial reporting, there is a potential for financial statements with material misstatements being issued or relied upon for compliance requirements.</t>
  </si>
  <si>
    <t>Established internal controls over financial reporting are either not adequate to detect material financial misstatments or are not being performed in a timely manner by those responsible for financial statement review.</t>
  </si>
  <si>
    <t>Management is in agreement with the finding and all proposed material adjustments made during audit procedures.</t>
  </si>
  <si>
    <t>Internal controls over financial reporting are either not adequate in detailing procedures to detect material financial statement misstatements in a timely manner or are not routinely being adhered to.  This resulted in materially misstated financial statements being made available during the audit.</t>
  </si>
  <si>
    <t>Title I Grants to Local Education Agencies</t>
  </si>
  <si>
    <t>2018-4300, 2019-4331</t>
  </si>
  <si>
    <t>Illinois State Board of Education</t>
  </si>
  <si>
    <t>US Department of Education</t>
  </si>
  <si>
    <t>Allowable costs &amp; reporting-Direct federal costs should be supported by adequate documentation, given consistent treatment, not be used as a cost or meet cost sharing requirements for other federal programs and be supported by audited accounting records.</t>
  </si>
  <si>
    <t>2018-4300   $1,053          2019-4331   $15,000</t>
  </si>
  <si>
    <t>Without proper controls over allowable costs and reporting, expenditures may be incorrectly reported to the granting agency as an allowable expenditure used to spend federal awards according to an approved award budget.</t>
  </si>
  <si>
    <t>Review all policies over allowable costs and reporting to determine if the provide adequate guidance.  Revise policies if deemed necessary.  Additionally, make sure all responsible individuals are aware of such policies and they are being adhered to.</t>
  </si>
  <si>
    <t>Management is in agreement with the finding.</t>
  </si>
  <si>
    <t>84.011A, 84.144F</t>
  </si>
  <si>
    <t>2019-4340  $70      2018-4340-01    $521     2018-4341   $102</t>
  </si>
  <si>
    <t>2019-4340, 2018-4340-01, 2018-4341</t>
  </si>
  <si>
    <t>Migrant Education State Grant Pgms, Migrant Education Cooperative Pgm</t>
  </si>
  <si>
    <t>Illinois Department of Education</t>
  </si>
  <si>
    <t>Under the Uniform Guidance, methods of procurement for small purchase should us the simple and informal procurement method for securing services, supplies or other property and be adequately documented.</t>
  </si>
  <si>
    <t>None</t>
  </si>
  <si>
    <t xml:space="preserve">Disbursements were sampled to verify compliance with the District's approved procurement policy for small purchases.  The District did not always obtain rate quotes prior to purchasing or could not provide adequate documentation to support procurement compliance. </t>
  </si>
  <si>
    <t>Migrant Education State Grant Programs</t>
  </si>
  <si>
    <t>2019-4331</t>
  </si>
  <si>
    <t>Without proper tracking records of capital assets paid for with federal funds, there is the risk that the District will not be in compliance with the Uniform Guidance as it relates to the use of and disposition of federally purchased items.</t>
  </si>
  <si>
    <t>The District did not adopt a policy detailing compliance requirements for federally purchased capital assets.</t>
  </si>
  <si>
    <t>The District should review the compliance requirements for federally purchased capital assets and adopt a policy detailing procedures needed to meet these requirements.  Internal controls should be established to ensure the policy is being adhered to.</t>
  </si>
  <si>
    <t>The District is in agreement with the finding.</t>
  </si>
  <si>
    <t>For disbursements tested that were for equipment, the District could not provide support that a physical inventory was taken or records indicating that the item was properly tagged by program and was being used for it's authorized purpose.</t>
  </si>
  <si>
    <t xml:space="preserve">Review internal controls over financial reporting to make sure they provide adequate guidance over the financial review process.  If deemed necessary, review financial reporting guidelines established by the IL State Board of Education to ensure those responsible for financial reporting and review are familiar with such guidelines. </t>
  </si>
  <si>
    <t>ED-Instruction-Supplies</t>
  </si>
  <si>
    <t>10-1000-400</t>
  </si>
  <si>
    <t>American Reading Co</t>
  </si>
  <si>
    <t>ED-Instruction-Purchased Services</t>
  </si>
  <si>
    <t>10-1000-300</t>
  </si>
  <si>
    <t>CDS</t>
  </si>
  <si>
    <t>20-2540-300</t>
  </si>
  <si>
    <t>McGraw Hill</t>
  </si>
  <si>
    <t>O&amp;M-Oper &amp; Maint of Plant Services-Purchase Services</t>
  </si>
  <si>
    <t>PSIC</t>
  </si>
  <si>
    <t>O&amp;M-Oper &amp; Maint of Plant Services-Supplies</t>
  </si>
  <si>
    <t>20-2540-400</t>
  </si>
  <si>
    <t>TSS</t>
  </si>
  <si>
    <t>Educaiton Fund - Function 2900, Object 400 - Homeless student supplies</t>
  </si>
  <si>
    <t>Partially implemented - Repeat Finding</t>
  </si>
  <si>
    <t xml:space="preserve">Cass                  </t>
  </si>
  <si>
    <t xml:space="preserve">Pehlman and Dold, P.C.                 </t>
  </si>
  <si>
    <t>Under the regulatory basis of accounting prescribed by the IL State Board of Education, financial records of a school district should comply with established guidelines detailing allowable funds and types of activities allowed to be recorded in such funds.</t>
  </si>
  <si>
    <t>Cumulative expenditures reported to the granting agency to show use of funds could not be reconciled, by function &amp; object, to detailed general ledger postings used to track allowable expenditures by funding type.</t>
  </si>
  <si>
    <t>Expenditures reported to the granting agency as allowable were not supported by actual general ledger postings by function/object, which could result in reported expenditures to later be deemed unallowable, resulting in unspent federal funds.</t>
  </si>
  <si>
    <t>Proper internal controls over allowable costs and reporting either do not adequately detail procedures to determine allowable costs used to prepare required reports or are not routinely being adhered to.</t>
  </si>
  <si>
    <t>The District did not either obtain rate quotes prior to approving the disbursement from federal funds in accordance with their approved procurement policy, or did not have adequate documention to support compliance.</t>
  </si>
  <si>
    <t>Without obtaining rate quotes prior to purchase, there is a risk that the District did not obtain the best price for a particular product or service.</t>
  </si>
  <si>
    <t>Without obtaining rate quotes prior to purchase there, is a risk that the District did not obtain the best price for a particular product or service.</t>
  </si>
  <si>
    <t>The District had an adopted procurement policy that detailed levels and methods of procurement for small purchases, but controls over compliance for the adopted policy were either not adequate to ensure compliance or not being followed.</t>
  </si>
  <si>
    <t>Review controls over procurement compliance to make sure they are adequate to detect that the adopted policy is being adhered to.  The District should inform responsible personnel of the adopted policy and establish guidelines to ensure compliance.</t>
  </si>
  <si>
    <t>Under the Uniform Guidance for equipment, a physical inventory must be taken and reconciled with property records at least once every two years, and the item must be used for the authorized purpose of the project of the federal program making the purchase.</t>
  </si>
  <si>
    <t>The District did not adopt a policy for equipment or other capital assets paid for with federal funds.</t>
  </si>
  <si>
    <t>Cumulative expenditures reported to the granting</t>
  </si>
  <si>
    <t>supported by vendor invoice.</t>
  </si>
  <si>
    <t>documented.</t>
  </si>
  <si>
    <t xml:space="preserve">Partially implemented - Repeat Finding </t>
  </si>
  <si>
    <t>Financial statements for the period under audit contained material misstatements due to unallowalbe activity being posted to some funds that were not initially indentified by the District's internal controls over financial reporting.</t>
  </si>
  <si>
    <t>2019-4340</t>
  </si>
  <si>
    <t>2019-4932</t>
  </si>
  <si>
    <t>84.424A</t>
  </si>
  <si>
    <t>PDF on Opinion page with signature</t>
  </si>
  <si>
    <t>Beardstown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</si>
</sst>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1141268</xdr:colOff>
          <xdr:row>1</xdr:row>
          <xdr:rowOff>27708</xdr:rowOff>
        </xdr:from>
        <xdr:to>
          <xdr:col>1</xdr:col>
          <xdr:colOff>2046143</xdr:colOff>
          <xdr:row>5</xdr:row>
          <xdr:rowOff>65808</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14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30307</xdr:colOff>
          <xdr:row>1</xdr:row>
          <xdr:rowOff>44161</xdr:rowOff>
        </xdr:from>
        <xdr:to>
          <xdr:col>1</xdr:col>
          <xdr:colOff>944707</xdr:colOff>
          <xdr:row>5</xdr:row>
          <xdr:rowOff>82261</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1400-000002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5" t="s">
        <v>405</v>
      </c>
      <c r="J1" s="1986"/>
      <c r="K1" s="1986"/>
      <c r="L1" s="1986"/>
      <c r="M1" s="1986"/>
      <c r="N1" s="1986"/>
      <c r="O1" s="1986"/>
      <c r="P1" s="1986"/>
      <c r="Q1" s="1986"/>
      <c r="R1" s="1986"/>
      <c r="S1" s="1986"/>
    </row>
    <row r="2" spans="1:28" ht="12" customHeight="1" x14ac:dyDescent="0.2">
      <c r="A2" s="47" t="s">
        <v>1990</v>
      </c>
      <c r="D2" s="48"/>
      <c r="I2" s="1987" t="s">
        <v>979</v>
      </c>
      <c r="J2" s="1986"/>
      <c r="K2" s="1986"/>
      <c r="L2" s="1986"/>
      <c r="M2" s="1986"/>
      <c r="N2" s="1986"/>
      <c r="O2" s="1986"/>
      <c r="P2" s="1986"/>
      <c r="Q2" s="1986"/>
      <c r="R2" s="1986"/>
      <c r="S2" s="1986"/>
    </row>
    <row r="3" spans="1:28" ht="12" customHeight="1" x14ac:dyDescent="0.2">
      <c r="A3" s="155" t="s">
        <v>1942</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2068</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2068</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1009015026</v>
      </c>
      <c r="B13" s="2021"/>
      <c r="C13" s="2021"/>
      <c r="D13" s="2021"/>
      <c r="E13" s="2021"/>
      <c r="F13" s="2021"/>
      <c r="G13" s="2021"/>
      <c r="H13" s="2022"/>
      <c r="I13" s="31"/>
      <c r="J13" s="30"/>
      <c r="K13" s="28"/>
      <c r="L13" s="30"/>
      <c r="M13" s="30"/>
      <c r="N13" s="30"/>
      <c r="O13" s="30"/>
      <c r="P13" s="30"/>
      <c r="Q13" s="30"/>
      <c r="R13" s="30"/>
      <c r="S13" s="30"/>
      <c r="T13" s="2025" t="s">
        <v>2218</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2217</v>
      </c>
      <c r="B15" s="2023"/>
      <c r="C15" s="2023"/>
      <c r="D15" s="2023"/>
      <c r="E15" s="2023"/>
      <c r="F15" s="2023"/>
      <c r="G15" s="2023"/>
      <c r="H15" s="2024"/>
      <c r="T15" s="2029" t="s">
        <v>2069</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2239</v>
      </c>
      <c r="B17" s="1980"/>
      <c r="C17" s="1980"/>
      <c r="D17" s="1980"/>
      <c r="E17" s="1980"/>
      <c r="F17" s="1980"/>
      <c r="G17" s="1980"/>
      <c r="H17" s="2005"/>
      <c r="T17" s="2036" t="s">
        <v>2062</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2071</v>
      </c>
      <c r="B19" s="1965"/>
      <c r="C19" s="1965"/>
      <c r="D19" s="1965"/>
      <c r="E19" s="1965"/>
      <c r="F19" s="1965"/>
      <c r="G19" s="1965"/>
      <c r="H19" s="1945"/>
      <c r="I19" s="30"/>
      <c r="J19" s="99"/>
      <c r="K19" s="40"/>
      <c r="L19" s="38"/>
      <c r="M19" s="112" t="s">
        <v>315</v>
      </c>
      <c r="P19" s="27"/>
      <c r="Q19" s="27"/>
      <c r="R19" s="27"/>
      <c r="S19" s="31"/>
      <c r="T19" s="2019" t="s">
        <v>2063</v>
      </c>
      <c r="U19" s="1944"/>
      <c r="V19" s="1944"/>
      <c r="W19" s="1945"/>
      <c r="X19" s="2034" t="s">
        <v>2064</v>
      </c>
      <c r="Y19" s="2035"/>
      <c r="Z19" s="2032">
        <v>62702</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2098</v>
      </c>
      <c r="B21" s="1944"/>
      <c r="C21" s="1944"/>
      <c r="D21" s="1944"/>
      <c r="E21" s="1944"/>
      <c r="F21" s="1944"/>
      <c r="G21" s="1944"/>
      <c r="H21" s="1945"/>
      <c r="I21" s="1999" t="s">
        <v>678</v>
      </c>
      <c r="J21" s="1994"/>
      <c r="K21" s="1994"/>
      <c r="L21" s="1994"/>
      <c r="M21" s="1994"/>
      <c r="N21" s="1994"/>
      <c r="O21" s="1994"/>
      <c r="P21" s="1994"/>
      <c r="Q21" s="1994"/>
      <c r="R21" s="1994"/>
      <c r="S21" s="2000"/>
      <c r="T21" s="2043" t="s">
        <v>2065</v>
      </c>
      <c r="U21" s="2044"/>
      <c r="V21" s="2044"/>
      <c r="W21" s="2044"/>
      <c r="X21" s="2049" t="s">
        <v>2066</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c r="B23" s="1997"/>
      <c r="C23" s="1997"/>
      <c r="D23" s="1997"/>
      <c r="E23" s="1997"/>
      <c r="F23" s="1997"/>
      <c r="G23" s="1997"/>
      <c r="H23" s="1998"/>
      <c r="T23" s="1979" t="s">
        <v>2067</v>
      </c>
      <c r="U23" s="2042"/>
      <c r="V23" s="2042"/>
      <c r="W23" s="2042"/>
      <c r="X23" s="2046">
        <v>43831</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62618</v>
      </c>
      <c r="B25" s="1944"/>
      <c r="C25" s="1944"/>
      <c r="D25" s="1944"/>
      <c r="E25" s="1944"/>
      <c r="F25" s="1944"/>
      <c r="G25" s="1944"/>
      <c r="H25" s="1945"/>
      <c r="I25" s="113"/>
      <c r="J25" s="1968"/>
      <c r="K25" s="1968"/>
      <c r="L25" s="1968"/>
      <c r="M25" s="1968"/>
      <c r="N25" s="1968"/>
      <c r="O25" s="1968"/>
      <c r="P25" s="1968"/>
      <c r="Q25" s="1968"/>
      <c r="R25" s="1968"/>
      <c r="S25" s="1969"/>
      <c r="T25" s="2039" t="s">
        <v>2070</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2068</v>
      </c>
      <c r="C29" s="124" t="s">
        <v>820</v>
      </c>
      <c r="D29" s="114"/>
      <c r="E29" s="136"/>
      <c r="F29" s="141" t="s">
        <v>1316</v>
      </c>
      <c r="G29" s="114"/>
      <c r="I29" s="54"/>
      <c r="J29" s="148" t="s">
        <v>2068</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2068</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2068</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2072</v>
      </c>
      <c r="B38" s="1980"/>
      <c r="C38" s="1980"/>
      <c r="D38" s="1980"/>
      <c r="E38" s="1980"/>
      <c r="F38" s="1944"/>
      <c r="G38" s="1944"/>
      <c r="H38" s="1945"/>
      <c r="I38" s="1972"/>
      <c r="J38" s="1973"/>
      <c r="K38" s="1973"/>
      <c r="L38" s="1973"/>
      <c r="M38" s="1973"/>
      <c r="N38" s="1973"/>
      <c r="O38" s="1973"/>
      <c r="P38" s="1974"/>
      <c r="Q38" s="1974"/>
      <c r="R38" s="1974"/>
      <c r="S38" s="1975"/>
      <c r="T38" s="2029"/>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2075</v>
      </c>
      <c r="B40" s="1958"/>
      <c r="C40" s="1959"/>
      <c r="D40" s="1959"/>
      <c r="E40" s="1959"/>
      <c r="F40" s="1960"/>
      <c r="G40" s="1960"/>
      <c r="H40" s="1961"/>
      <c r="I40" s="1982"/>
      <c r="J40" s="1983"/>
      <c r="K40" s="1983"/>
      <c r="L40" s="1983"/>
      <c r="M40" s="1983"/>
      <c r="N40" s="1983"/>
      <c r="O40" s="1983"/>
      <c r="P40" s="1983"/>
      <c r="Q40" s="1983"/>
      <c r="R40" s="1983"/>
      <c r="S40" s="1984"/>
      <c r="T40" s="1982"/>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2073</v>
      </c>
      <c r="B42" s="1963"/>
      <c r="C42" s="1964"/>
      <c r="D42" s="1962" t="s">
        <v>2074</v>
      </c>
      <c r="E42" s="1963"/>
      <c r="F42" s="1963"/>
      <c r="G42" s="1963"/>
      <c r="H42" s="1964"/>
      <c r="I42" s="1946"/>
      <c r="J42" s="1947"/>
      <c r="K42" s="1947"/>
      <c r="L42" s="1947"/>
      <c r="M42" s="1947"/>
      <c r="N42" s="1947"/>
      <c r="O42" s="1948"/>
      <c r="P42" s="1981"/>
      <c r="Q42" s="1947"/>
      <c r="R42" s="1947"/>
      <c r="S42" s="1948"/>
      <c r="T42" s="1946"/>
      <c r="U42" s="1947"/>
      <c r="V42" s="1947"/>
      <c r="W42" s="1948"/>
      <c r="X42" s="1981"/>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5" sqref="A15:F1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1799</v>
      </c>
      <c r="B2" s="1528" t="s">
        <v>1948</v>
      </c>
      <c r="C2" s="714" t="s">
        <v>1949</v>
      </c>
      <c r="D2" s="714" t="s">
        <v>1950</v>
      </c>
      <c r="E2" s="714" t="s">
        <v>1951</v>
      </c>
      <c r="F2" s="714" t="s">
        <v>1952</v>
      </c>
    </row>
    <row r="3" spans="1:6" ht="12" customHeight="1" x14ac:dyDescent="0.2">
      <c r="A3" s="2186"/>
      <c r="B3" s="1525"/>
      <c r="C3" s="1526"/>
      <c r="D3" s="1527" t="s">
        <v>256</v>
      </c>
      <c r="E3" s="1526"/>
      <c r="F3" s="1527" t="s">
        <v>257</v>
      </c>
    </row>
    <row r="4" spans="1:6" ht="13.7" customHeight="1" x14ac:dyDescent="0.2">
      <c r="A4" s="715" t="s">
        <v>1155</v>
      </c>
      <c r="B4" s="1749">
        <f>'Revenues 9-14'!C5</f>
        <v>799613</v>
      </c>
      <c r="C4" s="1524"/>
      <c r="D4" s="1752">
        <f>B4-C4</f>
        <v>799613</v>
      </c>
      <c r="E4" s="1524">
        <v>1136526</v>
      </c>
      <c r="F4" s="1752">
        <f>E4-C4</f>
        <v>1136526</v>
      </c>
    </row>
    <row r="5" spans="1:6" ht="13.7" customHeight="1" x14ac:dyDescent="0.2">
      <c r="A5" s="715" t="s">
        <v>870</v>
      </c>
      <c r="B5" s="1750">
        <f>'Revenues 9-14'!D5</f>
        <v>217286</v>
      </c>
      <c r="C5" s="585"/>
      <c r="D5" s="1753">
        <f t="shared" ref="D5:D18" si="0">B5-C5</f>
        <v>217286</v>
      </c>
      <c r="E5" s="585">
        <v>308839</v>
      </c>
      <c r="F5" s="1753">
        <f>E5-C5</f>
        <v>308839</v>
      </c>
    </row>
    <row r="6" spans="1:6" ht="13.7" customHeight="1" x14ac:dyDescent="0.2">
      <c r="A6" s="715" t="s">
        <v>411</v>
      </c>
      <c r="B6" s="1750">
        <f>'Revenues 9-14'!E5</f>
        <v>346523</v>
      </c>
      <c r="C6" s="585"/>
      <c r="D6" s="1753">
        <f t="shared" si="0"/>
        <v>346523</v>
      </c>
      <c r="E6" s="585">
        <v>287178</v>
      </c>
      <c r="F6" s="1753">
        <f t="shared" ref="F6:F18" si="1">E6-C6</f>
        <v>287178</v>
      </c>
    </row>
    <row r="7" spans="1:6" ht="13.7" customHeight="1" x14ac:dyDescent="0.2">
      <c r="A7" s="715" t="s">
        <v>155</v>
      </c>
      <c r="B7" s="1750">
        <f>'Revenues 9-14'!F5</f>
        <v>86914</v>
      </c>
      <c r="C7" s="585"/>
      <c r="D7" s="1753">
        <f t="shared" si="0"/>
        <v>86914</v>
      </c>
      <c r="E7" s="585">
        <v>123538</v>
      </c>
      <c r="F7" s="1753">
        <f t="shared" si="1"/>
        <v>123538</v>
      </c>
    </row>
    <row r="8" spans="1:6" ht="13.7" customHeight="1" x14ac:dyDescent="0.2">
      <c r="A8" s="715" t="s">
        <v>1179</v>
      </c>
      <c r="B8" s="1750">
        <f>'Revenues 9-14'!G5</f>
        <v>175041</v>
      </c>
      <c r="C8" s="585"/>
      <c r="D8" s="1753">
        <f t="shared" si="0"/>
        <v>175041</v>
      </c>
      <c r="E8" s="585">
        <v>248800</v>
      </c>
      <c r="F8" s="1753">
        <f t="shared" si="1"/>
        <v>248800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341213</v>
      </c>
      <c r="C11" s="585"/>
      <c r="D11" s="1753">
        <f t="shared" si="0"/>
        <v>341213</v>
      </c>
      <c r="E11" s="585">
        <v>489982</v>
      </c>
      <c r="F11" s="1753">
        <f t="shared" si="1"/>
        <v>489982</v>
      </c>
    </row>
    <row r="12" spans="1:6" ht="13.7" customHeight="1" x14ac:dyDescent="0.2">
      <c r="A12" s="715" t="s">
        <v>157</v>
      </c>
      <c r="B12" s="1750">
        <f>'Revenues 9-14'!K5</f>
        <v>7184</v>
      </c>
      <c r="C12" s="585"/>
      <c r="D12" s="1753">
        <f t="shared" si="0"/>
        <v>7184</v>
      </c>
      <c r="E12" s="585">
        <v>10205</v>
      </c>
      <c r="F12" s="1753">
        <f t="shared" si="1"/>
        <v>10205</v>
      </c>
    </row>
    <row r="13" spans="1:6" ht="13.7" customHeight="1" x14ac:dyDescent="0.2">
      <c r="A13" s="715" t="s">
        <v>936</v>
      </c>
      <c r="B13" s="1750">
        <f>SUM('Revenues 9-14'!C6:D6)</f>
        <v>21424</v>
      </c>
      <c r="C13" s="585"/>
      <c r="D13" s="1753">
        <f t="shared" si="0"/>
        <v>21424</v>
      </c>
      <c r="E13" s="585">
        <v>30457</v>
      </c>
      <c r="F13" s="1753">
        <f t="shared" si="1"/>
        <v>30457</v>
      </c>
    </row>
    <row r="14" spans="1:6" ht="13.7" customHeight="1" x14ac:dyDescent="0.2">
      <c r="A14" s="715" t="s">
        <v>410</v>
      </c>
      <c r="B14" s="1750">
        <f>SUM('Revenues 9-14'!C7:D7,'Revenues 9-14'!F7:H7)</f>
        <v>16988</v>
      </c>
      <c r="C14" s="585"/>
      <c r="D14" s="1753">
        <f t="shared" si="0"/>
        <v>16988</v>
      </c>
      <c r="E14" s="585">
        <v>24191</v>
      </c>
      <c r="F14" s="1753">
        <f t="shared" si="1"/>
        <v>24191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175041</v>
      </c>
      <c r="C16" s="585"/>
      <c r="D16" s="1753">
        <f t="shared" si="0"/>
        <v>175041</v>
      </c>
      <c r="E16" s="585">
        <v>248800</v>
      </c>
      <c r="F16" s="1753">
        <f t="shared" si="1"/>
        <v>248800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2187227</v>
      </c>
      <c r="C19" s="1751">
        <f>SUM(C4:C18)</f>
        <v>0</v>
      </c>
      <c r="D19" s="1751">
        <f>SUM(D4:D18)</f>
        <v>2187227</v>
      </c>
      <c r="E19" s="1751">
        <f>SUM(E4:E18)</f>
        <v>2908516</v>
      </c>
      <c r="F19" s="1751">
        <f>SUM(F4:F18)</f>
        <v>2908516</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E1" sqref="E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1799</v>
      </c>
      <c r="B2" s="2213"/>
      <c r="C2" s="1884" t="s">
        <v>1953</v>
      </c>
      <c r="D2" s="723" t="s">
        <v>1954</v>
      </c>
      <c r="E2" s="723" t="s">
        <v>1955</v>
      </c>
      <c r="F2" s="1884" t="s">
        <v>1956</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2076</v>
      </c>
      <c r="B31" s="733">
        <v>38580</v>
      </c>
      <c r="C31" s="734">
        <v>2210000</v>
      </c>
      <c r="D31" s="735">
        <v>6</v>
      </c>
      <c r="E31" s="734">
        <v>459240</v>
      </c>
      <c r="F31" s="734"/>
      <c r="G31" s="734"/>
      <c r="H31" s="734">
        <v>114810</v>
      </c>
      <c r="I31" s="1756">
        <f>((E31+F31)-H31)+G31</f>
        <v>344430</v>
      </c>
      <c r="J31" s="734">
        <v>344430</v>
      </c>
      <c r="K31" s="736"/>
    </row>
    <row r="32" spans="1:11" ht="12" customHeight="1" x14ac:dyDescent="0.2">
      <c r="A32" s="732" t="s">
        <v>2077</v>
      </c>
      <c r="B32" s="733">
        <v>40309</v>
      </c>
      <c r="C32" s="734">
        <v>1050000</v>
      </c>
      <c r="D32" s="735">
        <v>6</v>
      </c>
      <c r="E32" s="734">
        <v>490000</v>
      </c>
      <c r="F32" s="734"/>
      <c r="G32" s="734"/>
      <c r="H32" s="734">
        <v>70000</v>
      </c>
      <c r="I32" s="1756">
        <f>((E32+F32)-H32)+G32</f>
        <v>420000</v>
      </c>
      <c r="J32" s="734">
        <v>420000</v>
      </c>
      <c r="K32" s="736"/>
    </row>
    <row r="33" spans="1:11" ht="12" customHeight="1" x14ac:dyDescent="0.2">
      <c r="A33" s="732" t="s">
        <v>2078</v>
      </c>
      <c r="B33" s="733">
        <v>42394</v>
      </c>
      <c r="C33" s="734">
        <v>93696</v>
      </c>
      <c r="D33" s="735">
        <v>7</v>
      </c>
      <c r="E33" s="734">
        <v>34024</v>
      </c>
      <c r="F33" s="734"/>
      <c r="G33" s="734"/>
      <c r="H33" s="734">
        <v>16600</v>
      </c>
      <c r="I33" s="1756">
        <f t="shared" ref="I33:I48" si="1">((E33+F33)-H33)+G33</f>
        <v>17424</v>
      </c>
      <c r="J33" s="734">
        <v>17424</v>
      </c>
      <c r="K33" s="736"/>
    </row>
    <row r="34" spans="1:11" ht="12" customHeight="1" x14ac:dyDescent="0.2">
      <c r="A34" s="732" t="s">
        <v>2078</v>
      </c>
      <c r="B34" s="733">
        <v>42613</v>
      </c>
      <c r="C34" s="734">
        <v>179778</v>
      </c>
      <c r="D34" s="735">
        <v>7</v>
      </c>
      <c r="E34" s="734">
        <v>137655</v>
      </c>
      <c r="F34" s="734"/>
      <c r="G34" s="734"/>
      <c r="H34" s="734">
        <v>43951</v>
      </c>
      <c r="I34" s="1756">
        <f t="shared" si="1"/>
        <v>93704</v>
      </c>
      <c r="J34" s="734">
        <v>93704</v>
      </c>
      <c r="K34" s="737"/>
    </row>
    <row r="35" spans="1:11" ht="12" customHeight="1" x14ac:dyDescent="0.2">
      <c r="A35" s="732" t="s">
        <v>2079</v>
      </c>
      <c r="B35" s="733">
        <v>42503</v>
      </c>
      <c r="C35" s="738">
        <v>44559</v>
      </c>
      <c r="D35" s="735">
        <v>8</v>
      </c>
      <c r="E35" s="738">
        <v>28213</v>
      </c>
      <c r="F35" s="738"/>
      <c r="G35" s="738"/>
      <c r="H35" s="738">
        <v>8884</v>
      </c>
      <c r="I35" s="1756">
        <f t="shared" si="1"/>
        <v>19329</v>
      </c>
      <c r="J35" s="738">
        <v>19329</v>
      </c>
      <c r="K35" s="737"/>
    </row>
    <row r="36" spans="1:11" ht="12" customHeight="1" x14ac:dyDescent="0.2">
      <c r="A36" s="732" t="s">
        <v>2080</v>
      </c>
      <c r="B36" s="733">
        <v>42615</v>
      </c>
      <c r="C36" s="734">
        <v>1710000</v>
      </c>
      <c r="D36" s="735">
        <v>3</v>
      </c>
      <c r="E36" s="734">
        <v>1030000</v>
      </c>
      <c r="F36" s="734"/>
      <c r="G36" s="734"/>
      <c r="H36" s="734">
        <v>670000</v>
      </c>
      <c r="I36" s="1756">
        <f t="shared" si="1"/>
        <v>360000</v>
      </c>
      <c r="J36" s="734">
        <v>335427</v>
      </c>
      <c r="K36" s="739"/>
    </row>
    <row r="37" spans="1:11" ht="12" customHeight="1" x14ac:dyDescent="0.2">
      <c r="A37" s="732" t="s">
        <v>2084</v>
      </c>
      <c r="B37" s="733">
        <v>43516</v>
      </c>
      <c r="C37" s="467">
        <v>950000</v>
      </c>
      <c r="D37" s="740">
        <v>4</v>
      </c>
      <c r="E37" s="467"/>
      <c r="F37" s="467">
        <v>950000</v>
      </c>
      <c r="G37" s="467"/>
      <c r="H37" s="467"/>
      <c r="I37" s="1756">
        <f t="shared" si="1"/>
        <v>950000</v>
      </c>
      <c r="J37" s="467">
        <v>950000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6238033</v>
      </c>
      <c r="D49" s="745"/>
      <c r="E49" s="1756">
        <f t="shared" ref="E49:J49" si="2">SUM(E31:E48)</f>
        <v>2179132</v>
      </c>
      <c r="F49" s="1756">
        <f t="shared" si="2"/>
        <v>950000</v>
      </c>
      <c r="G49" s="1756">
        <f t="shared" si="2"/>
        <v>0</v>
      </c>
      <c r="H49" s="1756">
        <f t="shared" si="2"/>
        <v>924245</v>
      </c>
      <c r="I49" s="1756">
        <f t="shared" si="2"/>
        <v>2204887</v>
      </c>
      <c r="J49" s="1756">
        <f t="shared" si="2"/>
        <v>2180314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t="s">
        <v>2081</v>
      </c>
      <c r="G52" s="2190"/>
      <c r="H52" s="736"/>
      <c r="I52" s="736"/>
      <c r="J52" s="746"/>
    </row>
    <row r="53" spans="1:11" ht="11.25" customHeight="1" x14ac:dyDescent="0.2">
      <c r="A53" s="750" t="s">
        <v>913</v>
      </c>
      <c r="B53" s="751" t="s">
        <v>951</v>
      </c>
      <c r="C53" s="746"/>
      <c r="D53" s="737"/>
      <c r="E53" s="749" t="s">
        <v>497</v>
      </c>
      <c r="F53" s="2191" t="s">
        <v>2082</v>
      </c>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I1" sqref="I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1809</v>
      </c>
      <c r="K2" s="762" t="s">
        <v>138</v>
      </c>
    </row>
    <row r="3" spans="1:11" x14ac:dyDescent="0.2">
      <c r="A3" s="2238" t="s">
        <v>1961</v>
      </c>
      <c r="B3" s="2239"/>
      <c r="C3" s="2239"/>
      <c r="D3" s="2239"/>
      <c r="E3" s="2240"/>
      <c r="F3" s="763"/>
      <c r="G3" s="764"/>
      <c r="H3" s="764"/>
      <c r="I3" s="764"/>
      <c r="J3" s="765">
        <v>1201043</v>
      </c>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v>16988</v>
      </c>
      <c r="I5" s="772"/>
      <c r="J5" s="773"/>
      <c r="K5" s="773"/>
    </row>
    <row r="6" spans="1:11" x14ac:dyDescent="0.2">
      <c r="A6" s="774" t="s">
        <v>720</v>
      </c>
      <c r="B6" s="775"/>
      <c r="C6" s="775"/>
      <c r="D6" s="775"/>
      <c r="E6" s="776"/>
      <c r="F6" s="777" t="s">
        <v>849</v>
      </c>
      <c r="G6" s="764"/>
      <c r="H6" s="764">
        <v>6</v>
      </c>
      <c r="I6" s="764"/>
      <c r="J6" s="765"/>
      <c r="K6" s="765"/>
    </row>
    <row r="7" spans="1:11" x14ac:dyDescent="0.2">
      <c r="A7" s="778" t="s">
        <v>246</v>
      </c>
      <c r="B7" s="779"/>
      <c r="C7" s="779"/>
      <c r="D7" s="779"/>
      <c r="E7" s="780"/>
      <c r="F7" s="770" t="s">
        <v>850</v>
      </c>
      <c r="G7" s="767"/>
      <c r="H7" s="767"/>
      <c r="I7" s="767"/>
      <c r="J7" s="781"/>
      <c r="K7" s="765">
        <v>3450</v>
      </c>
    </row>
    <row r="8" spans="1:11" x14ac:dyDescent="0.2">
      <c r="A8" s="778" t="s">
        <v>345</v>
      </c>
      <c r="B8" s="779"/>
      <c r="C8" s="779"/>
      <c r="D8" s="779"/>
      <c r="E8" s="780"/>
      <c r="F8" s="770" t="s">
        <v>851</v>
      </c>
      <c r="G8" s="782"/>
      <c r="H8" s="782"/>
      <c r="I8" s="782"/>
      <c r="J8" s="765">
        <v>494145</v>
      </c>
      <c r="K8" s="769"/>
    </row>
    <row r="9" spans="1:11" x14ac:dyDescent="0.2">
      <c r="A9" s="778" t="s">
        <v>138</v>
      </c>
      <c r="B9" s="779"/>
      <c r="C9" s="779"/>
      <c r="D9" s="779"/>
      <c r="E9" s="780"/>
      <c r="F9" s="777" t="s">
        <v>853</v>
      </c>
      <c r="G9" s="782"/>
      <c r="H9" s="771"/>
      <c r="I9" s="771"/>
      <c r="J9" s="781"/>
      <c r="K9" s="765">
        <v>19945</v>
      </c>
    </row>
    <row r="10" spans="1:11" x14ac:dyDescent="0.2">
      <c r="A10" s="2219" t="s">
        <v>1810</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16994</v>
      </c>
      <c r="I12" s="1758">
        <f>SUM(I5:I11)</f>
        <v>0</v>
      </c>
      <c r="J12" s="1758">
        <f>SUM(J5:J11)</f>
        <v>494145</v>
      </c>
      <c r="K12" s="1758">
        <f>SUM(K5:K11)</f>
        <v>23395</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v>16994</v>
      </c>
      <c r="I14" s="771"/>
      <c r="J14" s="773"/>
      <c r="K14" s="765">
        <v>23395</v>
      </c>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1806</v>
      </c>
      <c r="B19" s="2228"/>
      <c r="C19" s="2228"/>
      <c r="D19" s="2228"/>
      <c r="E19" s="2229"/>
      <c r="F19" s="789" t="s">
        <v>933</v>
      </c>
      <c r="G19" s="782"/>
      <c r="H19" s="782"/>
      <c r="I19" s="782"/>
      <c r="J19" s="765">
        <v>521236</v>
      </c>
      <c r="K19" s="795"/>
    </row>
    <row r="20" spans="1:11" x14ac:dyDescent="0.2">
      <c r="A20" s="2230" t="s">
        <v>1811</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521236</v>
      </c>
      <c r="K21" s="793"/>
    </row>
    <row r="22" spans="1:11" ht="13.5" thickTop="1" x14ac:dyDescent="0.2">
      <c r="A22" s="2220" t="s">
        <v>1812</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16994</v>
      </c>
      <c r="I23" s="1758">
        <f>SUM(I14:I16,I21,I22)</f>
        <v>0</v>
      </c>
      <c r="J23" s="1758">
        <f>SUM(J14:J16,J21,J22)</f>
        <v>521236</v>
      </c>
      <c r="K23" s="1758">
        <f>SUM(K14:K16,K21,K22)</f>
        <v>23395</v>
      </c>
    </row>
    <row r="24" spans="1:11" ht="14.25" thickTop="1" thickBot="1" x14ac:dyDescent="0.25">
      <c r="A24" s="2250" t="s">
        <v>1962</v>
      </c>
      <c r="B24" s="2249"/>
      <c r="C24" s="2249"/>
      <c r="D24" s="2249"/>
      <c r="E24" s="2249"/>
      <c r="F24" s="1762"/>
      <c r="G24" s="1763">
        <f>SUM(G3,G12)-G23</f>
        <v>0</v>
      </c>
      <c r="H24" s="1763">
        <f>SUM(H3,H12)-H23</f>
        <v>0</v>
      </c>
      <c r="I24" s="1763">
        <f>SUM(I3,I12)-I23</f>
        <v>0</v>
      </c>
      <c r="J24" s="1763">
        <f>SUM(J3,J12)-J23</f>
        <v>1173952</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1173952</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 sqref="D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1906</v>
      </c>
      <c r="B1" s="2256"/>
      <c r="C1" s="2257"/>
      <c r="D1" s="826"/>
      <c r="E1" s="827"/>
      <c r="F1" s="827"/>
      <c r="G1" s="828"/>
      <c r="H1" s="829"/>
      <c r="I1" s="830"/>
      <c r="J1" s="2253"/>
      <c r="K1" s="2254"/>
      <c r="L1" s="2254"/>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142942</v>
      </c>
      <c r="D5" s="841"/>
      <c r="E5" s="841"/>
      <c r="F5" s="1760">
        <f>(C5+D5)-E5</f>
        <v>142942</v>
      </c>
      <c r="G5" s="837"/>
      <c r="H5" s="842"/>
      <c r="I5" s="842"/>
      <c r="J5" s="842"/>
      <c r="K5" s="793"/>
      <c r="L5" s="1769">
        <f>F5-K5</f>
        <v>142942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33082710</v>
      </c>
      <c r="D8" s="844">
        <v>107149</v>
      </c>
      <c r="E8" s="844"/>
      <c r="F8" s="1760">
        <f>(C8+D8)-E8</f>
        <v>33189859</v>
      </c>
      <c r="G8" s="843">
        <v>50</v>
      </c>
      <c r="H8" s="765">
        <v>11973526</v>
      </c>
      <c r="I8" s="765">
        <v>616080</v>
      </c>
      <c r="J8" s="765"/>
      <c r="K8" s="1769">
        <f>(H8+I8)-J8</f>
        <v>12589606</v>
      </c>
      <c r="L8" s="1769">
        <f>F8-K8</f>
        <v>20600253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200339</v>
      </c>
      <c r="D10" s="846"/>
      <c r="E10" s="846"/>
      <c r="F10" s="1764">
        <f>(C10+D10)-E10</f>
        <v>200339</v>
      </c>
      <c r="G10" s="843">
        <v>20</v>
      </c>
      <c r="H10" s="847">
        <v>73939</v>
      </c>
      <c r="I10" s="847">
        <v>7472</v>
      </c>
      <c r="J10" s="847"/>
      <c r="K10" s="1769">
        <f>(H10+I10)-J10</f>
        <v>81411</v>
      </c>
      <c r="L10" s="1769">
        <f>F10-K10</f>
        <v>118928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1350825</v>
      </c>
      <c r="D12" s="844">
        <v>154847</v>
      </c>
      <c r="E12" s="844">
        <v>105472</v>
      </c>
      <c r="F12" s="1760">
        <f>(C12+D12)-E12</f>
        <v>1400200</v>
      </c>
      <c r="G12" s="843">
        <v>10</v>
      </c>
      <c r="H12" s="765">
        <v>799904</v>
      </c>
      <c r="I12" s="765">
        <v>140020</v>
      </c>
      <c r="J12" s="765">
        <v>105472</v>
      </c>
      <c r="K12" s="1769">
        <f>(H12+I12)-J12</f>
        <v>834452</v>
      </c>
      <c r="L12" s="1769">
        <f>F12-K12</f>
        <v>565748</v>
      </c>
    </row>
    <row r="13" spans="1:14" ht="14.25" thickTop="1" thickBot="1" x14ac:dyDescent="0.25">
      <c r="A13" s="848" t="s">
        <v>1122</v>
      </c>
      <c r="B13" s="840">
        <v>252</v>
      </c>
      <c r="C13" s="844">
        <v>864236</v>
      </c>
      <c r="D13" s="844">
        <v>39855</v>
      </c>
      <c r="E13" s="844">
        <v>76810</v>
      </c>
      <c r="F13" s="1760">
        <f>(C13+D13)-E13</f>
        <v>827281</v>
      </c>
      <c r="G13" s="843">
        <v>5</v>
      </c>
      <c r="H13" s="765">
        <v>684565</v>
      </c>
      <c r="I13" s="765">
        <v>71532</v>
      </c>
      <c r="J13" s="765">
        <v>76810</v>
      </c>
      <c r="K13" s="1769">
        <f>(H13+I13)-J13</f>
        <v>679287</v>
      </c>
      <c r="L13" s="1769">
        <f>F13-K13</f>
        <v>147994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35641052</v>
      </c>
      <c r="D16" s="1760">
        <f>SUM(D3,D5:D6,D8:D10,D12:D15)</f>
        <v>301851</v>
      </c>
      <c r="E16" s="1760">
        <f>SUM(E3,E5:E6,E8:E10,E12:E15)</f>
        <v>182282</v>
      </c>
      <c r="F16" s="1760">
        <f>SUM(F3,F5:F6,F8:F10,F12:F15)</f>
        <v>35760621</v>
      </c>
      <c r="G16" s="843"/>
      <c r="H16" s="1760">
        <f>SUM(H3,H6,H8:H10,H12:H14,)</f>
        <v>13531934</v>
      </c>
      <c r="I16" s="1760">
        <f>SUM(I3,I6,I8:I10,I12:I14,)</f>
        <v>835104</v>
      </c>
      <c r="J16" s="1760">
        <f>SUM(J3,J6,J8:J10,J12:J14,)</f>
        <v>182282</v>
      </c>
      <c r="K16" s="1760">
        <f>(H16+I16)-J16</f>
        <v>14184756</v>
      </c>
      <c r="L16" s="1760">
        <f>F16-K16</f>
        <v>21575865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835104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A15" sqref="A15:F15"/>
      <selection pane="bottomLeft" activeCell="A15" sqref="A15:F1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1972</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12200135</v>
      </c>
      <c r="G8" s="865"/>
    </row>
    <row r="9" spans="1:7" x14ac:dyDescent="0.2">
      <c r="A9" s="869" t="s">
        <v>460</v>
      </c>
      <c r="B9" s="870" t="s">
        <v>1874</v>
      </c>
      <c r="C9" s="871"/>
      <c r="D9" s="869" t="s">
        <v>501</v>
      </c>
      <c r="E9" s="868"/>
      <c r="F9" s="1909">
        <f>'Expenditures 15-22'!K151</f>
        <v>531944</v>
      </c>
      <c r="G9" s="872"/>
    </row>
    <row r="10" spans="1:7" x14ac:dyDescent="0.2">
      <c r="A10" s="869" t="s">
        <v>499</v>
      </c>
      <c r="B10" s="870" t="s">
        <v>1875</v>
      </c>
      <c r="C10" s="871"/>
      <c r="D10" s="869" t="s">
        <v>501</v>
      </c>
      <c r="E10" s="868"/>
      <c r="F10" s="1909">
        <f>'Expenditures 15-22'!K174</f>
        <v>895385</v>
      </c>
      <c r="G10" s="872"/>
    </row>
    <row r="11" spans="1:7" x14ac:dyDescent="0.2">
      <c r="A11" s="869" t="s">
        <v>461</v>
      </c>
      <c r="B11" s="870" t="s">
        <v>1876</v>
      </c>
      <c r="C11" s="871"/>
      <c r="D11" s="869" t="s">
        <v>501</v>
      </c>
      <c r="E11" s="868"/>
      <c r="F11" s="1909">
        <f>'Expenditures 15-22'!K210</f>
        <v>350294</v>
      </c>
      <c r="G11" s="872"/>
    </row>
    <row r="12" spans="1:7" x14ac:dyDescent="0.2">
      <c r="A12" s="869" t="s">
        <v>462</v>
      </c>
      <c r="B12" s="870" t="s">
        <v>1877</v>
      </c>
      <c r="C12" s="871"/>
      <c r="D12" s="869" t="s">
        <v>501</v>
      </c>
      <c r="E12" s="868"/>
      <c r="F12" s="1909">
        <f>'Expenditures 15-22'!K295</f>
        <v>432704</v>
      </c>
      <c r="G12" s="872"/>
    </row>
    <row r="13" spans="1:7" x14ac:dyDescent="0.2">
      <c r="A13" s="869" t="s">
        <v>106</v>
      </c>
      <c r="B13" s="870" t="s">
        <v>1878</v>
      </c>
      <c r="C13" s="871"/>
      <c r="D13" s="869" t="s">
        <v>501</v>
      </c>
      <c r="E13" s="868"/>
      <c r="F13" s="1909">
        <f>'Expenditures 15-22'!K342</f>
        <v>331375</v>
      </c>
      <c r="G13" s="873"/>
    </row>
    <row r="14" spans="1:7" ht="12" customHeight="1" thickBot="1" x14ac:dyDescent="0.25">
      <c r="A14" s="1770"/>
      <c r="B14" s="1771"/>
      <c r="C14" s="1772"/>
      <c r="D14" s="1773" t="s">
        <v>501</v>
      </c>
      <c r="E14" s="1774" t="s">
        <v>958</v>
      </c>
      <c r="F14" s="1775">
        <f>SUM(F8:F13)</f>
        <v>14741837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300074</v>
      </c>
      <c r="G52" s="865"/>
    </row>
    <row r="53" spans="1:7" x14ac:dyDescent="0.2">
      <c r="A53" s="869" t="s">
        <v>459</v>
      </c>
      <c r="B53" s="869" t="s">
        <v>1475</v>
      </c>
      <c r="C53" s="889">
        <f>'Expenditures 15-22'!B102</f>
        <v>4000</v>
      </c>
      <c r="D53" s="888" t="str">
        <f>'Expenditures 15-22'!A102</f>
        <v>Total Payments to Other Govt Units</v>
      </c>
      <c r="E53" s="868"/>
      <c r="F53" s="1913">
        <f>'Expenditures 15-22'!K102</f>
        <v>645750</v>
      </c>
      <c r="G53" s="865"/>
    </row>
    <row r="54" spans="1:7" x14ac:dyDescent="0.2">
      <c r="A54" s="869" t="s">
        <v>459</v>
      </c>
      <c r="B54" s="869" t="s">
        <v>1476</v>
      </c>
      <c r="C54" s="889" t="s">
        <v>982</v>
      </c>
      <c r="D54" s="885" t="s">
        <v>1095</v>
      </c>
      <c r="E54" s="868"/>
      <c r="F54" s="1913">
        <f>'Expenditures 15-22'!G114</f>
        <v>147614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128487</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854810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60551</v>
      </c>
      <c r="G64" s="865"/>
    </row>
    <row r="65" spans="1:8" x14ac:dyDescent="0.2">
      <c r="A65" s="869" t="s">
        <v>461</v>
      </c>
      <c r="B65" s="869" t="s">
        <v>1887</v>
      </c>
      <c r="C65" s="886" t="s">
        <v>982</v>
      </c>
      <c r="D65" s="885" t="s">
        <v>1095</v>
      </c>
      <c r="E65" s="868"/>
      <c r="F65" s="1913">
        <f>'Expenditures 15-22'!G210</f>
        <v>25750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32344</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2195380</v>
      </c>
      <c r="G76" s="865"/>
    </row>
    <row r="77" spans="1:8" s="893" customFormat="1" ht="12" customHeight="1" thickTop="1" thickBot="1" x14ac:dyDescent="0.25">
      <c r="A77" s="1779"/>
      <c r="B77" s="1776"/>
      <c r="C77" s="1772"/>
      <c r="D77" s="1777" t="s">
        <v>1897</v>
      </c>
      <c r="E77" s="1774"/>
      <c r="F77" s="1780">
        <f>(F14-F76)</f>
        <v>12546457</v>
      </c>
      <c r="G77" s="869"/>
    </row>
    <row r="78" spans="1:8" s="893" customFormat="1" ht="12" customHeight="1" thickTop="1" x14ac:dyDescent="0.2">
      <c r="A78" s="1781"/>
      <c r="B78" s="1776"/>
      <c r="C78" s="1772"/>
      <c r="D78" s="1777" t="s">
        <v>2059</v>
      </c>
      <c r="E78" s="1774"/>
      <c r="F78" s="898">
        <v>1579.35</v>
      </c>
      <c r="G78" s="899"/>
      <c r="H78" s="869"/>
    </row>
    <row r="79" spans="1:8" s="893" customFormat="1" ht="12" customHeight="1" thickBot="1" x14ac:dyDescent="0.25">
      <c r="A79" s="1782"/>
      <c r="B79" s="1776"/>
      <c r="C79" s="1772"/>
      <c r="D79" s="1777" t="s">
        <v>1898</v>
      </c>
      <c r="E79" s="1774" t="s">
        <v>958</v>
      </c>
      <c r="F79" s="1783">
        <f>IF(F78&gt;0,F77/F78," Complete Line 78")</f>
        <v>7944.0636970905753</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3610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144133</v>
      </c>
      <c r="G94" s="912"/>
    </row>
    <row r="95" spans="1:7" x14ac:dyDescent="0.2">
      <c r="A95" s="908" t="s">
        <v>140</v>
      </c>
      <c r="B95" s="908" t="s">
        <v>175</v>
      </c>
      <c r="C95" s="910">
        <v>1700</v>
      </c>
      <c r="D95" s="918" t="str">
        <f>'Revenues 9-14'!A82</f>
        <v>Total District/School Activity Income</v>
      </c>
      <c r="E95" s="906"/>
      <c r="F95" s="1789">
        <f>SUM('Revenues 9-14'!C82,'Revenues 9-14'!D82)</f>
        <v>39859</v>
      </c>
      <c r="G95" s="912"/>
    </row>
    <row r="96" spans="1:7" x14ac:dyDescent="0.2">
      <c r="A96" s="908" t="s">
        <v>459</v>
      </c>
      <c r="B96" s="908" t="s">
        <v>176</v>
      </c>
      <c r="C96" s="910">
        <f>'Revenues 9-14'!B84</f>
        <v>1811</v>
      </c>
      <c r="D96" s="911" t="str">
        <f>'Revenues 9-14'!A84</f>
        <v>Rentals - Regular Textbooks</v>
      </c>
      <c r="E96" s="906"/>
      <c r="F96" s="1789">
        <f>'Revenues 9-14'!C84</f>
        <v>28547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7075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42299</v>
      </c>
      <c r="G104" s="912"/>
    </row>
    <row r="105" spans="1:7" x14ac:dyDescent="0.2">
      <c r="A105" s="908" t="s">
        <v>503</v>
      </c>
      <c r="B105" s="908" t="s">
        <v>2000</v>
      </c>
      <c r="C105" s="913">
        <v>3100</v>
      </c>
      <c r="D105" s="919" t="str">
        <f>'Revenues 9-14'!A132</f>
        <v>Total Special Education</v>
      </c>
      <c r="E105" s="906"/>
      <c r="F105" s="1789">
        <f>SUM('Revenues 9-14'!C132:D132,'Revenues 9-14'!F132)</f>
        <v>240784</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15760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14445</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19945</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204197</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2554</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774096</v>
      </c>
      <c r="G125" s="930"/>
    </row>
    <row r="126" spans="1:7" x14ac:dyDescent="0.2">
      <c r="A126" s="927" t="s">
        <v>668</v>
      </c>
      <c r="B126" s="927" t="s">
        <v>2021</v>
      </c>
      <c r="C126" s="932">
        <v>4300</v>
      </c>
      <c r="D126" s="933" t="str">
        <f>'Revenues 9-14'!A204</f>
        <v>Total Title I</v>
      </c>
      <c r="E126" s="906"/>
      <c r="F126" s="1789">
        <f>SUM('Revenues 9-14'!C204,'Revenues 9-14'!D204,'Revenues 9-14'!F204,'Revenues 9-14'!G204)</f>
        <v>546654</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21619</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10254</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82716</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29959</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133864</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2362370</v>
      </c>
    </row>
    <row r="175" spans="1:7" ht="12" customHeight="1" x14ac:dyDescent="0.2">
      <c r="A175" s="1770"/>
      <c r="B175" s="1784"/>
      <c r="C175" s="1785"/>
      <c r="D175" s="1786" t="s">
        <v>2054</v>
      </c>
      <c r="E175" s="1787"/>
      <c r="F175" s="1789">
        <f>'PCTC-OEPP 27-28'!F77-F174</f>
        <v>10184087</v>
      </c>
    </row>
    <row r="176" spans="1:7" ht="12" customHeight="1" x14ac:dyDescent="0.2">
      <c r="A176" s="1770"/>
      <c r="B176" s="1784"/>
      <c r="C176" s="1785"/>
      <c r="D176" s="1786" t="s">
        <v>1814</v>
      </c>
      <c r="E176" s="1787"/>
      <c r="F176" s="1789">
        <f>'Cap Outlay Deprec 26'!I18</f>
        <v>835104</v>
      </c>
    </row>
    <row r="177" spans="1:7" ht="12" customHeight="1" x14ac:dyDescent="0.2">
      <c r="A177" s="1770"/>
      <c r="B177" s="1784"/>
      <c r="C177" s="1785"/>
      <c r="D177" s="1786" t="s">
        <v>2055</v>
      </c>
      <c r="E177" s="1787"/>
      <c r="F177" s="1789">
        <f>F175+F176</f>
        <v>11019191</v>
      </c>
    </row>
    <row r="178" spans="1:7" ht="12" customHeight="1" x14ac:dyDescent="0.2">
      <c r="A178" s="1770"/>
      <c r="B178" s="1790"/>
      <c r="C178" s="1785"/>
      <c r="D178" s="1786" t="str">
        <f>D78</f>
        <v>9 Month ADA from District Average Daily Attendance/Prior General State Aid Inquiry 2018-2019</v>
      </c>
      <c r="E178" s="1787"/>
      <c r="F178" s="1791">
        <f>'PCTC-OEPP 27-28'!F78</f>
        <v>1579.35</v>
      </c>
      <c r="G178" s="930"/>
    </row>
    <row r="179" spans="1:7" ht="12" customHeight="1" thickBot="1" x14ac:dyDescent="0.25">
      <c r="A179" s="1770"/>
      <c r="B179" s="1790"/>
      <c r="C179" s="1785"/>
      <c r="D179" s="1786" t="s">
        <v>2056</v>
      </c>
      <c r="E179" s="1787" t="s">
        <v>1545</v>
      </c>
      <c r="F179" s="1792">
        <f>F177/F178</f>
        <v>6977.0418210023117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21" sqref="C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1815</v>
      </c>
      <c r="B4" s="2273"/>
      <c r="C4" s="2273"/>
      <c r="D4" s="2273"/>
      <c r="E4" s="2273"/>
      <c r="F4" s="2273"/>
      <c r="G4" s="2274"/>
    </row>
    <row r="5" spans="1:7" x14ac:dyDescent="0.25">
      <c r="A5" s="2275"/>
      <c r="B5" s="2276"/>
      <c r="C5" s="2276"/>
      <c r="D5" s="2276"/>
      <c r="E5" s="2276"/>
      <c r="F5" s="2276"/>
      <c r="G5" s="2277"/>
    </row>
    <row r="6" spans="1:7" ht="18.75" x14ac:dyDescent="0.25">
      <c r="A6" s="1534" t="s">
        <v>1816</v>
      </c>
      <c r="B6" s="1535"/>
      <c r="C6" s="1535"/>
      <c r="D6" s="1535"/>
      <c r="E6" s="1535"/>
      <c r="F6" s="1535"/>
      <c r="G6" s="1536"/>
    </row>
    <row r="7" spans="1:7" ht="30.75" customHeight="1" x14ac:dyDescent="0.25">
      <c r="A7" s="2278" t="s">
        <v>1929</v>
      </c>
      <c r="B7" s="2279"/>
      <c r="C7" s="2279"/>
      <c r="D7" s="2279"/>
      <c r="E7" s="2279"/>
      <c r="F7" s="2279"/>
      <c r="G7" s="2280"/>
    </row>
    <row r="8" spans="1:7" ht="15.75" customHeight="1" x14ac:dyDescent="0.25">
      <c r="A8" s="2281" t="s">
        <v>1904</v>
      </c>
      <c r="B8" s="2282"/>
      <c r="C8" s="2282"/>
      <c r="D8" s="2282"/>
      <c r="E8" s="2282"/>
      <c r="F8" s="2282"/>
      <c r="G8" s="2283"/>
    </row>
    <row r="9" spans="1:7" ht="35.25" customHeight="1" x14ac:dyDescent="0.25">
      <c r="A9" s="2278" t="s">
        <v>1932</v>
      </c>
      <c r="B9" s="2279"/>
      <c r="C9" s="2279"/>
      <c r="D9" s="2279"/>
      <c r="E9" s="2279"/>
      <c r="F9" s="2279"/>
      <c r="G9" s="2280"/>
    </row>
    <row r="10" spans="1:7" ht="15" customHeight="1" x14ac:dyDescent="0.25">
      <c r="A10" s="1537" t="s">
        <v>1817</v>
      </c>
      <c r="B10" s="1538"/>
      <c r="C10" s="1538"/>
      <c r="D10" s="1538"/>
      <c r="E10" s="1538"/>
      <c r="F10" s="1538"/>
      <c r="G10" s="1539"/>
    </row>
    <row r="11" spans="1:7" ht="17.25" customHeight="1" x14ac:dyDescent="0.25">
      <c r="A11" s="2278" t="s">
        <v>1931</v>
      </c>
      <c r="B11" s="2279"/>
      <c r="C11" s="2279"/>
      <c r="D11" s="2279"/>
      <c r="E11" s="2279"/>
      <c r="F11" s="2279"/>
      <c r="G11" s="2280"/>
    </row>
    <row r="12" spans="1:7" ht="15" customHeight="1" x14ac:dyDescent="0.25">
      <c r="A12" s="1537" t="s">
        <v>1822</v>
      </c>
      <c r="B12" s="1538"/>
      <c r="C12" s="1538"/>
      <c r="D12" s="1538"/>
      <c r="E12" s="1538"/>
      <c r="F12" s="1538"/>
      <c r="G12" s="1539"/>
    </row>
    <row r="13" spans="1:7" ht="32.25" customHeight="1" x14ac:dyDescent="0.25">
      <c r="A13" s="2269" t="s">
        <v>1973</v>
      </c>
      <c r="B13" s="2270"/>
      <c r="C13" s="2270"/>
      <c r="D13" s="2270"/>
      <c r="E13" s="2270"/>
      <c r="F13" s="2270"/>
      <c r="G13" s="2271"/>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2202</v>
      </c>
      <c r="B17" s="1941" t="s">
        <v>2203</v>
      </c>
      <c r="C17" s="1942" t="s">
        <v>2204</v>
      </c>
      <c r="D17" s="1844">
        <v>323800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298800</v>
      </c>
      <c r="H17" s="1647"/>
    </row>
    <row r="18" spans="1:8" x14ac:dyDescent="0.25">
      <c r="A18" s="1940" t="s">
        <v>2205</v>
      </c>
      <c r="B18" s="1941" t="s">
        <v>2206</v>
      </c>
      <c r="C18" s="1942" t="s">
        <v>2207</v>
      </c>
      <c r="D18" s="1844">
        <v>39600</v>
      </c>
      <c r="E18" s="1540">
        <f t="shared" ref="E18:E140" si="2">IF(D18&lt;=25000,D18,IF(D18&gt;25000,25000,0))</f>
        <v>25000</v>
      </c>
      <c r="F18" s="1932">
        <f t="shared" si="1"/>
        <v>25000</v>
      </c>
      <c r="G18" s="1793">
        <f t="shared" ref="G18:G140" si="3">IF(F18=0,0,D18-F18)</f>
        <v>14600</v>
      </c>
    </row>
    <row r="19" spans="1:8" x14ac:dyDescent="0.25">
      <c r="A19" s="1940" t="s">
        <v>2202</v>
      </c>
      <c r="B19" s="1941" t="s">
        <v>2203</v>
      </c>
      <c r="C19" s="1942" t="s">
        <v>2209</v>
      </c>
      <c r="D19" s="1844">
        <v>111905</v>
      </c>
      <c r="E19" s="1540">
        <f t="shared" si="2"/>
        <v>25000</v>
      </c>
      <c r="F19" s="1932">
        <f t="shared" si="1"/>
        <v>25000</v>
      </c>
      <c r="G19" s="1793">
        <f t="shared" si="3"/>
        <v>86905</v>
      </c>
    </row>
    <row r="20" spans="1:8" x14ac:dyDescent="0.25">
      <c r="A20" s="1940" t="s">
        <v>2210</v>
      </c>
      <c r="B20" s="1941" t="s">
        <v>2208</v>
      </c>
      <c r="C20" s="1942" t="s">
        <v>2211</v>
      </c>
      <c r="D20" s="1844">
        <v>62191</v>
      </c>
      <c r="E20" s="1540">
        <f t="shared" si="2"/>
        <v>25000</v>
      </c>
      <c r="F20" s="1932">
        <f t="shared" si="1"/>
        <v>25000</v>
      </c>
      <c r="G20" s="1793">
        <f t="shared" si="3"/>
        <v>37191</v>
      </c>
    </row>
    <row r="21" spans="1:8" x14ac:dyDescent="0.25">
      <c r="A21" s="1940"/>
      <c r="B21" s="1941"/>
      <c r="C21" s="1942"/>
      <c r="D21" s="1844"/>
      <c r="E21" s="1540">
        <f t="shared" si="2"/>
        <v>0</v>
      </c>
      <c r="F21" s="1932">
        <f t="shared" si="1"/>
        <v>0</v>
      </c>
      <c r="G21" s="1793">
        <f t="shared" si="3"/>
        <v>0</v>
      </c>
    </row>
    <row r="22" spans="1:8" x14ac:dyDescent="0.25">
      <c r="A22" s="1940" t="s">
        <v>2212</v>
      </c>
      <c r="B22" s="1941" t="s">
        <v>2213</v>
      </c>
      <c r="C22" s="1942" t="s">
        <v>2214</v>
      </c>
      <c r="D22" s="1844">
        <v>28000</v>
      </c>
      <c r="E22" s="1540">
        <f t="shared" si="2"/>
        <v>25000</v>
      </c>
      <c r="F22" s="1932">
        <f t="shared" si="1"/>
        <v>25000</v>
      </c>
      <c r="G22" s="1793">
        <f t="shared" si="3"/>
        <v>3000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565496</v>
      </c>
      <c r="E141" s="1541">
        <f t="shared" si="0"/>
        <v>25000</v>
      </c>
      <c r="F141" s="1933">
        <f>SUM(F17:F140)</f>
        <v>125000</v>
      </c>
      <c r="G141" s="1795">
        <f>SUM(G17:G140)</f>
        <v>440496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5" sqref="A15:F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491016</v>
      </c>
      <c r="F10" s="974"/>
      <c r="G10" s="975"/>
      <c r="H10" s="162"/>
      <c r="I10" s="162"/>
    </row>
    <row r="11" spans="1:9" s="668" customFormat="1" ht="22.5" customHeight="1" x14ac:dyDescent="0.2">
      <c r="A11" s="2289" t="s">
        <v>1974</v>
      </c>
      <c r="B11" s="2290"/>
      <c r="C11" s="2290"/>
      <c r="D11" s="2291"/>
      <c r="E11" s="977">
        <v>65273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7959214</v>
      </c>
      <c r="F19" s="1799"/>
      <c r="G19" s="1801">
        <f>'Expenditures 15-22'!K33-SUM('Expenditures 15-22'!G33,'Expenditures 15-22'!I33)+'Expenditures 15-22'!D229</f>
        <v>7959214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347139</v>
      </c>
      <c r="F21" s="1802"/>
      <c r="G21" s="1805">
        <f>'Expenditures 15-22'!K42-SUM('Expenditures 15-22'!G42,'Expenditures 15-22'!I42)+'Expenditures 15-22'!K120-SUM('Expenditures 15-22'!G120,'Expenditures 15-22'!I120)+'Expenditures 15-22'!K180-SUM('Expenditures 15-22'!G180,'Expenditures 15-22'!I180)+'Expenditures 15-22'!D238</f>
        <v>347139</v>
      </c>
      <c r="H21" s="987"/>
      <c r="I21" s="162"/>
    </row>
    <row r="22" spans="1:9" s="668" customFormat="1" ht="12" customHeight="1" x14ac:dyDescent="0.2">
      <c r="A22" s="994" t="s">
        <v>564</v>
      </c>
      <c r="B22" s="995"/>
      <c r="C22" s="993">
        <v>2200</v>
      </c>
      <c r="D22" s="1802"/>
      <c r="E22" s="1804">
        <f>'Expenditures 15-22'!K47-SUM('Expenditures 15-22'!G47,'Expenditures 15-22'!I47)+'Expenditures 15-22'!D243</f>
        <v>187949</v>
      </c>
      <c r="F22" s="1802"/>
      <c r="G22" s="1805">
        <f>'Expenditures 15-22'!K47-SUM('Expenditures 15-22'!G47,'Expenditures 15-22'!I47)+'Expenditures 15-22'!D243</f>
        <v>187949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576266</v>
      </c>
      <c r="F23" s="1802"/>
      <c r="G23" s="1804">
        <f>'Expenditures 15-22'!K53-SUM('Expenditures 15-22'!G53,'Expenditures 15-22'!I53)+'Expenditures 15-22'!D257+'Expenditures 15-22'!K330-SUM('Expenditures 15-22'!G330,'Expenditures 15-22'!I330)</f>
        <v>576266</v>
      </c>
      <c r="H23" s="987"/>
      <c r="I23" s="162"/>
    </row>
    <row r="24" spans="1:9" s="668" customFormat="1" ht="12" customHeight="1" x14ac:dyDescent="0.2">
      <c r="A24" s="994" t="s">
        <v>566</v>
      </c>
      <c r="B24" s="995"/>
      <c r="C24" s="993">
        <v>2400</v>
      </c>
      <c r="D24" s="1802"/>
      <c r="E24" s="1804">
        <f>'Expenditures 15-22'!K57-SUM('Expenditures 15-22'!G57,'Expenditures 15-22'!I57)+'Expenditures 15-22'!D261</f>
        <v>681668</v>
      </c>
      <c r="F24" s="1802"/>
      <c r="G24" s="1805">
        <f>'Expenditures 15-22'!K57-SUM('Expenditures 15-22'!G57,'Expenditures 15-22'!I57)+'Expenditures 15-22'!D261</f>
        <v>681668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163873</v>
      </c>
      <c r="E27" s="1804">
        <f>E8</f>
        <v>0</v>
      </c>
      <c r="F27" s="1804">
        <f>'Expenditures 15-22'!K60-SUM('Expenditures 15-22'!G60,'Expenditures 15-22'!I60)+'Expenditures 15-22'!D264-E8</f>
        <v>163873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1463388</v>
      </c>
      <c r="F28" s="1806">
        <f>'Expenditures 15-22'!K61-SUM('Expenditures 15-22'!G61,'Expenditures 15-22'!I61)+'Expenditures 15-22'!K124-SUM('Expenditures 15-22'!G124,'Expenditures 15-22'!I124)+'Expenditures 15-22'!D266-E9</f>
        <v>1463388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299239</v>
      </c>
      <c r="F29" s="1802"/>
      <c r="G29" s="1805">
        <f>'Expenditures 15-22'!K62-SUM('Expenditures 15-22'!G62,'Expenditures 15-22'!I62)+'Expenditures 15-22'!K125-SUM('Expenditures 15-22'!G125,'Expenditures 15-22'!I125)+'Expenditures 15-22'!K182-SUM('Expenditures 15-22'!G182,'Expenditures 15-22'!I182)+'Expenditures 15-22'!D267</f>
        <v>299239</v>
      </c>
      <c r="H29" s="985"/>
    </row>
    <row r="30" spans="1:9" ht="12" customHeight="1" x14ac:dyDescent="0.2">
      <c r="A30" s="994" t="s">
        <v>100</v>
      </c>
      <c r="B30" s="997"/>
      <c r="C30" s="993">
        <v>2560</v>
      </c>
      <c r="D30" s="1802"/>
      <c r="E30" s="1804">
        <f>'Expenditures 15-22'!K63-SUM('Expenditures 15-22'!G63,'Expenditures 15-22'!I63)+'Expenditures 15-22'!D268-E10</f>
        <v>325845</v>
      </c>
      <c r="F30" s="1802"/>
      <c r="G30" s="1804">
        <f>'Expenditures 15-22'!K63-SUM('Expenditures 15-22'!G63,'Expenditures 15-22'!I63)+'Expenditures 15-22'!D268-E10</f>
        <v>325845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1264</v>
      </c>
      <c r="F38" s="1802"/>
      <c r="G38" s="1804">
        <f>'Expenditures 15-22'!K73-SUM('Expenditures 15-22'!G73,'Expenditures 15-22'!I73)+'Expenditures 15-22'!K128-SUM('Expenditures 15-22'!G128,'Expenditures 15-22'!I128)+'Expenditures 15-22'!K183-SUM('Expenditures 15-22'!G183,'Expenditures 15-22'!I183)+'Expenditures 15-22'!D278</f>
        <v>1264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332418</v>
      </c>
      <c r="F39" s="1802"/>
      <c r="G39" s="1804">
        <f>'Expenditures 15-22'!K75-SUM('Expenditures 15-22'!G75,'Expenditures 15-22'!I75)+'Expenditures 15-22'!K130-SUM('Expenditures 15-22'!G130,'Expenditures 15-22'!I130)+'Expenditures 15-22'!K185-SUM('Expenditures 15-22'!G185,'Expenditures 15-22'!I185)+'Expenditures 15-22'!D280</f>
        <v>332418</v>
      </c>
    </row>
    <row r="40" spans="1:7" ht="12" customHeight="1" x14ac:dyDescent="0.2">
      <c r="A40" s="990" t="s">
        <v>1820</v>
      </c>
      <c r="B40" s="991"/>
      <c r="C40" s="993"/>
      <c r="D40" s="1802"/>
      <c r="E40" s="1806">
        <f>-'Contracts Paid in CY 29'!G141</f>
        <v>-440496</v>
      </c>
      <c r="F40" s="1802"/>
      <c r="G40" s="1806">
        <f>-'Contracts Paid in CY 29'!G141</f>
        <v>-440496</v>
      </c>
    </row>
    <row r="41" spans="1:7" ht="12" customHeight="1" x14ac:dyDescent="0.2">
      <c r="A41" s="998" t="s">
        <v>156</v>
      </c>
      <c r="B41" s="999"/>
      <c r="C41" s="1000"/>
      <c r="D41" s="1806">
        <f>SUM(D19:D39)</f>
        <v>163873</v>
      </c>
      <c r="E41" s="1806">
        <f>SUM(E19:E40)</f>
        <v>11733894</v>
      </c>
      <c r="F41" s="1806">
        <f>SUM(F19:F39)</f>
        <v>1627261</v>
      </c>
      <c r="G41" s="1806">
        <f>SUM(G19:G40)</f>
        <v>10270506</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163873</v>
      </c>
      <c r="F43" s="1807" t="s">
        <v>473</v>
      </c>
      <c r="G43" s="1808">
        <f>F41</f>
        <v>1627261</v>
      </c>
    </row>
    <row r="44" spans="1:7" ht="12" customHeight="1" x14ac:dyDescent="0.2">
      <c r="A44" s="987"/>
      <c r="B44" s="162"/>
      <c r="C44" s="1001"/>
      <c r="D44" s="1807" t="s">
        <v>474</v>
      </c>
      <c r="E44" s="1808">
        <f>E41</f>
        <v>11733894</v>
      </c>
      <c r="F44" s="1807" t="s">
        <v>474</v>
      </c>
      <c r="G44" s="1808">
        <f>G41</f>
        <v>10270506</v>
      </c>
    </row>
    <row r="45" spans="1:7" ht="12" customHeight="1" x14ac:dyDescent="0.2">
      <c r="A45" s="987"/>
      <c r="B45" s="162"/>
      <c r="C45" s="162"/>
      <c r="D45" s="1809" t="s">
        <v>1006</v>
      </c>
      <c r="E45" s="1810">
        <f>(E43/E44)</f>
        <v>1.3965781521462526E-2</v>
      </c>
      <c r="F45" s="1809" t="s">
        <v>1006</v>
      </c>
      <c r="G45" s="1810">
        <f>(G43/G44)</f>
        <v>0.15844019759104372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15" sqref="A15:F15"/>
      <selection pane="bottomLeft" activeCell="F6" sqref="F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Beardstown CUSD 15</v>
      </c>
      <c r="D6" s="2310"/>
      <c r="E6" s="2310"/>
      <c r="F6" s="1852"/>
    </row>
    <row r="7" spans="1:10" ht="11.25" customHeight="1" thickBot="1" x14ac:dyDescent="0.3">
      <c r="A7" s="1850"/>
      <c r="B7" s="1851"/>
      <c r="C7" s="2311">
        <f>COVER!A13</f>
        <v>1009015026</v>
      </c>
      <c r="D7" s="2311"/>
      <c r="E7" s="2311"/>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2068</v>
      </c>
      <c r="D19" s="1865" t="s">
        <v>2068</v>
      </c>
      <c r="E19" s="1868"/>
      <c r="F19" s="1867" t="s">
        <v>2085</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2068</v>
      </c>
      <c r="D26" s="1865" t="s">
        <v>2068</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2068</v>
      </c>
      <c r="D31" s="1865" t="s">
        <v>2068</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1" sqref="D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Beardstown CUSD 15</v>
      </c>
      <c r="J6" s="2320"/>
      <c r="Q6" s="1664"/>
    </row>
    <row r="7" spans="1:17" x14ac:dyDescent="0.2">
      <c r="A7" s="2321" t="s">
        <v>869</v>
      </c>
      <c r="B7" s="2322"/>
      <c r="C7" s="2322"/>
      <c r="D7" s="2322"/>
      <c r="E7" s="2323"/>
      <c r="F7" s="1017"/>
      <c r="G7" s="1009"/>
      <c r="H7" s="1016" t="s">
        <v>372</v>
      </c>
      <c r="I7" s="2324">
        <f>COVER!A13</f>
        <v>1009015026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135962</v>
      </c>
      <c r="F12" s="1039"/>
      <c r="G12" s="1811">
        <f t="shared" ref="G12:G18" si="0">SUM(E12:F12)</f>
        <v>135962</v>
      </c>
      <c r="H12" s="1040">
        <v>141161</v>
      </c>
      <c r="I12" s="1039"/>
      <c r="J12" s="1811">
        <f t="shared" ref="J12:J18" si="1">SUM(H12:I12)</f>
        <v>141161</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135962</v>
      </c>
      <c r="F19" s="1813">
        <f t="shared" si="2"/>
        <v>0</v>
      </c>
      <c r="G19" s="1813">
        <f t="shared" si="2"/>
        <v>135962</v>
      </c>
      <c r="H19" s="1813">
        <f t="shared" si="2"/>
        <v>141161</v>
      </c>
      <c r="I19" s="1813">
        <f t="shared" si="2"/>
        <v>0</v>
      </c>
      <c r="J19" s="1813">
        <f t="shared" si="2"/>
        <v>141161</v>
      </c>
    </row>
    <row r="20" spans="1:10" ht="13.5" thickTop="1" x14ac:dyDescent="0.2">
      <c r="A20" s="1035">
        <v>9</v>
      </c>
      <c r="B20" s="2331" t="s">
        <v>1978</v>
      </c>
      <c r="C20" s="2331"/>
      <c r="D20" s="2332"/>
      <c r="E20" s="1046"/>
      <c r="F20" s="1046"/>
      <c r="G20" s="1046"/>
      <c r="H20" s="1046"/>
      <c r="I20" s="1046"/>
      <c r="J20" s="1814">
        <f>IF(AND(G19&gt;0,J19&gt;0),(((J19-G19)/G19)),"Enter Budget Data")</f>
        <v>3.8238625498300996E-2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1980</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 sqref="B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c r="B7" s="329" t="s">
        <v>2090</v>
      </c>
    </row>
    <row r="8" spans="1:2" x14ac:dyDescent="0.2">
      <c r="A8" s="1068">
        <v>4</v>
      </c>
      <c r="B8" s="329" t="s">
        <v>2091</v>
      </c>
    </row>
    <row r="9" spans="1:2" x14ac:dyDescent="0.2">
      <c r="A9" s="1068">
        <v>5</v>
      </c>
      <c r="B9" s="329" t="s">
        <v>2092</v>
      </c>
    </row>
    <row r="10" spans="1:2" x14ac:dyDescent="0.2">
      <c r="A10" s="1068">
        <v>6</v>
      </c>
      <c r="B10" s="329" t="s">
        <v>2093</v>
      </c>
    </row>
    <row r="11" spans="1:2" x14ac:dyDescent="0.2">
      <c r="A11" s="1068"/>
      <c r="B11" s="329" t="s">
        <v>2094</v>
      </c>
    </row>
    <row r="12" spans="1:2" x14ac:dyDescent="0.2">
      <c r="A12" s="1068">
        <v>7</v>
      </c>
      <c r="B12" s="329" t="s">
        <v>2215</v>
      </c>
    </row>
    <row r="13" spans="1:2" x14ac:dyDescent="0.2">
      <c r="A13" s="1068">
        <v>8</v>
      </c>
      <c r="B13" s="329" t="s">
        <v>2095</v>
      </c>
    </row>
    <row r="14" spans="1:2" x14ac:dyDescent="0.2">
      <c r="A14" s="1068">
        <v>9</v>
      </c>
      <c r="B14" s="329" t="s">
        <v>2096</v>
      </c>
    </row>
    <row r="15" spans="1:2" x14ac:dyDescent="0.2">
      <c r="A15" s="1068"/>
      <c r="B15" s="329" t="s">
        <v>2097</v>
      </c>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Beardstown CUSD 15</v>
      </c>
    </row>
    <row r="65" spans="2:2" x14ac:dyDescent="0.2">
      <c r="B65" s="1070">
        <f>COVER!A13</f>
        <v>1009015026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5" sqref="A15:F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 sqref="C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1" sqref="F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4273" r:id="rId4">
          <objectPr defaultSize="0" r:id="rId5">
            <anchor moveWithCells="1">
              <from>
                <xdr:col>1</xdr:col>
                <xdr:colOff>1143000</xdr:colOff>
                <xdr:row>1</xdr:row>
                <xdr:rowOff>28575</xdr:rowOff>
              </from>
              <to>
                <xdr:col>1</xdr:col>
                <xdr:colOff>2047875</xdr:colOff>
                <xdr:row>5</xdr:row>
                <xdr:rowOff>66675</xdr:rowOff>
              </to>
            </anchor>
          </objectPr>
        </oleObject>
      </mc:Choice>
      <mc:Fallback>
        <oleObject progId="Acrobat Document" dvAspect="DVASPECT_ICON" shapeId="54273" r:id="rId4"/>
      </mc:Fallback>
    </mc:AlternateContent>
    <mc:AlternateContent xmlns:mc="http://schemas.openxmlformats.org/markup-compatibility/2006">
      <mc:Choice Requires="x14">
        <oleObject progId="Acrobat Document" dvAspect="DVASPECT_ICON" shapeId="54274" r:id="rId6">
          <objectPr defaultSize="0" r:id="rId7">
            <anchor moveWithCells="1">
              <from>
                <xdr:col>1</xdr:col>
                <xdr:colOff>28575</xdr:colOff>
                <xdr:row>1</xdr:row>
                <xdr:rowOff>47625</xdr:rowOff>
              </from>
              <to>
                <xdr:col>1</xdr:col>
                <xdr:colOff>942975</xdr:colOff>
                <xdr:row>5</xdr:row>
                <xdr:rowOff>85725</xdr:rowOff>
              </to>
            </anchor>
          </objectPr>
        </oleObject>
      </mc:Choice>
      <mc:Fallback>
        <oleObject progId="Acrobat Document" dvAspect="DVASPECT_ICON" shapeId="5427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1984</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1985</v>
      </c>
      <c r="B4" s="2359"/>
      <c r="C4" s="2359"/>
      <c r="D4" s="2359"/>
      <c r="E4" s="2359"/>
      <c r="F4" s="2360"/>
      <c r="G4" s="1074"/>
      <c r="H4" s="1074"/>
    </row>
    <row r="5" spans="1:8" ht="14.25" customHeight="1" x14ac:dyDescent="0.2">
      <c r="A5" s="2361" t="s">
        <v>1981</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13790011</v>
      </c>
      <c r="C8" s="1815">
        <f>'Acct Summary 7-8'!D8</f>
        <v>606915</v>
      </c>
      <c r="D8" s="1815">
        <f>'Acct Summary 7-8'!F8</f>
        <v>467628</v>
      </c>
      <c r="E8" s="1815">
        <f>'Acct Summary 7-8'!I8</f>
        <v>2432</v>
      </c>
      <c r="F8" s="1815">
        <f>SUM(B8:E8)</f>
        <v>14866986</v>
      </c>
    </row>
    <row r="9" spans="1:8" s="1079" customFormat="1" ht="14.25" customHeight="1" thickBot="1" x14ac:dyDescent="0.25">
      <c r="A9" s="1078" t="s">
        <v>1369</v>
      </c>
      <c r="B9" s="1816">
        <f>'Acct Summary 7-8'!C17</f>
        <v>12200135</v>
      </c>
      <c r="C9" s="1816">
        <f>'Acct Summary 7-8'!D17</f>
        <v>531944</v>
      </c>
      <c r="D9" s="1816">
        <f>'Acct Summary 7-8'!F17</f>
        <v>350294</v>
      </c>
      <c r="E9" s="1815"/>
      <c r="F9" s="1815">
        <f>SUM(B9:E9)</f>
        <v>13082373</v>
      </c>
    </row>
    <row r="10" spans="1:8" s="1079" customFormat="1" ht="14.25" thickTop="1" thickBot="1" x14ac:dyDescent="0.25">
      <c r="A10" s="1080" t="s">
        <v>1370</v>
      </c>
      <c r="B10" s="1817">
        <f>(B8-B9)</f>
        <v>1589876</v>
      </c>
      <c r="C10" s="1817">
        <f>(C8-C9)</f>
        <v>74971</v>
      </c>
      <c r="D10" s="1817">
        <f>(D8-D9)</f>
        <v>117334</v>
      </c>
      <c r="E10" s="1816">
        <f>(E8-E9)</f>
        <v>2432</v>
      </c>
      <c r="F10" s="1818">
        <f>SUM(F8-F9)</f>
        <v>1784613</v>
      </c>
    </row>
    <row r="11" spans="1:8" s="1079" customFormat="1" ht="14.25" thickTop="1" thickBot="1" x14ac:dyDescent="0.25">
      <c r="A11" s="1081" t="s">
        <v>1982</v>
      </c>
      <c r="B11" s="1819">
        <f>'Acct Summary 7-8'!C81</f>
        <v>7246947</v>
      </c>
      <c r="C11" s="1819">
        <f>'Acct Summary 7-8'!D81</f>
        <v>1435996</v>
      </c>
      <c r="D11" s="1819">
        <f>'Acct Summary 7-8'!F81</f>
        <v>1270688</v>
      </c>
      <c r="E11" s="1819">
        <f>'Acct Summary 7-8'!I81</f>
        <v>811960</v>
      </c>
      <c r="F11" s="1820">
        <f>SUM(B11:E11)</f>
        <v>10765591</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3" sqref="A3:D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ERROR!</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1009015026</v>
      </c>
    </row>
    <row r="3" spans="1:2" x14ac:dyDescent="0.2">
      <c r="A3" t="s">
        <v>956</v>
      </c>
      <c r="B3" s="138" t="str">
        <f>COVER!A15</f>
        <v xml:space="preserve">Cass                  </v>
      </c>
    </row>
    <row r="4" spans="1:2" x14ac:dyDescent="0.2">
      <c r="A4" t="s">
        <v>1007</v>
      </c>
      <c r="B4" s="138" t="str">
        <f>COVER!A17</f>
        <v>Beardstown CUSD 15</v>
      </c>
    </row>
    <row r="5" spans="1:2" x14ac:dyDescent="0.2">
      <c r="A5" t="s">
        <v>704</v>
      </c>
      <c r="B5" s="138" t="str">
        <f>COVER!A38</f>
        <v>Ron Gilbert, Superintendent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060-004845</v>
      </c>
    </row>
    <row r="16" spans="1:2" x14ac:dyDescent="0.2">
      <c r="A16" t="s">
        <v>422</v>
      </c>
      <c r="B16" s="138" t="str">
        <f>COVER!T13</f>
        <v xml:space="preserve">Pehlman and Dold, P.C.                 </v>
      </c>
    </row>
    <row r="17" spans="1:2" x14ac:dyDescent="0.2">
      <c r="A17" t="s">
        <v>884</v>
      </c>
      <c r="B17" s="138" t="str">
        <f>COVER!T15</f>
        <v>Dorinda L Fitzgerald</v>
      </c>
    </row>
    <row r="18" spans="1:2" x14ac:dyDescent="0.2">
      <c r="A18" t="s">
        <v>1150</v>
      </c>
      <c r="B18" s="138" t="str">
        <f>COVER!T17</f>
        <v>100 North Amos Avenue</v>
      </c>
    </row>
    <row r="19" spans="1:2" x14ac:dyDescent="0.2">
      <c r="A19" t="s">
        <v>886</v>
      </c>
      <c r="B19" s="138" t="str">
        <f>COVER!T25</f>
        <v>dfitzgerald@p-dcpas.cpm</v>
      </c>
    </row>
    <row r="20" spans="1:2" x14ac:dyDescent="0.2">
      <c r="A20" t="s">
        <v>887</v>
      </c>
      <c r="B20" s="138" t="str">
        <f>COVER!T19</f>
        <v>Springfield</v>
      </c>
    </row>
    <row r="21" spans="1:2" x14ac:dyDescent="0.2">
      <c r="A21" t="s">
        <v>479</v>
      </c>
      <c r="B21" s="138" t="str">
        <f>COVER!X19</f>
        <v>IL</v>
      </c>
    </row>
    <row r="22" spans="1:2" x14ac:dyDescent="0.2">
      <c r="A22" t="s">
        <v>888</v>
      </c>
      <c r="B22" s="138">
        <f>COVER!Z19</f>
        <v>62702</v>
      </c>
    </row>
    <row r="23" spans="1:2" x14ac:dyDescent="0.2">
      <c r="A23" t="s">
        <v>1152</v>
      </c>
      <c r="B23" s="138" t="str">
        <f>COVER!T21</f>
        <v>(217) 787-0563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1839338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7298567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3596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51620</v>
      </c>
      <c r="C91" s="2" t="s">
        <v>573</v>
      </c>
      <c r="D91" s="2" t="str">
        <f t="shared" si="0"/>
        <v>Error?</v>
      </c>
    </row>
    <row r="92" spans="1:4" x14ac:dyDescent="0.2">
      <c r="A92" s="5">
        <v>31</v>
      </c>
      <c r="B92" s="138">
        <f>'Assets-Liab 5-6'!C39</f>
        <v>7153012</v>
      </c>
      <c r="D92" s="2" t="str">
        <f t="shared" si="0"/>
        <v>Error?</v>
      </c>
    </row>
    <row r="93" spans="1:4" x14ac:dyDescent="0.2">
      <c r="A93" s="5">
        <v>32</v>
      </c>
      <c r="B93" s="138">
        <f>'Assets-Liab 5-6'!C41</f>
        <v>7298567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1515996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80000</v>
      </c>
      <c r="C122" s="2" t="s">
        <v>573</v>
      </c>
      <c r="D122" s="2" t="str">
        <f t="shared" si="0"/>
        <v>Error?</v>
      </c>
    </row>
    <row r="123" spans="1:4" x14ac:dyDescent="0.2">
      <c r="A123" s="5">
        <v>62</v>
      </c>
      <c r="B123" s="138">
        <f>'Assets-Liab 5-6'!D39</f>
        <v>1435996</v>
      </c>
      <c r="D123" s="2" t="str">
        <f t="shared" si="0"/>
        <v>Error?</v>
      </c>
    </row>
    <row r="124" spans="1:4" x14ac:dyDescent="0.2">
      <c r="A124" s="5">
        <v>63</v>
      </c>
      <c r="B124" s="138">
        <f>'Assets-Liab 5-6'!D41</f>
        <v>1515996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24573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24573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1270688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1270688</v>
      </c>
      <c r="D170" s="2" t="str">
        <f t="shared" si="1"/>
        <v>Error?</v>
      </c>
    </row>
    <row r="171" spans="1:4" x14ac:dyDescent="0.2">
      <c r="A171" s="5">
        <v>110</v>
      </c>
      <c r="B171" s="138">
        <f>'Assets-Liab 5-6'!F41</f>
        <v>1270688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885899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59</v>
      </c>
      <c r="C188" s="2" t="s">
        <v>573</v>
      </c>
      <c r="D188" s="2" t="str">
        <f t="shared" si="1"/>
        <v>Error?</v>
      </c>
    </row>
    <row r="189" spans="1:4" x14ac:dyDescent="0.2">
      <c r="A189" s="5">
        <v>128</v>
      </c>
      <c r="B189" s="138">
        <f>'Assets-Liab 5-6'!G39</f>
        <v>885840</v>
      </c>
      <c r="D189" s="2" t="str">
        <f t="shared" si="1"/>
        <v>Error?</v>
      </c>
    </row>
    <row r="190" spans="1:4" x14ac:dyDescent="0.2">
      <c r="A190" s="5">
        <v>129</v>
      </c>
      <c r="B190" s="138">
        <f>'Assets-Liab 5-6'!G41</f>
        <v>885899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1154359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4980</v>
      </c>
      <c r="D212" s="2" t="str">
        <f t="shared" si="2"/>
        <v>Error?</v>
      </c>
    </row>
    <row r="213" spans="1:4" x14ac:dyDescent="0.2">
      <c r="A213" s="12">
        <v>152</v>
      </c>
      <c r="B213" s="138">
        <f>'Assets-Liab 5-6'!H41</f>
        <v>1154359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142942</v>
      </c>
      <c r="D273" s="2" t="str">
        <f t="shared" si="3"/>
        <v>Error?</v>
      </c>
    </row>
    <row r="274" spans="1:4" x14ac:dyDescent="0.2">
      <c r="A274" s="5">
        <v>213</v>
      </c>
      <c r="B274" s="138">
        <f>'Assets-Liab 5-6'!M17</f>
        <v>33189859</v>
      </c>
      <c r="D274" s="2" t="str">
        <f t="shared" si="3"/>
        <v>Error?</v>
      </c>
    </row>
    <row r="275" spans="1:4" x14ac:dyDescent="0.2">
      <c r="A275" s="5">
        <v>214</v>
      </c>
      <c r="B275" s="138">
        <f>'Assets-Liab 5-6'!M18</f>
        <v>200339</v>
      </c>
      <c r="D275" s="2" t="str">
        <f t="shared" si="3"/>
        <v>Error?</v>
      </c>
    </row>
    <row r="276" spans="1:4" x14ac:dyDescent="0.2">
      <c r="A276" s="5">
        <v>215</v>
      </c>
      <c r="B276" s="138">
        <f>'Assets-Liab 5-6'!M19</f>
        <v>2227481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35760621</v>
      </c>
      <c r="C279" s="2" t="s">
        <v>573</v>
      </c>
      <c r="D279" s="2" t="str">
        <f t="shared" si="3"/>
        <v>Error?</v>
      </c>
    </row>
    <row r="280" spans="1:4" x14ac:dyDescent="0.2">
      <c r="A280" s="5">
        <v>219</v>
      </c>
      <c r="B280" s="138">
        <f>'Assets-Liab 5-6'!M40</f>
        <v>35760621</v>
      </c>
      <c r="D280" s="2" t="str">
        <f t="shared" si="3"/>
        <v>Error?</v>
      </c>
    </row>
    <row r="281" spans="1:4" x14ac:dyDescent="0.2">
      <c r="A281" s="5">
        <v>220</v>
      </c>
      <c r="B281" s="138">
        <f>'Assets-Liab 5-6'!M41</f>
        <v>35760621</v>
      </c>
      <c r="C281" s="2" t="s">
        <v>573</v>
      </c>
      <c r="D281" s="2" t="str">
        <f t="shared" si="3"/>
        <v>Error?</v>
      </c>
    </row>
    <row r="282" spans="1:4" x14ac:dyDescent="0.2">
      <c r="A282" s="5">
        <v>221</v>
      </c>
      <c r="B282" s="138">
        <f>'Assets-Liab 5-6'!N21</f>
        <v>24573</v>
      </c>
      <c r="D282" s="2" t="str">
        <f t="shared" si="3"/>
        <v>Error?</v>
      </c>
    </row>
    <row r="283" spans="1:4" x14ac:dyDescent="0.2">
      <c r="A283" s="5">
        <v>222</v>
      </c>
      <c r="B283" s="138">
        <f>'Assets-Liab 5-6'!N22</f>
        <v>2180314</v>
      </c>
      <c r="D283" s="2" t="str">
        <f t="shared" si="3"/>
        <v>Error?</v>
      </c>
    </row>
    <row r="284" spans="1:4" x14ac:dyDescent="0.2">
      <c r="A284" s="5">
        <v>223</v>
      </c>
      <c r="B284" s="138">
        <f>'Assets-Liab 5-6'!N23</f>
        <v>2204887</v>
      </c>
      <c r="C284" s="2" t="s">
        <v>573</v>
      </c>
      <c r="D284" s="2" t="str">
        <f t="shared" si="3"/>
        <v>Error?</v>
      </c>
    </row>
    <row r="285" spans="1:4" x14ac:dyDescent="0.2">
      <c r="A285" s="5">
        <v>224</v>
      </c>
      <c r="B285" s="138">
        <f>'Assets-Liab 5-6'!N36</f>
        <v>2204887</v>
      </c>
      <c r="D285" s="2" t="str">
        <f t="shared" si="3"/>
        <v>Error?</v>
      </c>
    </row>
    <row r="286" spans="1:4" x14ac:dyDescent="0.2">
      <c r="A286" s="10">
        <v>225</v>
      </c>
      <c r="D286" s="2" t="str">
        <f t="shared" si="3"/>
        <v>OK</v>
      </c>
    </row>
    <row r="287" spans="1:4" x14ac:dyDescent="0.2">
      <c r="A287" s="5">
        <v>226</v>
      </c>
      <c r="B287" s="138">
        <f>'Assets-Liab 5-6'!N37</f>
        <v>2204887</v>
      </c>
      <c r="C287" s="2" t="s">
        <v>573</v>
      </c>
      <c r="D287" s="2" t="str">
        <f t="shared" si="3"/>
        <v>Error?</v>
      </c>
    </row>
    <row r="288" spans="1:4" x14ac:dyDescent="0.2">
      <c r="A288" s="5">
        <v>227</v>
      </c>
      <c r="B288" s="138">
        <f>'Assets-Liab 5-6'!N41</f>
        <v>2204887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3949428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146235</v>
      </c>
      <c r="D717" s="2" t="str">
        <f t="shared" si="10"/>
        <v>Error?</v>
      </c>
    </row>
    <row r="718" spans="1:4" x14ac:dyDescent="0.2">
      <c r="A718" s="5">
        <v>657</v>
      </c>
      <c r="B718" s="138">
        <f>'Expenditures 15-22'!C14</f>
        <v>115000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5965130</v>
      </c>
      <c r="C720" s="2" t="s">
        <v>573</v>
      </c>
      <c r="D720" s="2" t="str">
        <f t="shared" si="10"/>
        <v>Error?</v>
      </c>
    </row>
    <row r="721" spans="1:4" x14ac:dyDescent="0.2">
      <c r="A721" s="5">
        <v>660</v>
      </c>
      <c r="B721" s="138">
        <f>'Expenditures 15-22'!C36</f>
        <v>143674</v>
      </c>
      <c r="D721" s="2" t="str">
        <f t="shared" si="10"/>
        <v>Error?</v>
      </c>
    </row>
    <row r="722" spans="1:4" x14ac:dyDescent="0.2">
      <c r="A722" s="5">
        <v>661</v>
      </c>
      <c r="B722" s="138">
        <f>'Expenditures 15-22'!C37</f>
        <v>84205</v>
      </c>
      <c r="D722" s="2" t="str">
        <f t="shared" si="10"/>
        <v>Error?</v>
      </c>
    </row>
    <row r="723" spans="1:4" x14ac:dyDescent="0.2">
      <c r="A723" s="5">
        <v>662</v>
      </c>
      <c r="B723" s="138">
        <f>'Expenditures 15-22'!C38</f>
        <v>43179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271058</v>
      </c>
      <c r="C727" s="2" t="s">
        <v>573</v>
      </c>
      <c r="D727" s="2" t="str">
        <f t="shared" si="10"/>
        <v>Error?</v>
      </c>
    </row>
    <row r="728" spans="1:4" x14ac:dyDescent="0.2">
      <c r="A728" s="5">
        <v>667</v>
      </c>
      <c r="B728" s="138">
        <f>'Expenditures 15-22'!C44</f>
        <v>14816</v>
      </c>
      <c r="D728" s="2" t="str">
        <f t="shared" si="10"/>
        <v>Error?</v>
      </c>
    </row>
    <row r="729" spans="1:4" x14ac:dyDescent="0.2">
      <c r="A729" s="5">
        <v>668</v>
      </c>
      <c r="B729" s="138">
        <f>'Expenditures 15-22'!C45</f>
        <v>34743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49559</v>
      </c>
      <c r="C731" s="2" t="s">
        <v>573</v>
      </c>
      <c r="D731" s="2" t="str">
        <f t="shared" si="10"/>
        <v>Error?</v>
      </c>
    </row>
    <row r="732" spans="1:4" x14ac:dyDescent="0.2">
      <c r="A732" s="5">
        <v>671</v>
      </c>
      <c r="B732" s="138">
        <f>'Expenditures 15-22'!C49</f>
        <v>37953</v>
      </c>
      <c r="D732" s="2" t="str">
        <f t="shared" si="10"/>
        <v>Error?</v>
      </c>
    </row>
    <row r="733" spans="1:4" x14ac:dyDescent="0.2">
      <c r="A733" s="5">
        <v>672</v>
      </c>
      <c r="B733" s="138">
        <f>'Expenditures 15-22'!C50</f>
        <v>130518</v>
      </c>
      <c r="D733" s="2" t="str">
        <f t="shared" si="10"/>
        <v>Error?</v>
      </c>
    </row>
    <row r="734" spans="1:4" x14ac:dyDescent="0.2">
      <c r="A734" s="5">
        <v>673</v>
      </c>
      <c r="B734" s="138">
        <f>'Expenditures 15-22'!C53</f>
        <v>168471</v>
      </c>
      <c r="C734" s="2" t="s">
        <v>573</v>
      </c>
      <c r="D734" s="2" t="str">
        <f t="shared" si="10"/>
        <v>Error?</v>
      </c>
    </row>
    <row r="735" spans="1:4" x14ac:dyDescent="0.2">
      <c r="A735" s="5">
        <v>674</v>
      </c>
      <c r="B735" s="138">
        <f>'Expenditures 15-22'!C55</f>
        <v>599371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599371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116051</v>
      </c>
      <c r="D739" s="2" t="str">
        <f t="shared" si="10"/>
        <v>Error?</v>
      </c>
    </row>
    <row r="740" spans="1:4" x14ac:dyDescent="0.2">
      <c r="A740" s="5">
        <v>679</v>
      </c>
      <c r="B740" s="138">
        <f>'Expenditures 15-22'!C61</f>
        <v>380423</v>
      </c>
      <c r="D740" s="2" t="str">
        <f t="shared" si="10"/>
        <v>Error?</v>
      </c>
    </row>
    <row r="741" spans="1:4" x14ac:dyDescent="0.2">
      <c r="A741" s="5">
        <v>680</v>
      </c>
      <c r="B741" s="138">
        <f>'Expenditures 15-22'!C62</f>
        <v>8835</v>
      </c>
      <c r="D741" s="2" t="str">
        <f t="shared" si="10"/>
        <v>Error?</v>
      </c>
    </row>
    <row r="742" spans="1:4" x14ac:dyDescent="0.2">
      <c r="A742" s="5">
        <v>681</v>
      </c>
      <c r="B742" s="138">
        <f>'Expenditures 15-22'!C63</f>
        <v>229484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734793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1823252</v>
      </c>
      <c r="C755" s="2" t="s">
        <v>573</v>
      </c>
      <c r="D755" s="2" t="str">
        <f t="shared" si="10"/>
        <v>Error?</v>
      </c>
    </row>
    <row r="756" spans="1:4" x14ac:dyDescent="0.2">
      <c r="A756" s="5">
        <v>695</v>
      </c>
      <c r="B756" s="138">
        <f>'Expenditures 15-22'!C75</f>
        <v>256094</v>
      </c>
      <c r="D756" s="2" t="str">
        <f t="shared" si="10"/>
        <v>Error?</v>
      </c>
    </row>
    <row r="757" spans="1:4" x14ac:dyDescent="0.2">
      <c r="A757" s="5">
        <v>696</v>
      </c>
      <c r="B757" s="138">
        <f>'Expenditures 15-22'!C114</f>
        <v>8044476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423614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5587</v>
      </c>
      <c r="D775" s="2" t="str">
        <f t="shared" si="11"/>
        <v>Error?</v>
      </c>
    </row>
    <row r="776" spans="1:4" x14ac:dyDescent="0.2">
      <c r="A776" s="5">
        <v>715</v>
      </c>
      <c r="B776" s="138">
        <f>'Expenditures 15-22'!D14</f>
        <v>8764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711952</v>
      </c>
      <c r="C778" s="2" t="s">
        <v>573</v>
      </c>
      <c r="D778" s="2" t="str">
        <f t="shared" si="11"/>
        <v>Error?</v>
      </c>
    </row>
    <row r="779" spans="1:4" x14ac:dyDescent="0.2">
      <c r="A779" s="5">
        <v>718</v>
      </c>
      <c r="B779" s="138">
        <f>'Expenditures 15-22'!D36</f>
        <v>15039</v>
      </c>
      <c r="D779" s="2" t="str">
        <f t="shared" si="11"/>
        <v>Error?</v>
      </c>
    </row>
    <row r="780" spans="1:4" x14ac:dyDescent="0.2">
      <c r="A780" s="5">
        <v>719</v>
      </c>
      <c r="B780" s="138">
        <f>'Expenditures 15-22'!D37</f>
        <v>13540</v>
      </c>
      <c r="D780" s="2" t="str">
        <f t="shared" si="11"/>
        <v>Error?</v>
      </c>
    </row>
    <row r="781" spans="1:4" x14ac:dyDescent="0.2">
      <c r="A781" s="5">
        <v>720</v>
      </c>
      <c r="B781" s="138">
        <f>'Expenditures 15-22'!D38</f>
        <v>391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28970</v>
      </c>
      <c r="C785" s="2" t="s">
        <v>573</v>
      </c>
      <c r="D785" s="2" t="str">
        <f t="shared" si="11"/>
        <v>Error?</v>
      </c>
    </row>
    <row r="786" spans="1:4" x14ac:dyDescent="0.2">
      <c r="A786" s="5">
        <v>725</v>
      </c>
      <c r="B786" s="138">
        <f>'Expenditures 15-22'!D44</f>
        <v>5482</v>
      </c>
      <c r="D786" s="2" t="str">
        <f t="shared" si="11"/>
        <v>Error?</v>
      </c>
    </row>
    <row r="787" spans="1:4" x14ac:dyDescent="0.2">
      <c r="A787" s="5">
        <v>726</v>
      </c>
      <c r="B787" s="138">
        <f>'Expenditures 15-22'!D45</f>
        <v>7104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12586</v>
      </c>
      <c r="C789" s="2" t="s">
        <v>573</v>
      </c>
      <c r="D789" s="2" t="str">
        <f t="shared" si="11"/>
        <v>Error?</v>
      </c>
    </row>
    <row r="790" spans="1:4" x14ac:dyDescent="0.2">
      <c r="A790" s="5">
        <v>729</v>
      </c>
      <c r="B790" s="138">
        <f>'Expenditures 15-22'!D49</f>
        <v>3468</v>
      </c>
      <c r="D790" s="2" t="str">
        <f t="shared" si="11"/>
        <v>Error?</v>
      </c>
    </row>
    <row r="791" spans="1:4" x14ac:dyDescent="0.2">
      <c r="A791" s="5">
        <v>730</v>
      </c>
      <c r="B791" s="138">
        <f>'Expenditures 15-22'!D50</f>
        <v>2401</v>
      </c>
      <c r="D791" s="2" t="str">
        <f t="shared" si="11"/>
        <v>Error?</v>
      </c>
    </row>
    <row r="792" spans="1:4" x14ac:dyDescent="0.2">
      <c r="A792" s="5">
        <v>731</v>
      </c>
      <c r="B792" s="138">
        <f>'Expenditures 15-22'!D53</f>
        <v>5869</v>
      </c>
      <c r="C792" s="2" t="s">
        <v>573</v>
      </c>
      <c r="D792" s="2" t="str">
        <f t="shared" si="11"/>
        <v>Error?</v>
      </c>
    </row>
    <row r="793" spans="1:4" x14ac:dyDescent="0.2">
      <c r="A793" s="5">
        <v>732</v>
      </c>
      <c r="B793" s="138">
        <f>'Expenditures 15-22'!D55</f>
        <v>49700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49700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18973</v>
      </c>
      <c r="D797" s="2" t="str">
        <f t="shared" si="11"/>
        <v>Error?</v>
      </c>
    </row>
    <row r="798" spans="1:4" x14ac:dyDescent="0.2">
      <c r="A798" s="5">
        <v>737</v>
      </c>
      <c r="B798" s="138">
        <f>'Expenditures 15-22'!D61</f>
        <v>54575</v>
      </c>
      <c r="D798" s="2" t="str">
        <f t="shared" si="11"/>
        <v>Error?</v>
      </c>
    </row>
    <row r="799" spans="1:4" x14ac:dyDescent="0.2">
      <c r="A799" s="5">
        <v>738</v>
      </c>
      <c r="B799" s="138">
        <f>'Expenditures 15-22'!D62</f>
        <v>1435</v>
      </c>
      <c r="D799" s="2" t="str">
        <f t="shared" si="11"/>
        <v>Error?</v>
      </c>
    </row>
    <row r="800" spans="1:4" x14ac:dyDescent="0.2">
      <c r="A800" s="5">
        <v>739</v>
      </c>
      <c r="B800" s="138">
        <f>'Expenditures 15-22'!D63</f>
        <v>13368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88351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185476</v>
      </c>
      <c r="C813" s="2" t="s">
        <v>573</v>
      </c>
      <c r="D813" s="2" t="str">
        <f t="shared" si="11"/>
        <v>Error?</v>
      </c>
    </row>
    <row r="814" spans="1:4" x14ac:dyDescent="0.2">
      <c r="A814" s="5">
        <v>753</v>
      </c>
      <c r="B814" s="138">
        <f>'Expenditures 15-22'!D75</f>
        <v>16156</v>
      </c>
      <c r="D814" s="2" t="str">
        <f t="shared" si="11"/>
        <v>Error?</v>
      </c>
    </row>
    <row r="815" spans="1:4" x14ac:dyDescent="0.2">
      <c r="A815" s="5">
        <v>754</v>
      </c>
      <c r="B815" s="138">
        <f>'Expenditures 15-22'!D114</f>
        <v>913584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98169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47173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300445</v>
      </c>
      <c r="C836" s="2" t="s">
        <v>573</v>
      </c>
      <c r="D836" s="2" t="str">
        <f t="shared" si="12"/>
        <v>Error?</v>
      </c>
    </row>
    <row r="837" spans="1:4" x14ac:dyDescent="0.2">
      <c r="A837" s="5">
        <v>776</v>
      </c>
      <c r="B837" s="138">
        <f>'Expenditures 15-22'!E36</f>
        <v>4455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4567</v>
      </c>
      <c r="C843" s="2" t="s">
        <v>573</v>
      </c>
      <c r="D843" s="2" t="str">
        <f t="shared" si="12"/>
        <v>Error?</v>
      </c>
    </row>
    <row r="844" spans="1:4" x14ac:dyDescent="0.2">
      <c r="A844" s="5">
        <v>783</v>
      </c>
      <c r="B844" s="138">
        <f>'Expenditures 15-22'!E44</f>
        <v>90652</v>
      </c>
      <c r="D844" s="2" t="str">
        <f t="shared" si="12"/>
        <v>Error?</v>
      </c>
    </row>
    <row r="845" spans="1:4" x14ac:dyDescent="0.2">
      <c r="A845" s="5">
        <v>784</v>
      </c>
      <c r="B845" s="138">
        <f>'Expenditures 15-22'!E45</f>
        <v>2834</v>
      </c>
      <c r="D845" s="2" t="str">
        <f t="shared" si="12"/>
        <v>Error?</v>
      </c>
    </row>
    <row r="846" spans="1:4" x14ac:dyDescent="0.2">
      <c r="A846" s="5">
        <v>785</v>
      </c>
      <c r="B846" s="138">
        <f>'Expenditures 15-22'!E46</f>
        <v>12475</v>
      </c>
      <c r="D846" s="2" t="str">
        <f t="shared" si="12"/>
        <v>Error?</v>
      </c>
    </row>
    <row r="847" spans="1:4" x14ac:dyDescent="0.2">
      <c r="A847" s="5">
        <v>786</v>
      </c>
      <c r="B847" s="138">
        <f>'Expenditures 15-22'!E47</f>
        <v>105961</v>
      </c>
      <c r="C847" s="2" t="s">
        <v>573</v>
      </c>
      <c r="D847" s="2" t="str">
        <f t="shared" si="12"/>
        <v>Error?</v>
      </c>
    </row>
    <row r="848" spans="1:4" x14ac:dyDescent="0.2">
      <c r="A848" s="5">
        <v>787</v>
      </c>
      <c r="B848" s="138">
        <f>'Expenditures 15-22'!E49</f>
        <v>48266</v>
      </c>
      <c r="D848" s="2" t="str">
        <f t="shared" si="12"/>
        <v>Error?</v>
      </c>
    </row>
    <row r="849" spans="1:4" x14ac:dyDescent="0.2">
      <c r="A849" s="5">
        <v>788</v>
      </c>
      <c r="B849" s="138">
        <f>'Expenditures 15-22'!E50</f>
        <v>3043</v>
      </c>
      <c r="D849" s="2" t="str">
        <f t="shared" si="12"/>
        <v>Error?</v>
      </c>
    </row>
    <row r="850" spans="1:4" x14ac:dyDescent="0.2">
      <c r="A850" s="5">
        <v>789</v>
      </c>
      <c r="B850" s="138">
        <f>'Expenditures 15-22'!E53</f>
        <v>51309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10151</v>
      </c>
      <c r="D855" s="2" t="str">
        <f t="shared" si="12"/>
        <v>Error?</v>
      </c>
    </row>
    <row r="856" spans="1:4" x14ac:dyDescent="0.2">
      <c r="A856" s="5">
        <v>795</v>
      </c>
      <c r="B856" s="138">
        <f>'Expenditures 15-22'!E61</f>
        <v>557169</v>
      </c>
      <c r="D856" s="2" t="str">
        <f t="shared" si="12"/>
        <v>Error?</v>
      </c>
    </row>
    <row r="857" spans="1:4" x14ac:dyDescent="0.2">
      <c r="A857" s="5">
        <v>796</v>
      </c>
      <c r="B857" s="138">
        <f>'Expenditures 15-22'!E62</f>
        <v>146</v>
      </c>
      <c r="D857" s="2" t="str">
        <f t="shared" si="12"/>
        <v>Error?</v>
      </c>
    </row>
    <row r="858" spans="1:4" x14ac:dyDescent="0.2">
      <c r="A858" s="5">
        <v>797</v>
      </c>
      <c r="B858" s="138">
        <f>'Expenditures 15-22'!E63</f>
        <v>355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567821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729658</v>
      </c>
      <c r="C871" s="2" t="s">
        <v>573</v>
      </c>
      <c r="D871" s="2" t="str">
        <f t="shared" si="12"/>
        <v>Error?</v>
      </c>
    </row>
    <row r="872" spans="1:4" x14ac:dyDescent="0.2">
      <c r="A872" s="5">
        <v>811</v>
      </c>
      <c r="B872" s="138">
        <f>'Expenditures 15-22'!E75</f>
        <v>4482</v>
      </c>
      <c r="D872" s="2" t="str">
        <f t="shared" si="12"/>
        <v>Error?</v>
      </c>
    </row>
    <row r="873" spans="1:4" x14ac:dyDescent="0.2">
      <c r="A873" s="5">
        <v>812</v>
      </c>
      <c r="B873" s="138">
        <f>'Expenditures 15-22'!E114</f>
        <v>1034585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610715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3729</v>
      </c>
      <c r="D891" s="2" t="str">
        <f t="shared" si="12"/>
        <v>Error?</v>
      </c>
    </row>
    <row r="892" spans="1:4" x14ac:dyDescent="0.2">
      <c r="A892" s="5">
        <v>831</v>
      </c>
      <c r="B892" s="138">
        <f>'Expenditures 15-22'!F14</f>
        <v>20496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789270</v>
      </c>
      <c r="C894" s="2" t="s">
        <v>573</v>
      </c>
      <c r="D894" s="2" t="str">
        <f t="shared" si="12"/>
        <v>Error?</v>
      </c>
    </row>
    <row r="895" spans="1:4" x14ac:dyDescent="0.2">
      <c r="A895" s="5">
        <v>834</v>
      </c>
      <c r="B895" s="138">
        <f>'Expenditures 15-22'!F36</f>
        <v>494</v>
      </c>
      <c r="D895" s="2" t="str">
        <f t="shared" ref="D895:D958" si="13">IF(ISBLANK(B895),"OK",IF(A895-B895=0,"OK","Error?"))</f>
        <v>Error?</v>
      </c>
    </row>
    <row r="896" spans="1:4" x14ac:dyDescent="0.2">
      <c r="A896" s="5">
        <v>835</v>
      </c>
      <c r="B896" s="138">
        <f>'Expenditures 15-22'!F37</f>
        <v>22902</v>
      </c>
      <c r="D896" s="2" t="str">
        <f t="shared" si="13"/>
        <v>Error?</v>
      </c>
    </row>
    <row r="897" spans="1:4" x14ac:dyDescent="0.2">
      <c r="A897" s="5">
        <v>836</v>
      </c>
      <c r="B897" s="138">
        <f>'Expenditures 15-22'!F38</f>
        <v>2907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26303</v>
      </c>
      <c r="C901" s="2" t="s">
        <v>573</v>
      </c>
      <c r="D901" s="2" t="str">
        <f t="shared" si="13"/>
        <v>Error?</v>
      </c>
    </row>
    <row r="902" spans="1:4" x14ac:dyDescent="0.2">
      <c r="A902" s="5">
        <v>841</v>
      </c>
      <c r="B902" s="138">
        <f>'Expenditures 15-22'!F44</f>
        <v>706</v>
      </c>
      <c r="D902" s="2" t="str">
        <f t="shared" si="13"/>
        <v>Error?</v>
      </c>
    </row>
    <row r="903" spans="1:4" x14ac:dyDescent="0.2">
      <c r="A903" s="5">
        <v>842</v>
      </c>
      <c r="B903" s="138">
        <f>'Expenditures 15-22'!F45</f>
        <v>13235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13941</v>
      </c>
      <c r="C905" s="2" t="s">
        <v>573</v>
      </c>
      <c r="D905" s="2" t="str">
        <f t="shared" si="13"/>
        <v>Error?</v>
      </c>
    </row>
    <row r="906" spans="1:4" x14ac:dyDescent="0.2">
      <c r="A906" s="5">
        <v>845</v>
      </c>
      <c r="B906" s="138">
        <f>'Expenditures 15-22'!F49</f>
        <v>9976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9976</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796</v>
      </c>
      <c r="D914" s="2" t="str">
        <f t="shared" si="13"/>
        <v>Error?</v>
      </c>
    </row>
    <row r="915" spans="1:4" x14ac:dyDescent="0.2">
      <c r="A915" s="5">
        <v>854</v>
      </c>
      <c r="B915" s="138">
        <f>'Expenditures 15-22'!F62</f>
        <v>1605</v>
      </c>
      <c r="D915" s="2" t="str">
        <f t="shared" si="13"/>
        <v>Error?</v>
      </c>
    </row>
    <row r="916" spans="1:4" x14ac:dyDescent="0.2">
      <c r="A916" s="5">
        <v>855</v>
      </c>
      <c r="B916" s="138">
        <f>'Expenditures 15-22'!F63</f>
        <v>538656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541057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1264</v>
      </c>
      <c r="D928" s="2" t="str">
        <f t="shared" si="13"/>
        <v>Error?</v>
      </c>
    </row>
    <row r="929" spans="1:4" x14ac:dyDescent="0.2">
      <c r="A929" s="5">
        <v>868</v>
      </c>
      <c r="B929" s="138">
        <f>'Expenditures 15-22'!F74</f>
        <v>592541</v>
      </c>
      <c r="C929" s="2" t="s">
        <v>573</v>
      </c>
      <c r="D929" s="2" t="str">
        <f t="shared" si="13"/>
        <v>Error?</v>
      </c>
    </row>
    <row r="930" spans="1:4" x14ac:dyDescent="0.2">
      <c r="A930" s="5">
        <v>869</v>
      </c>
      <c r="B930" s="138">
        <f>'Expenditures 15-22'!F75</f>
        <v>23342</v>
      </c>
      <c r="D930" s="2" t="str">
        <f t="shared" si="13"/>
        <v>Error?</v>
      </c>
    </row>
    <row r="931" spans="1:4" x14ac:dyDescent="0.2">
      <c r="A931" s="5">
        <v>870</v>
      </c>
      <c r="B931" s="138">
        <f>'Expenditures 15-22'!F114</f>
        <v>1405153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62774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141919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500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5195</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5195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147614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591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6628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6628</v>
      </c>
      <c r="C1024" s="2" t="s">
        <v>573</v>
      </c>
      <c r="D1024" s="2" t="str">
        <f t="shared" si="15"/>
        <v>Error?</v>
      </c>
    </row>
    <row r="1025" spans="1:4" x14ac:dyDescent="0.2">
      <c r="A1025" s="5">
        <v>964</v>
      </c>
      <c r="B1025" s="138">
        <f>'Expenditures 15-22'!H55</f>
        <v>400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7028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645750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654723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5145291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155551</v>
      </c>
      <c r="C1105" s="2" t="s">
        <v>573</v>
      </c>
      <c r="D1105" s="2" t="str">
        <f t="shared" si="16"/>
        <v>Error?</v>
      </c>
    </row>
    <row r="1106" spans="1:4" x14ac:dyDescent="0.2">
      <c r="A1106" s="5">
        <v>1045</v>
      </c>
      <c r="B1106" s="138">
        <f>'Expenditures 15-22'!K14</f>
        <v>191433</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7909307</v>
      </c>
      <c r="C1108" s="2" t="s">
        <v>573</v>
      </c>
      <c r="D1108" s="2" t="str">
        <f t="shared" si="16"/>
        <v>Error?</v>
      </c>
    </row>
    <row r="1109" spans="1:4" x14ac:dyDescent="0.2">
      <c r="A1109" s="5">
        <v>1048</v>
      </c>
      <c r="B1109" s="138">
        <f>'Expenditures 15-22'!K36</f>
        <v>163662</v>
      </c>
      <c r="C1109" s="2" t="s">
        <v>573</v>
      </c>
      <c r="D1109" s="2" t="str">
        <f t="shared" si="16"/>
        <v>Error?</v>
      </c>
    </row>
    <row r="1110" spans="1:4" x14ac:dyDescent="0.2">
      <c r="A1110" s="5">
        <v>1049</v>
      </c>
      <c r="B1110" s="138">
        <f>'Expenditures 15-22'!K37</f>
        <v>120647</v>
      </c>
      <c r="C1110" s="2" t="s">
        <v>573</v>
      </c>
      <c r="D1110" s="2" t="str">
        <f t="shared" si="16"/>
        <v>Error?</v>
      </c>
    </row>
    <row r="1111" spans="1:4" x14ac:dyDescent="0.2">
      <c r="A1111" s="5">
        <v>1050</v>
      </c>
      <c r="B1111" s="138">
        <f>'Expenditures 15-22'!K38</f>
        <v>47089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331398</v>
      </c>
      <c r="C1115" s="2" t="s">
        <v>573</v>
      </c>
      <c r="D1115" s="2" t="str">
        <f t="shared" si="16"/>
        <v>Error?</v>
      </c>
    </row>
    <row r="1116" spans="1:4" x14ac:dyDescent="0.2">
      <c r="A1116" s="5">
        <v>1055</v>
      </c>
      <c r="B1116" s="138">
        <f>'Expenditures 15-22'!K44</f>
        <v>111656</v>
      </c>
      <c r="C1116" s="2" t="s">
        <v>573</v>
      </c>
      <c r="D1116" s="2" t="str">
        <f t="shared" si="16"/>
        <v>Error?</v>
      </c>
    </row>
    <row r="1117" spans="1:4" x14ac:dyDescent="0.2">
      <c r="A1117" s="5">
        <v>1056</v>
      </c>
      <c r="B1117" s="138">
        <f>'Expenditures 15-22'!K45</f>
        <v>57916</v>
      </c>
      <c r="C1117" s="2" t="s">
        <v>573</v>
      </c>
      <c r="D1117" s="2" t="str">
        <f t="shared" si="16"/>
        <v>Error?</v>
      </c>
    </row>
    <row r="1118" spans="1:4" x14ac:dyDescent="0.2">
      <c r="A1118" s="5">
        <v>1057</v>
      </c>
      <c r="B1118" s="138">
        <f>'Expenditures 15-22'!K46</f>
        <v>12475</v>
      </c>
      <c r="C1118" s="2" t="s">
        <v>573</v>
      </c>
      <c r="D1118" s="2" t="str">
        <f t="shared" si="16"/>
        <v>Error?</v>
      </c>
    </row>
    <row r="1119" spans="1:4" x14ac:dyDescent="0.2">
      <c r="A1119" s="5">
        <v>1058</v>
      </c>
      <c r="B1119" s="138">
        <f>'Expenditures 15-22'!K47</f>
        <v>182047</v>
      </c>
      <c r="C1119" s="2" t="s">
        <v>573</v>
      </c>
      <c r="D1119" s="2" t="str">
        <f t="shared" si="16"/>
        <v>Error?</v>
      </c>
    </row>
    <row r="1120" spans="1:4" x14ac:dyDescent="0.2">
      <c r="A1120" s="5">
        <v>1059</v>
      </c>
      <c r="B1120" s="138">
        <f>'Expenditures 15-22'!K49</f>
        <v>111486</v>
      </c>
      <c r="C1120" s="2" t="s">
        <v>573</v>
      </c>
      <c r="D1120" s="2" t="str">
        <f t="shared" si="16"/>
        <v>Error?</v>
      </c>
    </row>
    <row r="1121" spans="1:4" x14ac:dyDescent="0.2">
      <c r="A1121" s="5">
        <v>1060</v>
      </c>
      <c r="B1121" s="138">
        <f>'Expenditures 15-22'!K50</f>
        <v>135962</v>
      </c>
      <c r="C1121" s="2" t="s">
        <v>573</v>
      </c>
      <c r="D1121" s="2" t="str">
        <f t="shared" si="16"/>
        <v>Error?</v>
      </c>
    </row>
    <row r="1122" spans="1:4" x14ac:dyDescent="0.2">
      <c r="A1122" s="5">
        <v>1061</v>
      </c>
      <c r="B1122" s="138">
        <f>'Expenditures 15-22'!K53</f>
        <v>247448</v>
      </c>
      <c r="C1122" s="2" t="s">
        <v>573</v>
      </c>
      <c r="D1122" s="2" t="str">
        <f t="shared" si="16"/>
        <v>Error?</v>
      </c>
    </row>
    <row r="1123" spans="1:4" x14ac:dyDescent="0.2">
      <c r="A1123" s="5">
        <v>1062</v>
      </c>
      <c r="B1123" s="138">
        <f>'Expenditures 15-22'!K55</f>
        <v>649471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649471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145175</v>
      </c>
      <c r="C1127" s="2" t="s">
        <v>573</v>
      </c>
      <c r="D1127" s="2" t="str">
        <f t="shared" si="16"/>
        <v>Error?</v>
      </c>
    </row>
    <row r="1128" spans="1:4" x14ac:dyDescent="0.2">
      <c r="A1128" s="5">
        <v>1067</v>
      </c>
      <c r="B1128" s="138">
        <f>'Expenditures 15-22'!K61</f>
        <v>992963</v>
      </c>
      <c r="C1128" s="2" t="s">
        <v>573</v>
      </c>
      <c r="D1128" s="2" t="str">
        <f t="shared" si="16"/>
        <v>Error?</v>
      </c>
    </row>
    <row r="1129" spans="1:4" x14ac:dyDescent="0.2">
      <c r="A1129" s="5">
        <v>1068</v>
      </c>
      <c r="B1129" s="138">
        <f>'Expenditures 15-22'!K62</f>
        <v>12021</v>
      </c>
      <c r="C1129" s="2" t="s">
        <v>573</v>
      </c>
      <c r="D1129" s="2" t="str">
        <f t="shared" si="16"/>
        <v>Error?</v>
      </c>
    </row>
    <row r="1130" spans="1:4" x14ac:dyDescent="0.2">
      <c r="A1130" s="5">
        <v>1069</v>
      </c>
      <c r="B1130" s="138">
        <f>'Expenditures 15-22'!K63</f>
        <v>781863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1932022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1264</v>
      </c>
      <c r="C1142" s="2" t="s">
        <v>573</v>
      </c>
      <c r="D1142" s="2" t="str">
        <f t="shared" si="16"/>
        <v>Error?</v>
      </c>
    </row>
    <row r="1143" spans="1:4" x14ac:dyDescent="0.2">
      <c r="A1143" s="5">
        <v>1082</v>
      </c>
      <c r="B1143" s="138">
        <f>'Expenditures 15-22'!K74</f>
        <v>3343650</v>
      </c>
      <c r="C1143" s="2" t="s">
        <v>573</v>
      </c>
      <c r="D1143" s="2" t="str">
        <f t="shared" si="16"/>
        <v>Error?</v>
      </c>
    </row>
    <row r="1144" spans="1:4" x14ac:dyDescent="0.2">
      <c r="A1144" s="5">
        <v>1083</v>
      </c>
      <c r="B1144" s="138">
        <f>'Expenditures 15-22'!K75</f>
        <v>300074</v>
      </c>
      <c r="C1144" s="2" t="s">
        <v>573</v>
      </c>
      <c r="D1144" s="2" t="str">
        <f t="shared" si="16"/>
        <v>Error?</v>
      </c>
    </row>
    <row r="1145" spans="1:4" x14ac:dyDescent="0.2">
      <c r="A1145" s="5">
        <v>1084</v>
      </c>
      <c r="B1145" s="138">
        <f>'Expenditures 15-22'!K102</f>
        <v>645750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12200135</v>
      </c>
      <c r="C1152" s="2" t="s">
        <v>573</v>
      </c>
      <c r="D1152" s="2" t="str">
        <f t="shared" si="17"/>
        <v>Error?</v>
      </c>
    </row>
    <row r="1153" spans="1:4" x14ac:dyDescent="0.2">
      <c r="A1153" s="5">
        <v>1092</v>
      </c>
      <c r="B1153" s="138">
        <f>'Expenditures 15-22'!K115</f>
        <v>1589876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309389</v>
      </c>
      <c r="D1237" s="2" t="str">
        <f t="shared" si="18"/>
        <v>Error?</v>
      </c>
    </row>
    <row r="1238" spans="1:4" x14ac:dyDescent="0.2">
      <c r="A1238" s="10">
        <v>1177</v>
      </c>
      <c r="D1238" s="2" t="str">
        <f t="shared" si="18"/>
        <v>OK</v>
      </c>
    </row>
    <row r="1239" spans="1:4" x14ac:dyDescent="0.2">
      <c r="A1239" s="5">
        <v>1178</v>
      </c>
      <c r="B1239" s="138">
        <f>'Expenditures 15-22'!E127</f>
        <v>309389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309389</v>
      </c>
      <c r="C1241" s="2" t="s">
        <v>573</v>
      </c>
      <c r="D1241" s="2" t="str">
        <f t="shared" si="18"/>
        <v>Error?</v>
      </c>
    </row>
    <row r="1242" spans="1:4" x14ac:dyDescent="0.2">
      <c r="A1242" s="5">
        <v>1181</v>
      </c>
      <c r="B1242" s="138">
        <f>'Expenditures 15-22'!E151</f>
        <v>309389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94068</v>
      </c>
      <c r="D1245" s="2" t="str">
        <f t="shared" si="18"/>
        <v>Error?</v>
      </c>
    </row>
    <row r="1246" spans="1:4" x14ac:dyDescent="0.2">
      <c r="A1246" s="10">
        <v>1185</v>
      </c>
      <c r="D1246" s="2" t="str">
        <f t="shared" si="18"/>
        <v>OK</v>
      </c>
    </row>
    <row r="1247" spans="1:4" x14ac:dyDescent="0.2">
      <c r="A1247" s="5">
        <v>1186</v>
      </c>
      <c r="B1247" s="138">
        <f>'Expenditures 15-22'!F127</f>
        <v>94068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94068</v>
      </c>
      <c r="C1249" s="2" t="s">
        <v>573</v>
      </c>
      <c r="D1249" s="2" t="str">
        <f t="shared" si="18"/>
        <v>Error?</v>
      </c>
    </row>
    <row r="1250" spans="1:4" x14ac:dyDescent="0.2">
      <c r="A1250" s="5">
        <v>1189</v>
      </c>
      <c r="B1250" s="138">
        <f>'Expenditures 15-22'!F151</f>
        <v>94068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128487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128487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128487</v>
      </c>
      <c r="C1258" s="2" t="s">
        <v>573</v>
      </c>
      <c r="D1258" s="2" t="str">
        <f t="shared" si="18"/>
        <v>Error?</v>
      </c>
    </row>
    <row r="1259" spans="1:4" x14ac:dyDescent="0.2">
      <c r="A1259" s="5">
        <v>1198</v>
      </c>
      <c r="B1259" s="138">
        <f>'Expenditures 15-22'!G151</f>
        <v>128487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531944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531944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531944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531944</v>
      </c>
      <c r="C1288" s="2" t="s">
        <v>573</v>
      </c>
      <c r="D1288" s="2" t="str">
        <f t="shared" si="19"/>
        <v>Error?</v>
      </c>
    </row>
    <row r="1289" spans="1:4" x14ac:dyDescent="0.2">
      <c r="A1289" s="5">
        <v>1228</v>
      </c>
      <c r="B1289" s="138">
        <f>'Expenditures 15-22'!K152</f>
        <v>74971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40575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854810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895385</v>
      </c>
      <c r="C1317" s="2" t="s">
        <v>573</v>
      </c>
      <c r="D1317" s="2" t="str">
        <f t="shared" si="19"/>
        <v>Error?</v>
      </c>
    </row>
    <row r="1318" spans="1:4" x14ac:dyDescent="0.2">
      <c r="A1318" s="5">
        <v>1257</v>
      </c>
      <c r="B1318" s="138">
        <f>'Expenditures 15-22'!H174</f>
        <v>895385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40575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854810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895385</v>
      </c>
      <c r="C1331" s="2" t="s">
        <v>573</v>
      </c>
      <c r="D1331" s="2" t="str">
        <f t="shared" si="19"/>
        <v>Error?</v>
      </c>
    </row>
    <row r="1332" spans="1:4" x14ac:dyDescent="0.2">
      <c r="A1332" s="5">
        <v>1271</v>
      </c>
      <c r="B1332" s="138">
        <f>'Expenditures 15-22'!K174</f>
        <v>895385</v>
      </c>
      <c r="C1332" s="2" t="s">
        <v>573</v>
      </c>
      <c r="D1332" s="2" t="str">
        <f t="shared" si="19"/>
        <v>Error?</v>
      </c>
    </row>
    <row r="1333" spans="1:4" x14ac:dyDescent="0.2">
      <c r="A1333" s="5">
        <v>1272</v>
      </c>
      <c r="B1333" s="138">
        <f>'Expenditures 15-22'!K175</f>
        <v>-357026</v>
      </c>
      <c r="C1333" s="2" t="s">
        <v>573</v>
      </c>
      <c r="D1333" s="2" t="str">
        <f t="shared" si="19"/>
        <v>Error?</v>
      </c>
    </row>
    <row r="1334" spans="1:4" x14ac:dyDescent="0.2">
      <c r="A1334" s="10">
        <v>1273</v>
      </c>
      <c r="D1334" s="2" t="str">
        <f t="shared" si="19"/>
        <v>OK</v>
      </c>
    </row>
    <row r="1335" spans="1:4" x14ac:dyDescent="0.2">
      <c r="A1335" s="5">
        <v>1274</v>
      </c>
      <c r="B1335" s="138">
        <f>'Expenditures 15-22'!C182</f>
        <v>179146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179146</v>
      </c>
      <c r="C1339" s="2" t="s">
        <v>573</v>
      </c>
      <c r="D1339" s="2" t="str">
        <f t="shared" si="19"/>
        <v>Error?</v>
      </c>
    </row>
    <row r="1340" spans="1:4" x14ac:dyDescent="0.2">
      <c r="A1340" s="5">
        <v>1279</v>
      </c>
      <c r="B1340" s="138">
        <f>'Expenditures 15-22'!C210</f>
        <v>179146</v>
      </c>
      <c r="C1340" s="2" t="s">
        <v>573</v>
      </c>
      <c r="D1340" s="2" t="str">
        <f t="shared" si="19"/>
        <v>Error?</v>
      </c>
    </row>
    <row r="1341" spans="1:4" x14ac:dyDescent="0.2">
      <c r="A1341" s="5">
        <v>1280</v>
      </c>
      <c r="B1341" s="138">
        <f>'Expenditures 15-22'!D182</f>
        <v>210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210</v>
      </c>
      <c r="C1345" s="2" t="s">
        <v>573</v>
      </c>
      <c r="D1345" s="2" t="str">
        <f t="shared" si="20"/>
        <v>Error?</v>
      </c>
    </row>
    <row r="1346" spans="1:4" x14ac:dyDescent="0.2">
      <c r="A1346" s="5">
        <v>1285</v>
      </c>
      <c r="B1346" s="138">
        <f>'Expenditures 15-22'!D210</f>
        <v>210</v>
      </c>
      <c r="C1346" s="2" t="s">
        <v>573</v>
      </c>
      <c r="D1346" s="2" t="str">
        <f t="shared" si="20"/>
        <v>Error?</v>
      </c>
    </row>
    <row r="1347" spans="1:4" x14ac:dyDescent="0.2">
      <c r="A1347" s="5">
        <v>1286</v>
      </c>
      <c r="B1347" s="138">
        <f>'Expenditures 15-22'!E182</f>
        <v>33886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33886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33886</v>
      </c>
      <c r="C1353" s="2" t="s">
        <v>573</v>
      </c>
      <c r="D1353" s="2" t="str">
        <f t="shared" si="20"/>
        <v>Error?</v>
      </c>
    </row>
    <row r="1354" spans="1:4" x14ac:dyDescent="0.2">
      <c r="A1354" s="5">
        <v>1293</v>
      </c>
      <c r="B1354" s="138">
        <f>'Expenditures 15-22'!F182</f>
        <v>43084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43084</v>
      </c>
      <c r="C1358" s="2" t="s">
        <v>573</v>
      </c>
      <c r="D1358" s="2" t="str">
        <f t="shared" si="20"/>
        <v>Error?</v>
      </c>
    </row>
    <row r="1359" spans="1:4" x14ac:dyDescent="0.2">
      <c r="A1359" s="5">
        <v>1298</v>
      </c>
      <c r="B1359" s="138">
        <f>'Expenditures 15-22'!F210</f>
        <v>43084</v>
      </c>
      <c r="C1359" s="2" t="s">
        <v>573</v>
      </c>
      <c r="D1359" s="2" t="str">
        <f t="shared" si="20"/>
        <v>Error?</v>
      </c>
    </row>
    <row r="1360" spans="1:4" x14ac:dyDescent="0.2">
      <c r="A1360" s="5">
        <v>1299</v>
      </c>
      <c r="B1360" s="138">
        <f>'Expenditures 15-22'!G182</f>
        <v>25750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25750</v>
      </c>
      <c r="C1364" s="2" t="s">
        <v>573</v>
      </c>
      <c r="D1364" s="2" t="str">
        <f t="shared" si="20"/>
        <v>Error?</v>
      </c>
    </row>
    <row r="1365" spans="1:4" x14ac:dyDescent="0.2">
      <c r="A1365" s="5">
        <v>1304</v>
      </c>
      <c r="B1365" s="138">
        <f>'Expenditures 15-22'!G210</f>
        <v>25750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68218</v>
      </c>
      <c r="C1375" s="2" t="s">
        <v>573</v>
      </c>
      <c r="D1375" s="2" t="str">
        <f t="shared" si="20"/>
        <v>Error?</v>
      </c>
    </row>
    <row r="1376" spans="1:4" x14ac:dyDescent="0.2">
      <c r="A1376" s="5">
        <v>1315</v>
      </c>
      <c r="B1376" s="138">
        <f>'Expenditures 15-22'!H210</f>
        <v>68218</v>
      </c>
      <c r="C1376" s="2" t="s">
        <v>573</v>
      </c>
      <c r="D1376" s="2" t="str">
        <f t="shared" si="20"/>
        <v>Error?</v>
      </c>
    </row>
    <row r="1377" spans="1:4" x14ac:dyDescent="0.2">
      <c r="A1377" s="5">
        <v>1316</v>
      </c>
      <c r="B1377" s="138">
        <f>'Expenditures 15-22'!K182</f>
        <v>282076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282076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68218</v>
      </c>
      <c r="C1387" s="2" t="s">
        <v>573</v>
      </c>
      <c r="D1387" s="2" t="str">
        <f t="shared" si="20"/>
        <v>Error?</v>
      </c>
    </row>
    <row r="1388" spans="1:4" x14ac:dyDescent="0.2">
      <c r="A1388" s="5">
        <v>1327</v>
      </c>
      <c r="B1388" s="138">
        <f>'Expenditures 15-22'!K210</f>
        <v>350294</v>
      </c>
      <c r="C1388" s="2" t="s">
        <v>573</v>
      </c>
      <c r="D1388" s="2" t="str">
        <f t="shared" si="20"/>
        <v>Error?</v>
      </c>
    </row>
    <row r="1389" spans="1:4" x14ac:dyDescent="0.2">
      <c r="A1389" s="5">
        <v>1328</v>
      </c>
      <c r="B1389" s="138">
        <f>'Expenditures 15-22'!K211</f>
        <v>117334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2205</v>
      </c>
      <c r="D1407" s="2" t="str">
        <f t="shared" ref="D1407:D1470" si="21">IF(ISBLANK(B1407),"OK",IF(A1407-B1407=0,"OK","Error?"))</f>
        <v>Error?</v>
      </c>
    </row>
    <row r="1408" spans="1:4" x14ac:dyDescent="0.2">
      <c r="A1408" s="5">
        <v>1347</v>
      </c>
      <c r="B1408" s="138">
        <f>'Expenditures 15-22'!D223</f>
        <v>3751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191826</v>
      </c>
      <c r="C1410" s="2" t="s">
        <v>573</v>
      </c>
      <c r="D1410" s="2" t="str">
        <f t="shared" si="21"/>
        <v>Error?</v>
      </c>
    </row>
    <row r="1411" spans="1:4" x14ac:dyDescent="0.2">
      <c r="A1411" s="5">
        <v>1350</v>
      </c>
      <c r="B1411" s="138">
        <f>'Expenditures 15-22'!D232</f>
        <v>4770</v>
      </c>
      <c r="D1411" s="2" t="str">
        <f t="shared" si="21"/>
        <v>Error?</v>
      </c>
    </row>
    <row r="1412" spans="1:4" x14ac:dyDescent="0.2">
      <c r="A1412" s="5">
        <v>1351</v>
      </c>
      <c r="B1412" s="138">
        <f>'Expenditures 15-22'!D233</f>
        <v>1154</v>
      </c>
      <c r="D1412" s="2" t="str">
        <f t="shared" si="21"/>
        <v>Error?</v>
      </c>
    </row>
    <row r="1413" spans="1:4" x14ac:dyDescent="0.2">
      <c r="A1413" s="5">
        <v>1352</v>
      </c>
      <c r="B1413" s="138">
        <f>'Expenditures 15-22'!D234</f>
        <v>10317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16241</v>
      </c>
      <c r="C1417" s="2" t="s">
        <v>573</v>
      </c>
      <c r="D1417" s="2" t="str">
        <f t="shared" si="21"/>
        <v>Error?</v>
      </c>
    </row>
    <row r="1418" spans="1:4" x14ac:dyDescent="0.2">
      <c r="A1418" s="5">
        <v>1357</v>
      </c>
      <c r="B1418" s="138">
        <f>'Expenditures 15-22'!D240</f>
        <v>256</v>
      </c>
      <c r="D1418" s="2" t="str">
        <f t="shared" si="21"/>
        <v>Error?</v>
      </c>
    </row>
    <row r="1419" spans="1:4" x14ac:dyDescent="0.2">
      <c r="A1419" s="5">
        <v>1358</v>
      </c>
      <c r="B1419" s="138">
        <f>'Expenditures 15-22'!D241</f>
        <v>5646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5902</v>
      </c>
      <c r="C1421" s="2" t="s">
        <v>573</v>
      </c>
      <c r="D1421" s="2" t="str">
        <f t="shared" si="21"/>
        <v>Error?</v>
      </c>
    </row>
    <row r="1422" spans="1:4" x14ac:dyDescent="0.2">
      <c r="A1422" s="5">
        <v>1361</v>
      </c>
      <c r="B1422" s="138">
        <f>'Expenditures 15-22'!D245</f>
        <v>746</v>
      </c>
      <c r="D1422" s="2" t="str">
        <f t="shared" si="21"/>
        <v>Error?</v>
      </c>
    </row>
    <row r="1423" spans="1:4" x14ac:dyDescent="0.2">
      <c r="A1423" s="5">
        <v>1362</v>
      </c>
      <c r="B1423" s="138">
        <f>'Expenditures 15-22'!D246</f>
        <v>1892</v>
      </c>
      <c r="D1423" s="2" t="str">
        <f t="shared" si="21"/>
        <v>Error?</v>
      </c>
    </row>
    <row r="1424" spans="1:4" x14ac:dyDescent="0.2">
      <c r="A1424" s="5">
        <v>1363</v>
      </c>
      <c r="B1424" s="138">
        <f>'Expenditures 15-22'!D257</f>
        <v>2638</v>
      </c>
      <c r="C1424" s="2" t="s">
        <v>573</v>
      </c>
      <c r="D1424" s="2" t="str">
        <f t="shared" si="21"/>
        <v>Error?</v>
      </c>
    </row>
    <row r="1425" spans="1:4" x14ac:dyDescent="0.2">
      <c r="A1425" s="5">
        <v>1364</v>
      </c>
      <c r="B1425" s="138">
        <f>'Expenditures 15-22'!D259</f>
        <v>32197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32197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18698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66968</v>
      </c>
      <c r="D1431" s="2" t="str">
        <f t="shared" si="21"/>
        <v>Error?</v>
      </c>
    </row>
    <row r="1432" spans="1:4" x14ac:dyDescent="0.2">
      <c r="A1432" s="5">
        <v>1371</v>
      </c>
      <c r="B1432" s="138">
        <f>'Expenditures 15-22'!D267</f>
        <v>30892</v>
      </c>
      <c r="D1432" s="2" t="str">
        <f t="shared" si="21"/>
        <v>Error?</v>
      </c>
    </row>
    <row r="1433" spans="1:4" x14ac:dyDescent="0.2">
      <c r="A1433" s="5">
        <v>1372</v>
      </c>
      <c r="B1433" s="138">
        <f>'Expenditures 15-22'!D268</f>
        <v>34998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151556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208534</v>
      </c>
      <c r="C1446" s="2" t="s">
        <v>573</v>
      </c>
      <c r="D1446" s="2" t="str">
        <f t="shared" si="21"/>
        <v>Error?</v>
      </c>
    </row>
    <row r="1447" spans="1:4" x14ac:dyDescent="0.2">
      <c r="A1447" s="5">
        <v>1386</v>
      </c>
      <c r="B1447" s="138">
        <f>'Expenditures 15-22'!D280</f>
        <v>32344</v>
      </c>
      <c r="D1447" s="2" t="str">
        <f t="shared" si="21"/>
        <v>Error?</v>
      </c>
    </row>
    <row r="1448" spans="1:4" x14ac:dyDescent="0.2">
      <c r="A1448" s="5">
        <v>1387</v>
      </c>
      <c r="B1448" s="138">
        <f>'Expenditures 15-22'!D295</f>
        <v>432704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2205</v>
      </c>
      <c r="C1471" s="2" t="s">
        <v>573</v>
      </c>
      <c r="D1471" s="2" t="str">
        <f t="shared" ref="D1471:D1534" si="22">IF(ISBLANK(B1471),"OK",IF(A1471-B1471=0,"OK","Error?"))</f>
        <v>Error?</v>
      </c>
    </row>
    <row r="1472" spans="1:4" x14ac:dyDescent="0.2">
      <c r="A1472" s="5">
        <v>1411</v>
      </c>
      <c r="B1472" s="138">
        <f>'Expenditures 15-22'!K223</f>
        <v>3751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191826</v>
      </c>
      <c r="C1474" s="2" t="s">
        <v>573</v>
      </c>
      <c r="D1474" s="2" t="str">
        <f t="shared" si="22"/>
        <v>Error?</v>
      </c>
    </row>
    <row r="1475" spans="1:4" x14ac:dyDescent="0.2">
      <c r="A1475" s="5">
        <v>1414</v>
      </c>
      <c r="B1475" s="138">
        <f>'Expenditures 15-22'!K232</f>
        <v>4770</v>
      </c>
      <c r="C1475" s="2" t="s">
        <v>573</v>
      </c>
      <c r="D1475" s="2" t="str">
        <f t="shared" si="22"/>
        <v>Error?</v>
      </c>
    </row>
    <row r="1476" spans="1:4" x14ac:dyDescent="0.2">
      <c r="A1476" s="5">
        <v>1415</v>
      </c>
      <c r="B1476" s="138">
        <f>'Expenditures 15-22'!K233</f>
        <v>1154</v>
      </c>
      <c r="C1476" s="2" t="s">
        <v>573</v>
      </c>
      <c r="D1476" s="2" t="str">
        <f t="shared" si="22"/>
        <v>Error?</v>
      </c>
    </row>
    <row r="1477" spans="1:4" x14ac:dyDescent="0.2">
      <c r="A1477" s="5">
        <v>1416</v>
      </c>
      <c r="B1477" s="138">
        <f>'Expenditures 15-22'!K234</f>
        <v>10317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16241</v>
      </c>
      <c r="C1481" s="2" t="s">
        <v>573</v>
      </c>
      <c r="D1481" s="2" t="str">
        <f t="shared" si="22"/>
        <v>Error?</v>
      </c>
    </row>
    <row r="1482" spans="1:4" x14ac:dyDescent="0.2">
      <c r="A1482" s="5">
        <v>1421</v>
      </c>
      <c r="B1482" s="138">
        <f>'Expenditures 15-22'!K240</f>
        <v>256</v>
      </c>
      <c r="C1482" s="2" t="s">
        <v>573</v>
      </c>
      <c r="D1482" s="2" t="str">
        <f t="shared" si="22"/>
        <v>Error?</v>
      </c>
    </row>
    <row r="1483" spans="1:4" x14ac:dyDescent="0.2">
      <c r="A1483" s="5">
        <v>1422</v>
      </c>
      <c r="B1483" s="138">
        <f>'Expenditures 15-22'!K241</f>
        <v>5646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5902</v>
      </c>
      <c r="C1485" s="2" t="s">
        <v>573</v>
      </c>
      <c r="D1485" s="2" t="str">
        <f t="shared" si="22"/>
        <v>Error?</v>
      </c>
    </row>
    <row r="1486" spans="1:4" x14ac:dyDescent="0.2">
      <c r="A1486" s="5">
        <v>1425</v>
      </c>
      <c r="B1486" s="138">
        <f>'Expenditures 15-22'!K245</f>
        <v>746</v>
      </c>
      <c r="C1486" s="2" t="s">
        <v>573</v>
      </c>
      <c r="D1486" s="2" t="str">
        <f t="shared" si="22"/>
        <v>Error?</v>
      </c>
    </row>
    <row r="1487" spans="1:4" x14ac:dyDescent="0.2">
      <c r="A1487" s="5">
        <v>1426</v>
      </c>
      <c r="B1487" s="138">
        <f>'Expenditures 15-22'!K246</f>
        <v>1892</v>
      </c>
      <c r="C1487" s="2" t="s">
        <v>573</v>
      </c>
      <c r="D1487" s="2" t="str">
        <f t="shared" si="22"/>
        <v>Error?</v>
      </c>
    </row>
    <row r="1488" spans="1:4" x14ac:dyDescent="0.2">
      <c r="A1488" s="5">
        <v>1427</v>
      </c>
      <c r="B1488" s="138">
        <f>'Expenditures 15-22'!K257</f>
        <v>2638</v>
      </c>
      <c r="C1488" s="2" t="s">
        <v>573</v>
      </c>
      <c r="D1488" s="2" t="str">
        <f t="shared" si="22"/>
        <v>Error?</v>
      </c>
    </row>
    <row r="1489" spans="1:4" x14ac:dyDescent="0.2">
      <c r="A1489" s="5">
        <v>1428</v>
      </c>
      <c r="B1489" s="138">
        <f>'Expenditures 15-22'!K259</f>
        <v>32197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32197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18698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66968</v>
      </c>
      <c r="C1495" s="2" t="s">
        <v>573</v>
      </c>
      <c r="D1495" s="2" t="str">
        <f t="shared" si="22"/>
        <v>Error?</v>
      </c>
    </row>
    <row r="1496" spans="1:4" x14ac:dyDescent="0.2">
      <c r="A1496" s="5">
        <v>1435</v>
      </c>
      <c r="B1496" s="138">
        <f>'Expenditures 15-22'!K267</f>
        <v>30892</v>
      </c>
      <c r="C1496" s="2" t="s">
        <v>573</v>
      </c>
      <c r="D1496" s="2" t="str">
        <f t="shared" si="22"/>
        <v>Error?</v>
      </c>
    </row>
    <row r="1497" spans="1:4" x14ac:dyDescent="0.2">
      <c r="A1497" s="5">
        <v>1436</v>
      </c>
      <c r="B1497" s="138">
        <f>'Expenditures 15-22'!K268</f>
        <v>34998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151556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208534</v>
      </c>
      <c r="C1510" s="2" t="s">
        <v>573</v>
      </c>
      <c r="D1510" s="2" t="str">
        <f t="shared" si="22"/>
        <v>Error?</v>
      </c>
    </row>
    <row r="1511" spans="1:4" x14ac:dyDescent="0.2">
      <c r="A1511" s="5">
        <v>1450</v>
      </c>
      <c r="B1511" s="138">
        <f>'Expenditures 15-22'!K280</f>
        <v>32344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432704</v>
      </c>
      <c r="C1517" s="2" t="s">
        <v>573</v>
      </c>
      <c r="D1517" s="2" t="str">
        <f t="shared" si="22"/>
        <v>Error?</v>
      </c>
    </row>
    <row r="1518" spans="1:4" x14ac:dyDescent="0.2">
      <c r="A1518" s="5">
        <v>1457</v>
      </c>
      <c r="B1518" s="138">
        <f>'Expenditures 15-22'!K296</f>
        <v>-34305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332903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5665955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7246947</v>
      </c>
      <c r="C1630" s="2" t="s">
        <v>573</v>
      </c>
      <c r="D1630" s="2" t="str">
        <f t="shared" si="24"/>
        <v>Error?</v>
      </c>
    </row>
    <row r="1631" spans="1:4" x14ac:dyDescent="0.2">
      <c r="A1631" s="5">
        <v>1570</v>
      </c>
      <c r="B1631" s="138">
        <f>'Acct Summary 7-8'!D79</f>
        <v>1361025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1435996</v>
      </c>
      <c r="C1644" s="2" t="s">
        <v>573</v>
      </c>
      <c r="D1644" s="2" t="str">
        <f t="shared" si="24"/>
        <v>Error?</v>
      </c>
    </row>
    <row r="1645" spans="1:4" x14ac:dyDescent="0.2">
      <c r="A1645" s="5">
        <v>1584</v>
      </c>
      <c r="B1645" s="138">
        <f>'Acct Summary 7-8'!E79</f>
        <v>381599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24573</v>
      </c>
      <c r="C1658" s="2" t="s">
        <v>573</v>
      </c>
      <c r="D1658" s="2" t="str">
        <f t="shared" si="24"/>
        <v>Error?</v>
      </c>
    </row>
    <row r="1659" spans="1:4" x14ac:dyDescent="0.2">
      <c r="A1659" s="5">
        <v>1598</v>
      </c>
      <c r="B1659" s="138">
        <f>'Acct Summary 7-8'!F79</f>
        <v>1153354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1270688</v>
      </c>
      <c r="C1672" s="2" t="s">
        <v>573</v>
      </c>
      <c r="D1672" s="2" t="str">
        <f t="shared" si="25"/>
        <v>Error?</v>
      </c>
    </row>
    <row r="1673" spans="1:4" x14ac:dyDescent="0.2">
      <c r="A1673" s="5">
        <v>1612</v>
      </c>
      <c r="B1673" s="138">
        <f>'Acct Summary 7-8'!G79</f>
        <v>920145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885840</v>
      </c>
      <c r="C1686" s="2" t="s">
        <v>573</v>
      </c>
      <c r="D1686" s="2" t="str">
        <f t="shared" si="25"/>
        <v>Error?</v>
      </c>
    </row>
    <row r="1687" spans="1:4" x14ac:dyDescent="0.2">
      <c r="A1687" s="5">
        <v>1626</v>
      </c>
      <c r="B1687" s="138">
        <f>'Acct Summary 7-8'!H79</f>
        <v>821456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1154359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799613</v>
      </c>
      <c r="C1744" s="2" t="s">
        <v>573</v>
      </c>
      <c r="D1744" s="2" t="str">
        <f t="shared" si="26"/>
        <v>Error?</v>
      </c>
    </row>
    <row r="1745" spans="1:5" x14ac:dyDescent="0.2">
      <c r="A1745" s="5">
        <v>1684</v>
      </c>
      <c r="B1745" s="138">
        <f>'Tax Sched 23'!B5</f>
        <v>217286</v>
      </c>
      <c r="C1745" s="2" t="s">
        <v>573</v>
      </c>
      <c r="D1745" s="2" t="str">
        <f t="shared" si="26"/>
        <v>Error?</v>
      </c>
    </row>
    <row r="1746" spans="1:5" x14ac:dyDescent="0.2">
      <c r="A1746" s="5">
        <v>1685</v>
      </c>
      <c r="B1746" s="138">
        <f>'Tax Sched 23'!B6</f>
        <v>346523</v>
      </c>
      <c r="C1746" s="2" t="s">
        <v>573</v>
      </c>
      <c r="D1746" s="2" t="str">
        <f t="shared" si="26"/>
        <v>Error?</v>
      </c>
    </row>
    <row r="1747" spans="1:5" x14ac:dyDescent="0.2">
      <c r="A1747" s="5">
        <v>1686</v>
      </c>
      <c r="B1747" s="138">
        <f>'Tax Sched 23'!B7</f>
        <v>86914</v>
      </c>
      <c r="C1747" s="2" t="s">
        <v>573</v>
      </c>
      <c r="D1747" s="2" t="str">
        <f t="shared" si="26"/>
        <v>Error?</v>
      </c>
    </row>
    <row r="1748" spans="1:5" x14ac:dyDescent="0.2">
      <c r="A1748" s="5">
        <v>1687</v>
      </c>
      <c r="B1748" s="138">
        <f>'Tax Sched 23'!B8</f>
        <v>175041</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341213</v>
      </c>
      <c r="C1752" s="2" t="s">
        <v>573</v>
      </c>
      <c r="D1752" s="2" t="str">
        <f t="shared" si="26"/>
        <v>Error?</v>
      </c>
    </row>
    <row r="1753" spans="1:5" x14ac:dyDescent="0.2">
      <c r="A1753" s="5">
        <v>1692</v>
      </c>
      <c r="B1753" s="138">
        <f>'Tax Sched 23'!B12</f>
        <v>7184</v>
      </c>
      <c r="C1753" s="2" t="s">
        <v>573</v>
      </c>
      <c r="D1753" s="2" t="str">
        <f t="shared" si="26"/>
        <v>Error?</v>
      </c>
    </row>
    <row r="1754" spans="1:5" x14ac:dyDescent="0.2">
      <c r="A1754" s="5">
        <v>1693</v>
      </c>
      <c r="B1754" s="138">
        <f>'Tax Sched 23'!B14</f>
        <v>16988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2187227</v>
      </c>
      <c r="C1759" s="2" t="s">
        <v>573</v>
      </c>
      <c r="D1759" s="2" t="str">
        <f t="shared" si="26"/>
        <v>Error?</v>
      </c>
    </row>
    <row r="1760" spans="1:5" x14ac:dyDescent="0.2">
      <c r="A1760" s="5">
        <v>1699</v>
      </c>
      <c r="B1760" s="138">
        <f>'Tax Sched 23'!D4</f>
        <v>799613</v>
      </c>
      <c r="C1760" s="2" t="s">
        <v>573</v>
      </c>
      <c r="D1760" s="2" t="str">
        <f t="shared" si="26"/>
        <v>Error?</v>
      </c>
    </row>
    <row r="1761" spans="1:5" x14ac:dyDescent="0.2">
      <c r="A1761" s="5">
        <v>1700</v>
      </c>
      <c r="B1761" s="138">
        <f>'Tax Sched 23'!D5</f>
        <v>217286</v>
      </c>
      <c r="C1761" s="2" t="s">
        <v>573</v>
      </c>
      <c r="D1761" s="2" t="str">
        <f t="shared" si="26"/>
        <v>Error?</v>
      </c>
    </row>
    <row r="1762" spans="1:5" s="8" customFormat="1" x14ac:dyDescent="0.2">
      <c r="A1762" s="5">
        <v>1701</v>
      </c>
      <c r="B1762" s="138">
        <f>'Tax Sched 23'!D6</f>
        <v>346523</v>
      </c>
      <c r="C1762" s="2" t="s">
        <v>573</v>
      </c>
      <c r="D1762" s="2" t="str">
        <f t="shared" si="26"/>
        <v>Error?</v>
      </c>
      <c r="E1762" s="9"/>
    </row>
    <row r="1763" spans="1:5" x14ac:dyDescent="0.2">
      <c r="A1763" s="5">
        <v>1702</v>
      </c>
      <c r="B1763" s="138">
        <f>'Tax Sched 23'!D7</f>
        <v>86914</v>
      </c>
      <c r="C1763" s="2" t="s">
        <v>573</v>
      </c>
      <c r="D1763" s="2" t="str">
        <f t="shared" si="26"/>
        <v>Error?</v>
      </c>
    </row>
    <row r="1764" spans="1:5" x14ac:dyDescent="0.2">
      <c r="A1764" s="5">
        <v>1703</v>
      </c>
      <c r="B1764" s="138">
        <f>'Tax Sched 23'!D8</f>
        <v>175041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341213</v>
      </c>
      <c r="C1768" s="2" t="s">
        <v>573</v>
      </c>
      <c r="D1768" s="2" t="str">
        <f t="shared" si="26"/>
        <v>Error?</v>
      </c>
    </row>
    <row r="1769" spans="1:5" x14ac:dyDescent="0.2">
      <c r="A1769" s="5">
        <v>1708</v>
      </c>
      <c r="B1769" s="138">
        <f>'Tax Sched 23'!D12</f>
        <v>7184</v>
      </c>
      <c r="C1769" s="2" t="s">
        <v>573</v>
      </c>
      <c r="D1769" s="2" t="str">
        <f t="shared" si="26"/>
        <v>Error?</v>
      </c>
    </row>
    <row r="1770" spans="1:5" x14ac:dyDescent="0.2">
      <c r="A1770" s="5">
        <v>1709</v>
      </c>
      <c r="B1770" s="138">
        <f>'Tax Sched 23'!D14</f>
        <v>16988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2187227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1136526</v>
      </c>
      <c r="C1792" s="2" t="s">
        <v>573</v>
      </c>
      <c r="D1792" s="2" t="str">
        <f t="shared" si="27"/>
        <v>Error?</v>
      </c>
    </row>
    <row r="1793" spans="1:4" x14ac:dyDescent="0.2">
      <c r="A1793" s="5">
        <v>1732</v>
      </c>
      <c r="B1793" s="138">
        <f>'Tax Sched 23'!F5</f>
        <v>308839</v>
      </c>
      <c r="C1793" s="2" t="s">
        <v>573</v>
      </c>
      <c r="D1793" s="2" t="str">
        <f t="shared" si="27"/>
        <v>Error?</v>
      </c>
    </row>
    <row r="1794" spans="1:4" x14ac:dyDescent="0.2">
      <c r="A1794" s="5">
        <v>1733</v>
      </c>
      <c r="B1794" s="138">
        <f>'Tax Sched 23'!F6</f>
        <v>287178</v>
      </c>
      <c r="C1794" s="2" t="s">
        <v>573</v>
      </c>
      <c r="D1794" s="2" t="str">
        <f t="shared" si="27"/>
        <v>Error?</v>
      </c>
    </row>
    <row r="1795" spans="1:4" x14ac:dyDescent="0.2">
      <c r="A1795" s="5">
        <v>1734</v>
      </c>
      <c r="B1795" s="138">
        <f>'Tax Sched 23'!F7</f>
        <v>123538</v>
      </c>
      <c r="C1795" s="2" t="s">
        <v>573</v>
      </c>
      <c r="D1795" s="2" t="str">
        <f t="shared" si="27"/>
        <v>Error?</v>
      </c>
    </row>
    <row r="1796" spans="1:4" x14ac:dyDescent="0.2">
      <c r="A1796" s="5">
        <v>1735</v>
      </c>
      <c r="B1796" s="138">
        <f>'Tax Sched 23'!F8</f>
        <v>248800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489982</v>
      </c>
      <c r="C1800" s="2" t="s">
        <v>573</v>
      </c>
      <c r="D1800" s="2" t="str">
        <f t="shared" si="27"/>
        <v>Error?</v>
      </c>
    </row>
    <row r="1801" spans="1:4" x14ac:dyDescent="0.2">
      <c r="A1801" s="5">
        <v>1740</v>
      </c>
      <c r="B1801" s="138">
        <f>'Tax Sched 23'!F12</f>
        <v>10205</v>
      </c>
      <c r="C1801" s="2" t="s">
        <v>573</v>
      </c>
      <c r="D1801" s="2" t="str">
        <f t="shared" si="27"/>
        <v>Error?</v>
      </c>
    </row>
    <row r="1802" spans="1:4" x14ac:dyDescent="0.2">
      <c r="A1802" s="5">
        <v>1741</v>
      </c>
      <c r="B1802" s="138">
        <f>'Tax Sched 23'!F14</f>
        <v>24191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2908516</v>
      </c>
      <c r="C1807" s="2" t="s">
        <v>573</v>
      </c>
      <c r="D1807" s="2" t="str">
        <f t="shared" si="27"/>
        <v>Error?</v>
      </c>
    </row>
    <row r="1808" spans="1:4" x14ac:dyDescent="0.2">
      <c r="A1808" s="5">
        <v>1747</v>
      </c>
      <c r="B1808" s="138">
        <f>'Tax Sched 23'!E4</f>
        <v>1136526</v>
      </c>
      <c r="D1808" s="2" t="str">
        <f t="shared" si="27"/>
        <v>Error?</v>
      </c>
    </row>
    <row r="1809" spans="1:4" x14ac:dyDescent="0.2">
      <c r="A1809" s="5">
        <v>1748</v>
      </c>
      <c r="B1809" s="138">
        <f>'Tax Sched 23'!E5</f>
        <v>308839</v>
      </c>
      <c r="D1809" s="2" t="str">
        <f t="shared" si="27"/>
        <v>Error?</v>
      </c>
    </row>
    <row r="1810" spans="1:4" x14ac:dyDescent="0.2">
      <c r="A1810" s="5">
        <v>1749</v>
      </c>
      <c r="B1810" s="138">
        <f>'Tax Sched 23'!E6</f>
        <v>287178</v>
      </c>
      <c r="D1810" s="2" t="str">
        <f t="shared" si="27"/>
        <v>Error?</v>
      </c>
    </row>
    <row r="1811" spans="1:4" x14ac:dyDescent="0.2">
      <c r="A1811" s="5">
        <v>1750</v>
      </c>
      <c r="B1811" s="138">
        <f>'Tax Sched 23'!E7</f>
        <v>123538</v>
      </c>
      <c r="D1811" s="2" t="str">
        <f t="shared" si="27"/>
        <v>Error?</v>
      </c>
    </row>
    <row r="1812" spans="1:4" x14ac:dyDescent="0.2">
      <c r="A1812" s="5">
        <v>1751</v>
      </c>
      <c r="B1812" s="138">
        <f>'Tax Sched 23'!E8</f>
        <v>248800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489982</v>
      </c>
      <c r="D1816" s="2" t="str">
        <f t="shared" si="27"/>
        <v>Error?</v>
      </c>
    </row>
    <row r="1817" spans="1:4" x14ac:dyDescent="0.2">
      <c r="A1817" s="5">
        <v>1756</v>
      </c>
      <c r="B1817" s="138">
        <f>'Tax Sched 23'!E12</f>
        <v>10205</v>
      </c>
      <c r="D1817" s="2" t="str">
        <f t="shared" si="27"/>
        <v>Error?</v>
      </c>
    </row>
    <row r="1818" spans="1:4" x14ac:dyDescent="0.2">
      <c r="A1818" s="5">
        <v>1757</v>
      </c>
      <c r="B1818" s="138">
        <f>'Tax Sched 23'!E14</f>
        <v>24191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2908516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2179132</v>
      </c>
      <c r="C1939" s="2" t="s">
        <v>573</v>
      </c>
      <c r="D1939" s="2" t="str">
        <f t="shared" si="29"/>
        <v>Error?</v>
      </c>
    </row>
    <row r="1940" spans="1:5" x14ac:dyDescent="0.2">
      <c r="A1940" s="5">
        <v>1879</v>
      </c>
      <c r="B1940" s="138">
        <f>'Short-Term Long-Term Debt 24'!F49</f>
        <v>950000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16988</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16994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16994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142942</v>
      </c>
      <c r="D2008" s="2" t="str">
        <f t="shared" si="30"/>
        <v>Error?</v>
      </c>
    </row>
    <row r="2009" spans="1:4" x14ac:dyDescent="0.2">
      <c r="A2009" s="5">
        <v>1948</v>
      </c>
      <c r="B2009" s="138">
        <f>'Cap Outlay Deprec 26'!C8</f>
        <v>33082710</v>
      </c>
      <c r="D2009" s="2" t="str">
        <f t="shared" si="30"/>
        <v>Error?</v>
      </c>
    </row>
    <row r="2010" spans="1:4" x14ac:dyDescent="0.2">
      <c r="A2010" s="5">
        <v>1949</v>
      </c>
      <c r="B2010" s="138">
        <f>'Cap Outlay Deprec 26'!C10</f>
        <v>200339</v>
      </c>
      <c r="D2010" s="2" t="str">
        <f t="shared" si="30"/>
        <v>Error?</v>
      </c>
    </row>
    <row r="2011" spans="1:4" x14ac:dyDescent="0.2">
      <c r="A2011" s="5">
        <v>1950</v>
      </c>
      <c r="B2011" s="138">
        <f>'Cap Outlay Deprec 26'!C12</f>
        <v>1350825</v>
      </c>
      <c r="D2011" s="2" t="str">
        <f t="shared" si="30"/>
        <v>Error?</v>
      </c>
    </row>
    <row r="2012" spans="1:4" x14ac:dyDescent="0.2">
      <c r="A2012" s="5">
        <v>1951</v>
      </c>
      <c r="B2012" s="138">
        <f>'Cap Outlay Deprec 26'!C13</f>
        <v>864236</v>
      </c>
      <c r="D2012" s="2" t="str">
        <f t="shared" si="30"/>
        <v>Error?</v>
      </c>
    </row>
    <row r="2013" spans="1:4" x14ac:dyDescent="0.2">
      <c r="A2013" s="5">
        <v>1952</v>
      </c>
      <c r="B2013" s="138">
        <f>'Cap Outlay Deprec 26'!C16</f>
        <v>35641052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107149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154847</v>
      </c>
      <c r="D2017" s="2" t="str">
        <f t="shared" si="30"/>
        <v>Error?</v>
      </c>
    </row>
    <row r="2018" spans="1:4" x14ac:dyDescent="0.2">
      <c r="A2018" s="5">
        <v>1957</v>
      </c>
      <c r="B2018" s="138">
        <f>'Cap Outlay Deprec 26'!D13</f>
        <v>39855</v>
      </c>
      <c r="D2018" s="2" t="str">
        <f t="shared" si="30"/>
        <v>Error?</v>
      </c>
    </row>
    <row r="2019" spans="1:4" x14ac:dyDescent="0.2">
      <c r="A2019" s="5">
        <v>1958</v>
      </c>
      <c r="B2019" s="138">
        <f>'Cap Outlay Deprec 26'!D16</f>
        <v>301851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105472</v>
      </c>
      <c r="D2023" s="2" t="str">
        <f t="shared" si="30"/>
        <v>Error?</v>
      </c>
    </row>
    <row r="2024" spans="1:4" x14ac:dyDescent="0.2">
      <c r="A2024" s="5">
        <v>1963</v>
      </c>
      <c r="B2024" s="138">
        <f>'Cap Outlay Deprec 26'!E13</f>
        <v>76810</v>
      </c>
      <c r="D2024" s="2" t="str">
        <f t="shared" si="30"/>
        <v>Error?</v>
      </c>
    </row>
    <row r="2025" spans="1:4" x14ac:dyDescent="0.2">
      <c r="A2025" s="5">
        <v>1964</v>
      </c>
      <c r="B2025" s="138">
        <f>'Cap Outlay Deprec 26'!E16</f>
        <v>182282</v>
      </c>
      <c r="C2025" s="2" t="s">
        <v>573</v>
      </c>
      <c r="D2025" s="2" t="str">
        <f t="shared" si="30"/>
        <v>Error?</v>
      </c>
    </row>
    <row r="2026" spans="1:4" x14ac:dyDescent="0.2">
      <c r="A2026" s="5">
        <v>1965</v>
      </c>
      <c r="B2026" s="138">
        <f>'Cap Outlay Deprec 26'!F5</f>
        <v>142942</v>
      </c>
      <c r="C2026" s="2" t="s">
        <v>573</v>
      </c>
      <c r="D2026" s="2" t="str">
        <f t="shared" si="30"/>
        <v>Error?</v>
      </c>
    </row>
    <row r="2027" spans="1:4" x14ac:dyDescent="0.2">
      <c r="A2027" s="5">
        <v>1966</v>
      </c>
      <c r="B2027" s="138">
        <f>'Cap Outlay Deprec 26'!F8</f>
        <v>33189859</v>
      </c>
      <c r="C2027" s="2" t="s">
        <v>573</v>
      </c>
      <c r="D2027" s="2" t="str">
        <f t="shared" si="30"/>
        <v>Error?</v>
      </c>
    </row>
    <row r="2028" spans="1:4" x14ac:dyDescent="0.2">
      <c r="A2028" s="5">
        <v>1967</v>
      </c>
      <c r="B2028" s="138">
        <f>'Cap Outlay Deprec 26'!F10</f>
        <v>200339</v>
      </c>
      <c r="C2028" s="2" t="s">
        <v>573</v>
      </c>
      <c r="D2028" s="2" t="str">
        <f t="shared" si="30"/>
        <v>Error?</v>
      </c>
    </row>
    <row r="2029" spans="1:4" x14ac:dyDescent="0.2">
      <c r="A2029" s="5">
        <v>1968</v>
      </c>
      <c r="B2029" s="138">
        <f>'Cap Outlay Deprec 26'!F12</f>
        <v>1400200</v>
      </c>
      <c r="C2029" s="2" t="s">
        <v>573</v>
      </c>
      <c r="D2029" s="2" t="str">
        <f t="shared" si="30"/>
        <v>Error?</v>
      </c>
    </row>
    <row r="2030" spans="1:4" x14ac:dyDescent="0.2">
      <c r="A2030" s="5">
        <v>1969</v>
      </c>
      <c r="B2030" s="138">
        <f>'Cap Outlay Deprec 26'!F13</f>
        <v>827281</v>
      </c>
      <c r="C2030" s="2" t="s">
        <v>573</v>
      </c>
      <c r="D2030" s="2" t="str">
        <f t="shared" si="30"/>
        <v>Error?</v>
      </c>
    </row>
    <row r="2031" spans="1:4" x14ac:dyDescent="0.2">
      <c r="A2031" s="5">
        <v>1970</v>
      </c>
      <c r="B2031" s="138">
        <f>'Cap Outlay Deprec 26'!F16</f>
        <v>35760621</v>
      </c>
      <c r="C2031" s="2" t="s">
        <v>573</v>
      </c>
      <c r="D2031" s="2" t="str">
        <f t="shared" si="30"/>
        <v>Error?</v>
      </c>
    </row>
    <row r="2032" spans="1:4" x14ac:dyDescent="0.2">
      <c r="A2032" s="10">
        <v>1971</v>
      </c>
      <c r="D2032" s="2" t="str">
        <f t="shared" si="30"/>
        <v>OK</v>
      </c>
    </row>
    <row r="2033" spans="1:4" x14ac:dyDescent="0.2">
      <c r="A2033" s="5">
        <v>1972</v>
      </c>
      <c r="B2033" s="138">
        <f>'Cap Outlay Deprec 26'!H8</f>
        <v>11973526</v>
      </c>
      <c r="D2033" s="2" t="str">
        <f t="shared" si="30"/>
        <v>Error?</v>
      </c>
    </row>
    <row r="2034" spans="1:4" x14ac:dyDescent="0.2">
      <c r="A2034" s="5">
        <v>1973</v>
      </c>
      <c r="B2034" s="138">
        <f>'Cap Outlay Deprec 26'!H10</f>
        <v>73939</v>
      </c>
      <c r="D2034" s="2" t="str">
        <f t="shared" si="30"/>
        <v>Error?</v>
      </c>
    </row>
    <row r="2035" spans="1:4" x14ac:dyDescent="0.2">
      <c r="A2035" s="5">
        <v>1974</v>
      </c>
      <c r="B2035" s="138">
        <f>'Cap Outlay Deprec 26'!H12</f>
        <v>799904</v>
      </c>
      <c r="D2035" s="2" t="str">
        <f t="shared" si="30"/>
        <v>Error?</v>
      </c>
    </row>
    <row r="2036" spans="1:4" x14ac:dyDescent="0.2">
      <c r="A2036" s="5">
        <v>1975</v>
      </c>
      <c r="B2036" s="138">
        <f>'Cap Outlay Deprec 26'!H13</f>
        <v>684565</v>
      </c>
      <c r="D2036" s="2" t="str">
        <f t="shared" si="30"/>
        <v>Error?</v>
      </c>
    </row>
    <row r="2037" spans="1:4" x14ac:dyDescent="0.2">
      <c r="A2037" s="5">
        <v>1976</v>
      </c>
      <c r="B2037" s="138">
        <f>'Cap Outlay Deprec 26'!H16</f>
        <v>13531934</v>
      </c>
      <c r="C2037" s="2" t="s">
        <v>573</v>
      </c>
      <c r="D2037" s="2" t="str">
        <f t="shared" si="30"/>
        <v>Error?</v>
      </c>
    </row>
    <row r="2038" spans="1:4" x14ac:dyDescent="0.2">
      <c r="A2038" s="10">
        <v>1977</v>
      </c>
      <c r="D2038" s="2" t="str">
        <f t="shared" si="30"/>
        <v>OK</v>
      </c>
    </row>
    <row r="2039" spans="1:4" x14ac:dyDescent="0.2">
      <c r="A2039" s="5">
        <v>1978</v>
      </c>
      <c r="B2039" s="138">
        <f>'Cap Outlay Deprec 26'!I8</f>
        <v>616080</v>
      </c>
      <c r="D2039" s="2" t="str">
        <f t="shared" si="30"/>
        <v>Error?</v>
      </c>
    </row>
    <row r="2040" spans="1:4" x14ac:dyDescent="0.2">
      <c r="A2040" s="5">
        <v>1979</v>
      </c>
      <c r="B2040" s="138">
        <f>'Cap Outlay Deprec 26'!I10</f>
        <v>7472</v>
      </c>
      <c r="D2040" s="2" t="str">
        <f t="shared" si="30"/>
        <v>Error?</v>
      </c>
    </row>
    <row r="2041" spans="1:4" x14ac:dyDescent="0.2">
      <c r="A2041" s="5">
        <v>1980</v>
      </c>
      <c r="B2041" s="138">
        <f>'Cap Outlay Deprec 26'!I12</f>
        <v>140020</v>
      </c>
      <c r="D2041" s="2" t="str">
        <f t="shared" si="30"/>
        <v>Error?</v>
      </c>
    </row>
    <row r="2042" spans="1:4" x14ac:dyDescent="0.2">
      <c r="A2042" s="5">
        <v>1981</v>
      </c>
      <c r="B2042" s="138">
        <f>'Cap Outlay Deprec 26'!I13</f>
        <v>71532</v>
      </c>
      <c r="D2042" s="2" t="str">
        <f t="shared" si="30"/>
        <v>Error?</v>
      </c>
    </row>
    <row r="2043" spans="1:4" x14ac:dyDescent="0.2">
      <c r="A2043" s="5">
        <v>1982</v>
      </c>
      <c r="B2043" s="138">
        <f>'Cap Outlay Deprec 26'!I16</f>
        <v>835104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105472</v>
      </c>
      <c r="D2047" s="2" t="str">
        <f t="shared" ref="D2047:D2110" si="31">IF(ISBLANK(B2047),"OK",IF(A2047-B2047=0,"OK","Error?"))</f>
        <v>Error?</v>
      </c>
    </row>
    <row r="2048" spans="1:4" x14ac:dyDescent="0.2">
      <c r="A2048" s="5">
        <v>1987</v>
      </c>
      <c r="B2048" s="138">
        <f>'Cap Outlay Deprec 26'!J13</f>
        <v>76810</v>
      </c>
      <c r="D2048" s="2" t="str">
        <f t="shared" si="31"/>
        <v>Error?</v>
      </c>
    </row>
    <row r="2049" spans="1:4" x14ac:dyDescent="0.2">
      <c r="A2049" s="5">
        <v>1988</v>
      </c>
      <c r="B2049" s="138">
        <f>'Cap Outlay Deprec 26'!J16</f>
        <v>182282</v>
      </c>
      <c r="C2049" s="2" t="s">
        <v>573</v>
      </c>
      <c r="D2049" s="2" t="str">
        <f t="shared" si="31"/>
        <v>Error?</v>
      </c>
    </row>
    <row r="2050" spans="1:4" x14ac:dyDescent="0.2">
      <c r="A2050" s="10">
        <v>1989</v>
      </c>
      <c r="D2050" s="2" t="str">
        <f t="shared" si="31"/>
        <v>OK</v>
      </c>
    </row>
    <row r="2051" spans="1:4" x14ac:dyDescent="0.2">
      <c r="A2051" s="5">
        <v>1990</v>
      </c>
      <c r="B2051" s="138">
        <f>'Cap Outlay Deprec 26'!K8</f>
        <v>12589606</v>
      </c>
      <c r="C2051" s="2" t="s">
        <v>573</v>
      </c>
      <c r="D2051" s="2" t="str">
        <f t="shared" si="31"/>
        <v>Error?</v>
      </c>
    </row>
    <row r="2052" spans="1:4" x14ac:dyDescent="0.2">
      <c r="A2052" s="5">
        <v>1991</v>
      </c>
      <c r="B2052" s="138">
        <f>'Cap Outlay Deprec 26'!K10</f>
        <v>81411</v>
      </c>
      <c r="C2052" s="2" t="s">
        <v>573</v>
      </c>
      <c r="D2052" s="2" t="str">
        <f t="shared" si="31"/>
        <v>Error?</v>
      </c>
    </row>
    <row r="2053" spans="1:4" x14ac:dyDescent="0.2">
      <c r="A2053" s="5">
        <v>1992</v>
      </c>
      <c r="B2053" s="138">
        <f>'Cap Outlay Deprec 26'!K12</f>
        <v>834452</v>
      </c>
      <c r="C2053" s="2" t="s">
        <v>573</v>
      </c>
      <c r="D2053" s="2" t="str">
        <f t="shared" si="31"/>
        <v>Error?</v>
      </c>
    </row>
    <row r="2054" spans="1:4" x14ac:dyDescent="0.2">
      <c r="A2054" s="5">
        <v>1993</v>
      </c>
      <c r="B2054" s="138">
        <f>'Cap Outlay Deprec 26'!K13</f>
        <v>679287</v>
      </c>
      <c r="C2054" s="2" t="s">
        <v>573</v>
      </c>
      <c r="D2054" s="2" t="str">
        <f t="shared" si="31"/>
        <v>Error?</v>
      </c>
    </row>
    <row r="2055" spans="1:4" x14ac:dyDescent="0.2">
      <c r="A2055" s="5">
        <v>1994</v>
      </c>
      <c r="B2055" s="138">
        <f>'Cap Outlay Deprec 26'!K16</f>
        <v>14184756</v>
      </c>
      <c r="C2055" s="2" t="s">
        <v>573</v>
      </c>
      <c r="D2055" s="2" t="str">
        <f t="shared" si="31"/>
        <v>Error?</v>
      </c>
    </row>
    <row r="2056" spans="1:4" x14ac:dyDescent="0.2">
      <c r="A2056" s="5">
        <v>1995</v>
      </c>
      <c r="B2056" s="138">
        <f>'Cap Outlay Deprec 26'!L5</f>
        <v>142942</v>
      </c>
      <c r="C2056" s="2" t="s">
        <v>573</v>
      </c>
      <c r="D2056" s="2" t="str">
        <f t="shared" si="31"/>
        <v>Error?</v>
      </c>
    </row>
    <row r="2057" spans="1:4" x14ac:dyDescent="0.2">
      <c r="A2057" s="5">
        <v>1996</v>
      </c>
      <c r="B2057" s="138">
        <f>'Cap Outlay Deprec 26'!L8</f>
        <v>20600253</v>
      </c>
      <c r="C2057" s="2" t="s">
        <v>573</v>
      </c>
      <c r="D2057" s="2" t="str">
        <f t="shared" si="31"/>
        <v>Error?</v>
      </c>
    </row>
    <row r="2058" spans="1:4" x14ac:dyDescent="0.2">
      <c r="A2058" s="5">
        <v>1997</v>
      </c>
      <c r="B2058" s="138">
        <f>'Cap Outlay Deprec 26'!L10</f>
        <v>118928</v>
      </c>
      <c r="C2058" s="2" t="s">
        <v>573</v>
      </c>
      <c r="D2058" s="2" t="str">
        <f t="shared" si="31"/>
        <v>Error?</v>
      </c>
    </row>
    <row r="2059" spans="1:4" x14ac:dyDescent="0.2">
      <c r="A2059" s="5">
        <v>1998</v>
      </c>
      <c r="B2059" s="138">
        <f>'Cap Outlay Deprec 26'!L12</f>
        <v>565748</v>
      </c>
      <c r="C2059" s="2" t="s">
        <v>573</v>
      </c>
      <c r="D2059" s="2" t="str">
        <f t="shared" si="31"/>
        <v>Error?</v>
      </c>
    </row>
    <row r="2060" spans="1:4" x14ac:dyDescent="0.2">
      <c r="A2060" s="5">
        <v>1999</v>
      </c>
      <c r="B2060" s="138">
        <f>'Cap Outlay Deprec 26'!L13</f>
        <v>147994</v>
      </c>
      <c r="C2060" s="2" t="s">
        <v>573</v>
      </c>
      <c r="D2060" s="2" t="str">
        <f t="shared" si="31"/>
        <v>Error?</v>
      </c>
    </row>
    <row r="2061" spans="1:4" x14ac:dyDescent="0.2">
      <c r="A2061" s="5">
        <v>2000</v>
      </c>
      <c r="B2061" s="138">
        <f>'Cap Outlay Deprec 26'!L16</f>
        <v>21575865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645750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645750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93935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24573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1149379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1150315</v>
      </c>
      <c r="C2551" s="2" t="s">
        <v>573</v>
      </c>
      <c r="D2551" s="2" t="str">
        <f t="shared" si="38"/>
        <v>Error?</v>
      </c>
    </row>
    <row r="2552" spans="1:4" x14ac:dyDescent="0.2">
      <c r="A2552" s="10">
        <v>2491</v>
      </c>
      <c r="D2552" s="2" t="str">
        <f t="shared" si="38"/>
        <v>OK</v>
      </c>
    </row>
    <row r="2553" spans="1:4" x14ac:dyDescent="0.2">
      <c r="A2553" s="5">
        <v>2492</v>
      </c>
      <c r="B2553" s="138">
        <f>'Acct Summary 7-8'!C6</f>
        <v>11016654</v>
      </c>
      <c r="C2553" s="2" t="s">
        <v>573</v>
      </c>
      <c r="D2553" s="2" t="str">
        <f t="shared" si="38"/>
        <v>Error?</v>
      </c>
    </row>
    <row r="2554" spans="1:4" x14ac:dyDescent="0.2">
      <c r="A2554" s="5">
        <v>2493</v>
      </c>
      <c r="B2554" s="138">
        <f>'Acct Summary 7-8'!C7</f>
        <v>1599162</v>
      </c>
      <c r="C2554" s="2" t="s">
        <v>573</v>
      </c>
      <c r="D2554" s="2" t="str">
        <f t="shared" si="38"/>
        <v>Error?</v>
      </c>
    </row>
    <row r="2555" spans="1:4" x14ac:dyDescent="0.2">
      <c r="A2555" s="5">
        <v>2494</v>
      </c>
      <c r="B2555" s="138">
        <f>'Acct Summary 7-8'!C8</f>
        <v>13790011</v>
      </c>
      <c r="C2555" s="2" t="s">
        <v>573</v>
      </c>
      <c r="D2555" s="2" t="str">
        <f t="shared" si="38"/>
        <v>Error?</v>
      </c>
    </row>
    <row r="2556" spans="1:4" x14ac:dyDescent="0.2">
      <c r="A2556" s="5">
        <v>2495</v>
      </c>
      <c r="B2556" s="138">
        <f>'Acct Summary 7-8'!C12</f>
        <v>7909307</v>
      </c>
      <c r="C2556" s="2" t="s">
        <v>573</v>
      </c>
      <c r="D2556" s="2" t="str">
        <f t="shared" si="38"/>
        <v>Error?</v>
      </c>
    </row>
    <row r="2557" spans="1:4" x14ac:dyDescent="0.2">
      <c r="A2557" s="5">
        <v>2496</v>
      </c>
      <c r="B2557" s="138">
        <f>'Acct Summary 7-8'!C13</f>
        <v>3343650</v>
      </c>
      <c r="C2557" s="2" t="s">
        <v>573</v>
      </c>
      <c r="D2557" s="2" t="str">
        <f t="shared" si="38"/>
        <v>Error?</v>
      </c>
    </row>
    <row r="2558" spans="1:4" x14ac:dyDescent="0.2">
      <c r="A2558" s="5">
        <v>2497</v>
      </c>
      <c r="B2558" s="138">
        <f>'Acct Summary 7-8'!C14</f>
        <v>300074</v>
      </c>
      <c r="C2558" s="2" t="s">
        <v>573</v>
      </c>
      <c r="D2558" s="2" t="str">
        <f t="shared" si="38"/>
        <v>Error?</v>
      </c>
    </row>
    <row r="2559" spans="1:4" x14ac:dyDescent="0.2">
      <c r="A2559" s="5">
        <v>2498</v>
      </c>
      <c r="B2559" s="138">
        <f>'Acct Summary 7-8'!C15</f>
        <v>645750</v>
      </c>
      <c r="C2559" s="2" t="s">
        <v>573</v>
      </c>
      <c r="D2559" s="2" t="str">
        <f t="shared" ref="D2559:D2622" si="39">IF(ISBLANK(B2559),"OK",IF(A2559-B2559=0,"OK","Error?"))</f>
        <v>Error?</v>
      </c>
    </row>
    <row r="2560" spans="1:4" x14ac:dyDescent="0.2">
      <c r="A2560" s="5">
        <v>2499</v>
      </c>
      <c r="B2560" s="138">
        <f>'Acct Summary 7-8'!C16</f>
        <v>1354</v>
      </c>
      <c r="C2560" s="2" t="s">
        <v>573</v>
      </c>
      <c r="D2560" s="2" t="str">
        <f t="shared" si="39"/>
        <v>Error?</v>
      </c>
    </row>
    <row r="2561" spans="1:4" x14ac:dyDescent="0.2">
      <c r="A2561" s="5">
        <v>2500</v>
      </c>
      <c r="B2561" s="138">
        <f>'Acct Summary 7-8'!C17</f>
        <v>12200135</v>
      </c>
      <c r="C2561" s="2" t="s">
        <v>573</v>
      </c>
      <c r="D2561" s="2" t="str">
        <f t="shared" si="39"/>
        <v>Error?</v>
      </c>
    </row>
    <row r="2562" spans="1:4" x14ac:dyDescent="0.2">
      <c r="A2562" s="5">
        <v>2501</v>
      </c>
      <c r="B2562" s="138">
        <f>'Acct Summary 7-8'!C20</f>
        <v>1589876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426915</v>
      </c>
      <c r="C2564" s="2" t="s">
        <v>573</v>
      </c>
      <c r="D2564" s="2" t="str">
        <f t="shared" si="39"/>
        <v>Error?</v>
      </c>
    </row>
    <row r="2565" spans="1:4" x14ac:dyDescent="0.2">
      <c r="A2565" s="10">
        <v>2504</v>
      </c>
      <c r="D2565" s="2" t="str">
        <f t="shared" si="39"/>
        <v>OK</v>
      </c>
    </row>
    <row r="2566" spans="1:4" x14ac:dyDescent="0.2">
      <c r="A2566" s="5">
        <v>2505</v>
      </c>
      <c r="B2566" s="138">
        <f>'Acct Summary 7-8'!D6</f>
        <v>180000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606915</v>
      </c>
      <c r="C2568" s="2" t="s">
        <v>573</v>
      </c>
      <c r="D2568" s="2" t="str">
        <f t="shared" si="39"/>
        <v>Error?</v>
      </c>
    </row>
    <row r="2569" spans="1:4" x14ac:dyDescent="0.2">
      <c r="A2569" s="5">
        <v>2508</v>
      </c>
      <c r="B2569" s="138">
        <f>'Acct Summary 7-8'!D13</f>
        <v>531944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531944</v>
      </c>
      <c r="C2573" s="2" t="s">
        <v>573</v>
      </c>
      <c r="D2573" s="2" t="str">
        <f t="shared" si="39"/>
        <v>Error?</v>
      </c>
    </row>
    <row r="2574" spans="1:4" x14ac:dyDescent="0.2">
      <c r="A2574" s="5">
        <v>2513</v>
      </c>
      <c r="B2574" s="138">
        <f>'Acct Summary 7-8'!D20</f>
        <v>74971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203431</v>
      </c>
      <c r="C2591" s="2" t="s">
        <v>573</v>
      </c>
      <c r="D2591" s="2" t="str">
        <f t="shared" si="39"/>
        <v>Error?</v>
      </c>
    </row>
    <row r="2592" spans="1:4" x14ac:dyDescent="0.2">
      <c r="A2592" s="10">
        <v>2531</v>
      </c>
      <c r="D2592" s="2" t="str">
        <f t="shared" si="39"/>
        <v>OK</v>
      </c>
    </row>
    <row r="2593" spans="1:4" x14ac:dyDescent="0.2">
      <c r="A2593" s="5">
        <v>2532</v>
      </c>
      <c r="B2593" s="138">
        <f>'Acct Summary 7-8'!F6</f>
        <v>264197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467628</v>
      </c>
      <c r="C2595" s="2" t="s">
        <v>573</v>
      </c>
      <c r="D2595" s="2" t="str">
        <f t="shared" si="39"/>
        <v>Error?</v>
      </c>
    </row>
    <row r="2596" spans="1:4" x14ac:dyDescent="0.2">
      <c r="A2596" s="5">
        <v>2535</v>
      </c>
      <c r="B2596" s="138">
        <f>'Acct Summary 7-8'!F13</f>
        <v>282076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68218</v>
      </c>
      <c r="C2599" s="2" t="s">
        <v>573</v>
      </c>
      <c r="D2599" s="2" t="str">
        <f t="shared" si="39"/>
        <v>Error?</v>
      </c>
    </row>
    <row r="2600" spans="1:4" x14ac:dyDescent="0.2">
      <c r="A2600" s="5">
        <v>2539</v>
      </c>
      <c r="B2600" s="138">
        <f>'Acct Summary 7-8'!F17</f>
        <v>350294</v>
      </c>
      <c r="C2600" s="2" t="s">
        <v>573</v>
      </c>
      <c r="D2600" s="2" t="str">
        <f t="shared" si="39"/>
        <v>Error?</v>
      </c>
    </row>
    <row r="2601" spans="1:4" x14ac:dyDescent="0.2">
      <c r="A2601" s="5">
        <v>2540</v>
      </c>
      <c r="B2601" s="138">
        <f>'Acct Summary 7-8'!F20</f>
        <v>117334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398399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398399</v>
      </c>
      <c r="C2606" s="2" t="s">
        <v>573</v>
      </c>
      <c r="D2606" s="2" t="str">
        <f t="shared" si="39"/>
        <v>Error?</v>
      </c>
    </row>
    <row r="2607" spans="1:4" x14ac:dyDescent="0.2">
      <c r="A2607" s="5">
        <v>2546</v>
      </c>
      <c r="B2607" s="138">
        <f>'Acct Summary 7-8'!G12</f>
        <v>191826</v>
      </c>
      <c r="C2607" s="2" t="s">
        <v>573</v>
      </c>
      <c r="D2607" s="2" t="str">
        <f t="shared" si="39"/>
        <v>Error?</v>
      </c>
    </row>
    <row r="2608" spans="1:4" x14ac:dyDescent="0.2">
      <c r="A2608" s="5">
        <v>2547</v>
      </c>
      <c r="B2608" s="138">
        <f>'Acct Summary 7-8'!G13</f>
        <v>208534</v>
      </c>
      <c r="C2608" s="2" t="s">
        <v>573</v>
      </c>
      <c r="D2608" s="2" t="str">
        <f t="shared" si="39"/>
        <v>Error?</v>
      </c>
    </row>
    <row r="2609" spans="1:4" x14ac:dyDescent="0.2">
      <c r="A2609" s="5">
        <v>2548</v>
      </c>
      <c r="B2609" s="138">
        <f>'Acct Summary 7-8'!G14</f>
        <v>32344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432704</v>
      </c>
      <c r="C2612" s="2" t="s">
        <v>573</v>
      </c>
      <c r="D2612" s="2" t="str">
        <f t="shared" si="39"/>
        <v>Error?</v>
      </c>
    </row>
    <row r="2613" spans="1:4" x14ac:dyDescent="0.2">
      <c r="A2613" s="5">
        <v>2552</v>
      </c>
      <c r="B2613" s="138">
        <f>'Acct Summary 7-8'!G20</f>
        <v>-34305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538359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538359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895385</v>
      </c>
      <c r="C2634" s="2" t="s">
        <v>573</v>
      </c>
      <c r="D2634" s="2" t="str">
        <f t="shared" si="40"/>
        <v>Error?</v>
      </c>
    </row>
    <row r="2635" spans="1:4" x14ac:dyDescent="0.2">
      <c r="A2635" s="5">
        <v>2574</v>
      </c>
      <c r="B2635" s="138">
        <f>'Acct Summary 7-8'!E17</f>
        <v>895385</v>
      </c>
      <c r="C2635" s="2" t="s">
        <v>573</v>
      </c>
      <c r="D2635" s="2" t="str">
        <f t="shared" si="40"/>
        <v>Error?</v>
      </c>
    </row>
    <row r="2636" spans="1:4" x14ac:dyDescent="0.2">
      <c r="A2636" s="5">
        <v>2575</v>
      </c>
      <c r="B2636" s="138">
        <f>'Acct Summary 7-8'!E20</f>
        <v>-357026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332903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332903</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332903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811960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811960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362604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811960</v>
      </c>
      <c r="D2912" s="2" t="str">
        <f t="shared" si="44"/>
        <v>Error?</v>
      </c>
    </row>
    <row r="2913" spans="1:4" x14ac:dyDescent="0.2">
      <c r="A2913" s="5">
        <v>2852</v>
      </c>
      <c r="B2913" s="138">
        <f>'Assets-Liab 5-6'!I41</f>
        <v>811960</v>
      </c>
      <c r="C2913" s="2" t="s">
        <v>573</v>
      </c>
      <c r="D2913" s="2" t="str">
        <f t="shared" si="44"/>
        <v>Error?</v>
      </c>
    </row>
    <row r="2914" spans="1:4" x14ac:dyDescent="0.2">
      <c r="A2914" s="5">
        <v>2853</v>
      </c>
      <c r="B2914" s="138">
        <f>'Assets-Liab 5-6'!L33</f>
        <v>196289</v>
      </c>
      <c r="D2914" s="2" t="str">
        <f t="shared" si="44"/>
        <v>Error?</v>
      </c>
    </row>
    <row r="2915" spans="1:4" x14ac:dyDescent="0.2">
      <c r="A2915" s="10">
        <v>2854</v>
      </c>
      <c r="D2915" s="2" t="str">
        <f t="shared" si="44"/>
        <v>OK</v>
      </c>
    </row>
    <row r="2916" spans="1:4" x14ac:dyDescent="0.2">
      <c r="A2916" s="5">
        <v>2855</v>
      </c>
      <c r="B2916" s="138">
        <f>'Assets-Liab 5-6'!L34</f>
        <v>196289</v>
      </c>
      <c r="C2916" s="2" t="s">
        <v>573</v>
      </c>
      <c r="D2916" s="2" t="str">
        <f t="shared" si="44"/>
        <v>Error?</v>
      </c>
    </row>
    <row r="2917" spans="1:4" x14ac:dyDescent="0.2">
      <c r="A2917" s="5">
        <v>2856</v>
      </c>
      <c r="B2917" s="138">
        <f>'Assets-Liab 5-6'!L41</f>
        <v>362604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623263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22487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623263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22487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310606</v>
      </c>
      <c r="D3055" s="2" t="str">
        <f t="shared" si="46"/>
        <v>Error?</v>
      </c>
    </row>
    <row r="3056" spans="1:4" x14ac:dyDescent="0.2">
      <c r="A3056" s="5">
        <v>2995</v>
      </c>
      <c r="B3056" s="138">
        <f>'Expenditures 15-22'!D10</f>
        <v>49055</v>
      </c>
      <c r="D3056" s="2" t="str">
        <f t="shared" si="46"/>
        <v>Error?</v>
      </c>
    </row>
    <row r="3057" spans="1:4" x14ac:dyDescent="0.2">
      <c r="A3057" s="5">
        <v>2996</v>
      </c>
      <c r="B3057" s="138">
        <f>'Expenditures 15-22'!E10</f>
        <v>52905</v>
      </c>
      <c r="D3057" s="2" t="str">
        <f t="shared" si="46"/>
        <v>Error?</v>
      </c>
    </row>
    <row r="3058" spans="1:4" x14ac:dyDescent="0.2">
      <c r="A3058" s="5">
        <v>2997</v>
      </c>
      <c r="B3058" s="138">
        <f>'Expenditures 15-22'!F10</f>
        <v>153143</v>
      </c>
      <c r="D3058" s="2" t="str">
        <f t="shared" si="46"/>
        <v>Error?</v>
      </c>
    </row>
    <row r="3059" spans="1:4" x14ac:dyDescent="0.2">
      <c r="A3059" s="5">
        <v>2998</v>
      </c>
      <c r="B3059" s="138">
        <f>'Expenditures 15-22'!G10</f>
        <v>79145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644854</v>
      </c>
      <c r="C3062" s="2" t="s">
        <v>573</v>
      </c>
      <c r="D3062" s="2" t="str">
        <f t="shared" si="46"/>
        <v>Error?</v>
      </c>
    </row>
    <row r="3063" spans="1:4" x14ac:dyDescent="0.2">
      <c r="A3063" s="10">
        <v>3002</v>
      </c>
      <c r="D3063" s="2" t="str">
        <f t="shared" si="46"/>
        <v>OK</v>
      </c>
    </row>
    <row r="3064" spans="1:4" x14ac:dyDescent="0.2">
      <c r="A3064" s="5">
        <v>3003</v>
      </c>
      <c r="B3064" s="138">
        <f>'Expenditures 15-22'!D219</f>
        <v>8203</v>
      </c>
      <c r="D3064" s="2" t="str">
        <f t="shared" si="46"/>
        <v>Error?</v>
      </c>
    </row>
    <row r="3065" spans="1:4" x14ac:dyDescent="0.2">
      <c r="A3065" s="5">
        <v>3004</v>
      </c>
      <c r="B3065" s="138">
        <f>'Expenditures 15-22'!K219</f>
        <v>8203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166315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2432</v>
      </c>
      <c r="C3225" s="2" t="s">
        <v>573</v>
      </c>
      <c r="D3225" s="2" t="str">
        <f t="shared" si="49"/>
        <v>Error?</v>
      </c>
    </row>
    <row r="3226" spans="1:4" x14ac:dyDescent="0.2">
      <c r="A3226" s="5">
        <v>3165</v>
      </c>
      <c r="B3226" s="138">
        <f>'Acct Summary 7-8'!I8</f>
        <v>2432</v>
      </c>
      <c r="C3226" s="2" t="s">
        <v>573</v>
      </c>
      <c r="D3226" s="2" t="str">
        <f t="shared" si="49"/>
        <v>Error?</v>
      </c>
    </row>
    <row r="3227" spans="1:4" x14ac:dyDescent="0.2">
      <c r="A3227" s="5">
        <v>3166</v>
      </c>
      <c r="B3227" s="138">
        <f>'Acct Summary 7-8'!I20</f>
        <v>2432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8884</v>
      </c>
      <c r="D3230" s="2" t="str">
        <f t="shared" si="49"/>
        <v>Error?</v>
      </c>
    </row>
    <row r="3231" spans="1:4" x14ac:dyDescent="0.2">
      <c r="A3231" s="5">
        <v>3170</v>
      </c>
      <c r="B3231" s="138">
        <f>'Acct Summary 7-8'!C76</f>
        <v>8884</v>
      </c>
      <c r="C3231" s="2" t="s">
        <v>573</v>
      </c>
      <c r="D3231" s="2" t="str">
        <f t="shared" si="49"/>
        <v>Error?</v>
      </c>
    </row>
    <row r="3232" spans="1:4" x14ac:dyDescent="0.2">
      <c r="A3232" s="5">
        <v>3171</v>
      </c>
      <c r="B3232" s="138">
        <f>'Acct Summary 7-8'!C77</f>
        <v>-8884</v>
      </c>
      <c r="C3232" s="2" t="s">
        <v>573</v>
      </c>
      <c r="D3232" s="2" t="str">
        <f t="shared" si="49"/>
        <v>Error?</v>
      </c>
    </row>
    <row r="3233" spans="1:4" x14ac:dyDescent="0.2">
      <c r="A3233" s="5">
        <v>3172</v>
      </c>
      <c r="B3233" s="138">
        <f>'Acct Summary 7-8'!C78</f>
        <v>1580992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74971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117334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-34305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-357026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332903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2432</v>
      </c>
      <c r="C3320" s="2" t="s">
        <v>573</v>
      </c>
      <c r="D3320" s="2" t="str">
        <f t="shared" si="50"/>
        <v>Error?</v>
      </c>
    </row>
    <row r="3321" spans="1:4" x14ac:dyDescent="0.2">
      <c r="A3321" s="5">
        <v>3260</v>
      </c>
      <c r="B3321" s="138">
        <f>'Acct Summary 7-8'!I79</f>
        <v>809528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811960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1199481</v>
      </c>
      <c r="D3366" s="2" t="str">
        <f t="shared" si="51"/>
        <v>Error?</v>
      </c>
    </row>
    <row r="3367" spans="1:4" x14ac:dyDescent="0.2">
      <c r="A3367" s="5">
        <v>3306</v>
      </c>
      <c r="B3367" s="138">
        <f>'Expenditures 15-22'!C19</f>
        <v>244380</v>
      </c>
      <c r="D3367" s="2" t="str">
        <f t="shared" si="51"/>
        <v>Error?</v>
      </c>
    </row>
    <row r="3368" spans="1:4" x14ac:dyDescent="0.2">
      <c r="A3368" s="5">
        <v>3307</v>
      </c>
      <c r="B3368" s="138">
        <f>'Expenditures 15-22'!D8</f>
        <v>175004</v>
      </c>
      <c r="D3368" s="2" t="str">
        <f t="shared" si="51"/>
        <v>Error?</v>
      </c>
    </row>
    <row r="3369" spans="1:4" x14ac:dyDescent="0.2">
      <c r="A3369" s="5">
        <v>3308</v>
      </c>
      <c r="B3369" s="138">
        <f>'Expenditures 15-22'!D19</f>
        <v>49928</v>
      </c>
      <c r="D3369" s="2" t="str">
        <f t="shared" si="51"/>
        <v>Error?</v>
      </c>
    </row>
    <row r="3370" spans="1:4" x14ac:dyDescent="0.2">
      <c r="A3370" s="5">
        <v>3309</v>
      </c>
      <c r="B3370" s="138">
        <f>'Expenditures 15-22'!E8</f>
        <v>98944</v>
      </c>
      <c r="D3370" s="2" t="str">
        <f t="shared" si="51"/>
        <v>Error?</v>
      </c>
    </row>
    <row r="3371" spans="1:4" x14ac:dyDescent="0.2">
      <c r="A3371" s="5">
        <v>3310</v>
      </c>
      <c r="B3371" s="138">
        <f>'Expenditures 15-22'!E19</f>
        <v>3254</v>
      </c>
      <c r="D3371" s="2" t="str">
        <f t="shared" si="51"/>
        <v>Error?</v>
      </c>
    </row>
    <row r="3372" spans="1:4" x14ac:dyDescent="0.2">
      <c r="A3372" s="5">
        <v>3311</v>
      </c>
      <c r="B3372" s="138">
        <f>'Expenditures 15-22'!F8</f>
        <v>1187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1474616</v>
      </c>
      <c r="C3380" s="2" t="s">
        <v>573</v>
      </c>
      <c r="D3380" s="2" t="str">
        <f t="shared" si="51"/>
        <v>Error?</v>
      </c>
    </row>
    <row r="3381" spans="1:4" x14ac:dyDescent="0.2">
      <c r="A3381" s="5">
        <v>3320</v>
      </c>
      <c r="B3381" s="138">
        <f>'Expenditures 15-22'!K19</f>
        <v>297562</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83077</v>
      </c>
      <c r="D3387" s="2" t="str">
        <f t="shared" si="51"/>
        <v>Error?</v>
      </c>
    </row>
    <row r="3388" spans="1:4" x14ac:dyDescent="0.2">
      <c r="A3388" s="5">
        <v>3327</v>
      </c>
      <c r="B3388" s="138">
        <f>'Expenditures 15-22'!D217</f>
        <v>94590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83077</v>
      </c>
      <c r="C3390" s="2" t="s">
        <v>573</v>
      </c>
      <c r="D3390" s="2" t="str">
        <f t="shared" si="51"/>
        <v>Error?</v>
      </c>
    </row>
    <row r="3391" spans="1:4" x14ac:dyDescent="0.2">
      <c r="A3391" s="5">
        <v>3330</v>
      </c>
      <c r="B3391" s="138">
        <f>'Expenditures 15-22'!K217</f>
        <v>94590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23880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5449782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1315996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24573</v>
      </c>
      <c r="D3417" s="2" t="str">
        <f t="shared" si="52"/>
        <v>Error?</v>
      </c>
    </row>
    <row r="3418" spans="1:4" x14ac:dyDescent="0.2">
      <c r="A3418" s="10">
        <v>3357</v>
      </c>
      <c r="D3418" s="2" t="str">
        <f t="shared" si="52"/>
        <v>OK</v>
      </c>
    </row>
    <row r="3419" spans="1:4" x14ac:dyDescent="0.2">
      <c r="A3419" s="5">
        <v>3358</v>
      </c>
      <c r="B3419" s="138">
        <f>'Assets-Liab 5-6'!F4</f>
        <v>1270688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872738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1054359</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362604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175041</v>
      </c>
      <c r="C3446" s="2" t="s">
        <v>573</v>
      </c>
      <c r="D3446" s="2" t="str">
        <f t="shared" si="52"/>
        <v>Error?</v>
      </c>
    </row>
    <row r="3447" spans="1:4" x14ac:dyDescent="0.2">
      <c r="A3447" s="5">
        <v>3386</v>
      </c>
      <c r="B3447" s="138">
        <f>'Tax Sched 23'!D16</f>
        <v>175041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248800</v>
      </c>
      <c r="C3449" s="2" t="s">
        <v>573</v>
      </c>
      <c r="D3449" s="2" t="str">
        <f t="shared" si="52"/>
        <v>Error?</v>
      </c>
    </row>
    <row r="3450" spans="1:4" x14ac:dyDescent="0.2">
      <c r="A3450" s="5">
        <v>3389</v>
      </c>
      <c r="B3450" s="138">
        <f>'Tax Sched 23'!E16</f>
        <v>248800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961288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961288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950000</v>
      </c>
      <c r="D3566" s="2" t="str">
        <f t="shared" si="54"/>
        <v>Error?</v>
      </c>
    </row>
    <row r="3567" spans="1:4" x14ac:dyDescent="0.2">
      <c r="A3567" s="5">
        <v>3506</v>
      </c>
      <c r="B3567" s="138">
        <f>'Assets-Liab 5-6'!K39</f>
        <v>11288</v>
      </c>
      <c r="D3567" s="2" t="str">
        <f t="shared" si="54"/>
        <v>Error?</v>
      </c>
    </row>
    <row r="3568" spans="1:4" x14ac:dyDescent="0.2">
      <c r="A3568" s="5">
        <v>3507</v>
      </c>
      <c r="B3568" s="138">
        <f>'Assets-Liab 5-6'!K41</f>
        <v>961288</v>
      </c>
      <c r="C3568" s="2" t="s">
        <v>573</v>
      </c>
      <c r="D3568" s="2" t="str">
        <f t="shared" si="54"/>
        <v>Error?</v>
      </c>
    </row>
    <row r="3569" spans="1:4" x14ac:dyDescent="0.2">
      <c r="A3569" s="5">
        <v>3508</v>
      </c>
      <c r="B3569" s="138">
        <f>'Acct Summary 7-8'!K4</f>
        <v>7964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7964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7964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950000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950000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950000</v>
      </c>
      <c r="C3587" s="2" t="s">
        <v>573</v>
      </c>
      <c r="D3587" s="2" t="str">
        <f t="shared" si="55"/>
        <v>Error?</v>
      </c>
    </row>
    <row r="3588" spans="1:4" x14ac:dyDescent="0.2">
      <c r="A3588" s="5">
        <v>3527</v>
      </c>
      <c r="B3588" s="138">
        <f>'Acct Summary 7-8'!K78</f>
        <v>957964</v>
      </c>
      <c r="C3588" s="2" t="s">
        <v>573</v>
      </c>
      <c r="D3588" s="2" t="str">
        <f t="shared" si="55"/>
        <v>Error?</v>
      </c>
    </row>
    <row r="3589" spans="1:4" x14ac:dyDescent="0.2">
      <c r="A3589" s="5">
        <v>3528</v>
      </c>
      <c r="B3589" s="138">
        <f>'Acct Summary 7-8'!K79</f>
        <v>3324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961288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21424</v>
      </c>
      <c r="C3725" s="2" t="s">
        <v>573</v>
      </c>
      <c r="D3725" s="2" t="str">
        <f t="shared" si="57"/>
        <v>Error?</v>
      </c>
    </row>
    <row r="3726" spans="1:4" x14ac:dyDescent="0.2">
      <c r="A3726" s="5">
        <v>3665</v>
      </c>
      <c r="B3726" s="138">
        <f>'Tax Sched 23'!D13</f>
        <v>21424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30457</v>
      </c>
      <c r="C3728" s="2" t="s">
        <v>573</v>
      </c>
      <c r="D3728" s="2" t="str">
        <f t="shared" si="57"/>
        <v>Error?</v>
      </c>
    </row>
    <row r="3729" spans="1:4" x14ac:dyDescent="0.2">
      <c r="A3729" s="5">
        <v>3668</v>
      </c>
      <c r="B3729" s="138">
        <f>'Tax Sched 23'!E13</f>
        <v>30457</v>
      </c>
      <c r="D3729" s="2" t="str">
        <f t="shared" si="57"/>
        <v>Error?</v>
      </c>
    </row>
    <row r="3730" spans="1:4" x14ac:dyDescent="0.2">
      <c r="A3730" s="5">
        <v>3669</v>
      </c>
      <c r="B3730" s="138">
        <f>'ICR Computation 30'!E10</f>
        <v>491016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4220970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18010981</v>
      </c>
      <c r="C4122" s="2" t="s">
        <v>573</v>
      </c>
      <c r="D4122" s="2" t="str">
        <f t="shared" si="63"/>
        <v>Error?</v>
      </c>
    </row>
    <row r="4123" spans="1:4" x14ac:dyDescent="0.2">
      <c r="A4123" s="5">
        <v>4062</v>
      </c>
      <c r="B4123" s="138">
        <f>'Acct Summary 7-8'!D10</f>
        <v>606915</v>
      </c>
      <c r="C4123" s="2" t="s">
        <v>573</v>
      </c>
      <c r="D4123" s="2" t="str">
        <f t="shared" si="63"/>
        <v>Error?</v>
      </c>
    </row>
    <row r="4124" spans="1:4" x14ac:dyDescent="0.2">
      <c r="A4124" s="5">
        <v>4063</v>
      </c>
      <c r="B4124" s="138">
        <f>'Acct Summary 7-8'!E10</f>
        <v>538359</v>
      </c>
      <c r="C4124" s="2" t="s">
        <v>573</v>
      </c>
      <c r="D4124" s="2" t="str">
        <f t="shared" si="63"/>
        <v>Error?</v>
      </c>
    </row>
    <row r="4125" spans="1:4" x14ac:dyDescent="0.2">
      <c r="A4125" s="5">
        <v>4064</v>
      </c>
      <c r="B4125" s="138">
        <f>'Acct Summary 7-8'!F10</f>
        <v>467628</v>
      </c>
      <c r="C4125" s="2" t="s">
        <v>573</v>
      </c>
      <c r="D4125" s="2" t="str">
        <f t="shared" si="63"/>
        <v>Error?</v>
      </c>
    </row>
    <row r="4126" spans="1:4" x14ac:dyDescent="0.2">
      <c r="A4126" s="5">
        <v>4065</v>
      </c>
      <c r="B4126" s="138">
        <f>'Acct Summary 7-8'!G10</f>
        <v>398399</v>
      </c>
      <c r="C4126" s="2" t="s">
        <v>573</v>
      </c>
      <c r="D4126" s="2" t="str">
        <f t="shared" si="63"/>
        <v>Error?</v>
      </c>
    </row>
    <row r="4127" spans="1:4" x14ac:dyDescent="0.2">
      <c r="A4127" s="5">
        <v>4066</v>
      </c>
      <c r="B4127" s="138">
        <f>'Acct Summary 7-8'!H10</f>
        <v>332903</v>
      </c>
      <c r="C4127" s="2" t="s">
        <v>573</v>
      </c>
      <c r="D4127" s="2" t="str">
        <f t="shared" si="63"/>
        <v>Error?</v>
      </c>
    </row>
    <row r="4128" spans="1:4" x14ac:dyDescent="0.2">
      <c r="A4128" s="5">
        <v>4067</v>
      </c>
      <c r="B4128" s="138">
        <f>'Acct Summary 7-8'!I10</f>
        <v>2432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7964</v>
      </c>
      <c r="C4130" s="2" t="s">
        <v>573</v>
      </c>
      <c r="D4130" s="2" t="str">
        <f t="shared" si="63"/>
        <v>Error?</v>
      </c>
    </row>
    <row r="4131" spans="1:4" x14ac:dyDescent="0.2">
      <c r="A4131" s="5">
        <v>4070</v>
      </c>
      <c r="B4131" s="138">
        <f>'Acct Summary 7-8'!C18</f>
        <v>4220970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16421105</v>
      </c>
      <c r="C4136" s="2" t="s">
        <v>573</v>
      </c>
      <c r="D4136" s="2" t="str">
        <f t="shared" si="63"/>
        <v>Error?</v>
      </c>
    </row>
    <row r="4137" spans="1:4" x14ac:dyDescent="0.2">
      <c r="A4137" s="5">
        <v>4076</v>
      </c>
      <c r="B4137" s="138">
        <f>'Acct Summary 7-8'!D19</f>
        <v>531944</v>
      </c>
      <c r="C4137" s="2" t="s">
        <v>573</v>
      </c>
      <c r="D4137" s="2" t="str">
        <f t="shared" si="63"/>
        <v>Error?</v>
      </c>
    </row>
    <row r="4138" spans="1:4" x14ac:dyDescent="0.2">
      <c r="A4138" s="5">
        <v>4077</v>
      </c>
      <c r="B4138" s="138">
        <f>'Acct Summary 7-8'!E19</f>
        <v>895385</v>
      </c>
      <c r="C4138" s="2" t="s">
        <v>573</v>
      </c>
      <c r="D4138" s="2" t="str">
        <f t="shared" si="63"/>
        <v>Error?</v>
      </c>
    </row>
    <row r="4139" spans="1:4" x14ac:dyDescent="0.2">
      <c r="A4139" s="5">
        <v>4078</v>
      </c>
      <c r="B4139" s="138">
        <f>'Acct Summary 7-8'!F19</f>
        <v>350294</v>
      </c>
      <c r="C4139" s="2" t="s">
        <v>573</v>
      </c>
      <c r="D4139" s="2" t="str">
        <f t="shared" si="63"/>
        <v>Error?</v>
      </c>
    </row>
    <row r="4140" spans="1:4" x14ac:dyDescent="0.2">
      <c r="A4140" s="5">
        <v>4079</v>
      </c>
      <c r="B4140" s="138">
        <f>'Acct Summary 7-8'!G19</f>
        <v>432704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2204887</v>
      </c>
      <c r="C4171" s="2" t="s">
        <v>573</v>
      </c>
      <c r="D4171" s="2" t="str">
        <f t="shared" si="64"/>
        <v>Error?</v>
      </c>
    </row>
    <row r="4172" spans="1:4" x14ac:dyDescent="0.2">
      <c r="A4172" s="5">
        <v>4111</v>
      </c>
      <c r="B4172" s="138">
        <f>'Short-Term Long-Term Debt 24'!J49</f>
        <v>2180314</v>
      </c>
      <c r="C4172" s="2" t="s">
        <v>573</v>
      </c>
      <c r="D4172" s="2" t="str">
        <f t="shared" si="64"/>
        <v>Error?</v>
      </c>
    </row>
    <row r="4173" spans="1:4" x14ac:dyDescent="0.2">
      <c r="A4173" s="5">
        <v>4112</v>
      </c>
      <c r="B4173" s="138">
        <f>'Short-Term Long-Term Debt 24'!H49</f>
        <v>924245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60551</v>
      </c>
      <c r="D4210" s="2" t="str">
        <f t="shared" si="64"/>
        <v>Error?</v>
      </c>
    </row>
    <row r="4211" spans="1:4" x14ac:dyDescent="0.2">
      <c r="A4211" s="5">
        <v>4150</v>
      </c>
      <c r="B4211" s="138">
        <f>'Expenditures 15-22'!K206</f>
        <v>60551</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1806.47</v>
      </c>
      <c r="C4265" s="2" t="s">
        <v>573</v>
      </c>
      <c r="D4265" s="2" t="str">
        <f t="shared" si="65"/>
        <v>Error?</v>
      </c>
      <c r="E4265" s="128"/>
    </row>
    <row r="4266" spans="1:5" x14ac:dyDescent="0.2">
      <c r="A4266" s="12">
        <v>4205</v>
      </c>
      <c r="B4266" s="138">
        <f>('FP Info 3'!F10)*100000</f>
        <v>490.89</v>
      </c>
      <c r="C4266" s="2" t="s">
        <v>573</v>
      </c>
      <c r="D4266" s="2" t="str">
        <f t="shared" si="65"/>
        <v>Error?</v>
      </c>
      <c r="E4266" s="128"/>
    </row>
    <row r="4267" spans="1:5" x14ac:dyDescent="0.2">
      <c r="A4267" s="12">
        <v>4206</v>
      </c>
      <c r="B4267" s="138">
        <f>('FP Info 3'!H10)*100000</f>
        <v>196.35999999999999</v>
      </c>
      <c r="C4267" s="2" t="s">
        <v>573</v>
      </c>
      <c r="D4267" s="2" t="str">
        <f t="shared" si="65"/>
        <v>Error?</v>
      </c>
      <c r="E4267" s="128"/>
    </row>
    <row r="4268" spans="1:5" x14ac:dyDescent="0.2">
      <c r="A4268" s="12">
        <v>4207</v>
      </c>
      <c r="B4268" s="138">
        <f>('FP Info 3'!J10)*100000</f>
        <v>2494</v>
      </c>
      <c r="C4268" s="2" t="s">
        <v>573</v>
      </c>
      <c r="D4268" s="2" t="str">
        <f t="shared" si="65"/>
        <v>Error?</v>
      </c>
    </row>
    <row r="4269" spans="1:5" x14ac:dyDescent="0.2">
      <c r="A4269" s="12">
        <v>4208</v>
      </c>
      <c r="B4269" s="138">
        <f>'FP Info 3'!J16</f>
        <v>10765591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27451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133864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21619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82716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29959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2554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67828804</v>
      </c>
      <c r="D4995" s="2" t="str">
        <f t="shared" si="77"/>
        <v>Error?</v>
      </c>
    </row>
    <row r="4996" spans="1:4" x14ac:dyDescent="0.2">
      <c r="A4996" s="12">
        <v>4935</v>
      </c>
      <c r="B4996" s="138">
        <f>'FP Info 3'!H31</f>
        <v>9360374.9520000014</v>
      </c>
      <c r="D4996" s="2" t="str">
        <f t="shared" si="77"/>
        <v>Error?</v>
      </c>
    </row>
    <row r="4997" spans="1:4" x14ac:dyDescent="0.2">
      <c r="A4997" s="12">
        <v>4936</v>
      </c>
      <c r="B4997" s="138">
        <f>'FP Info 3'!H37</f>
        <v>2204887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21424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799613</v>
      </c>
      <c r="D5061" s="2" t="str">
        <f t="shared" si="78"/>
        <v>Error?</v>
      </c>
    </row>
    <row r="5062" spans="1:4" x14ac:dyDescent="0.2">
      <c r="A5062" s="10">
        <v>5001</v>
      </c>
      <c r="D5062" s="2" t="str">
        <f t="shared" si="78"/>
        <v>OK</v>
      </c>
    </row>
    <row r="5063" spans="1:4" x14ac:dyDescent="0.2">
      <c r="A5063" s="5">
        <v>5002</v>
      </c>
      <c r="B5063" s="138">
        <f>'Revenues 9-14'!C7</f>
        <v>16988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838025</v>
      </c>
      <c r="C5066" s="2" t="s">
        <v>573</v>
      </c>
      <c r="D5066" s="2" t="str">
        <f t="shared" si="78"/>
        <v>Error?</v>
      </c>
    </row>
    <row r="5067" spans="1:4" x14ac:dyDescent="0.2">
      <c r="A5067" s="5">
        <v>5006</v>
      </c>
      <c r="B5067" s="138">
        <f>'Revenues 9-14'!C14</f>
        <v>238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238</v>
      </c>
      <c r="C5071" s="2" t="s">
        <v>573</v>
      </c>
      <c r="D5071" s="2" t="str">
        <f t="shared" si="78"/>
        <v>Error?</v>
      </c>
    </row>
    <row r="5072" spans="1:4" x14ac:dyDescent="0.2">
      <c r="A5072" s="5">
        <v>5011</v>
      </c>
      <c r="B5072" s="138">
        <f>'Revenues 9-14'!C20</f>
        <v>1659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1659</v>
      </c>
      <c r="C5087" s="2" t="s">
        <v>573</v>
      </c>
      <c r="D5087" s="2" t="str">
        <f t="shared" si="78"/>
        <v>Error?</v>
      </c>
    </row>
    <row r="5088" spans="1:4" x14ac:dyDescent="0.2">
      <c r="A5088" s="5">
        <v>5027</v>
      </c>
      <c r="B5088" s="138">
        <f>'Revenues 9-14'!C65</f>
        <v>20604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20604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125</v>
      </c>
      <c r="D5095" s="2" t="str">
        <f t="shared" si="78"/>
        <v>Error?</v>
      </c>
    </row>
    <row r="5096" spans="1:4" x14ac:dyDescent="0.2">
      <c r="A5096" s="5">
        <v>5035</v>
      </c>
      <c r="B5096" s="138">
        <f>'Revenues 9-14'!C75</f>
        <v>144133</v>
      </c>
      <c r="C5096" s="2" t="s">
        <v>573</v>
      </c>
      <c r="D5096" s="2" t="str">
        <f t="shared" si="78"/>
        <v>Error?</v>
      </c>
    </row>
    <row r="5097" spans="1:4" x14ac:dyDescent="0.2">
      <c r="A5097" s="5">
        <v>5036</v>
      </c>
      <c r="B5097" s="138">
        <f>'Revenues 9-14'!C77</f>
        <v>39859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39859</v>
      </c>
      <c r="C5102" s="2" t="s">
        <v>573</v>
      </c>
      <c r="D5102" s="2" t="str">
        <f t="shared" si="78"/>
        <v>Error?</v>
      </c>
    </row>
    <row r="5103" spans="1:4" x14ac:dyDescent="0.2">
      <c r="A5103" s="5">
        <v>5042</v>
      </c>
      <c r="B5103" s="138">
        <f>'Revenues 9-14'!C84</f>
        <v>28547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28547</v>
      </c>
      <c r="C5112" s="2" t="s">
        <v>573</v>
      </c>
      <c r="D5112" s="2" t="str">
        <f t="shared" si="78"/>
        <v>Error?</v>
      </c>
    </row>
    <row r="5113" spans="1:4" x14ac:dyDescent="0.2">
      <c r="A5113" s="5">
        <v>5052</v>
      </c>
      <c r="B5113" s="138">
        <f>'Revenues 9-14'!C95</f>
        <v>3000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42299</v>
      </c>
      <c r="D5118" s="2" t="str">
        <f t="shared" si="78"/>
        <v>Error?</v>
      </c>
    </row>
    <row r="5119" spans="1:4" x14ac:dyDescent="0.2">
      <c r="A5119" s="5">
        <v>5058</v>
      </c>
      <c r="B5119" s="138">
        <f>'Revenues 9-14'!C107</f>
        <v>28501</v>
      </c>
      <c r="D5119" s="2" t="str">
        <f t="shared" ref="D5119:D5182" si="79">IF(ISBLANK(B5119),"OK",IF(A5119-B5119=0,"OK","Error?"))</f>
        <v>Error?</v>
      </c>
    </row>
    <row r="5120" spans="1:4" x14ac:dyDescent="0.2">
      <c r="A5120" s="5">
        <v>5059</v>
      </c>
      <c r="B5120" s="138">
        <f>'Revenues 9-14'!C108</f>
        <v>77250</v>
      </c>
      <c r="C5120" s="2" t="s">
        <v>573</v>
      </c>
      <c r="D5120" s="2" t="str">
        <f t="shared" si="79"/>
        <v>Error?</v>
      </c>
    </row>
    <row r="5121" spans="1:4" x14ac:dyDescent="0.2">
      <c r="A5121" s="5">
        <v>5060</v>
      </c>
      <c r="B5121" s="138">
        <f>'Revenues 9-14'!C109</f>
        <v>1150315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23880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23880</v>
      </c>
      <c r="C5125" s="2" t="s">
        <v>573</v>
      </c>
      <c r="D5125" s="2" t="str">
        <f t="shared" si="79"/>
        <v>Error?</v>
      </c>
    </row>
    <row r="5126" spans="1:4" x14ac:dyDescent="0.2">
      <c r="A5126" s="5">
        <v>5065</v>
      </c>
      <c r="B5126" s="138">
        <f>'Revenues 9-14'!C117</f>
        <v>9930400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9930400</v>
      </c>
      <c r="C5132" s="2" t="s">
        <v>573</v>
      </c>
      <c r="D5132" s="2" t="str">
        <f t="shared" si="79"/>
        <v>Error?</v>
      </c>
    </row>
    <row r="5133" spans="1:4" x14ac:dyDescent="0.2">
      <c r="A5133" s="5">
        <v>5072</v>
      </c>
      <c r="B5133" s="138">
        <f>'Revenues 9-14'!C125</f>
        <v>230594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10190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240784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15760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14445</v>
      </c>
      <c r="D5167" s="2" t="str">
        <f t="shared" si="79"/>
        <v>Error?</v>
      </c>
    </row>
    <row r="5168" spans="1:4" x14ac:dyDescent="0.2">
      <c r="A5168" s="5">
        <v>5107</v>
      </c>
      <c r="B5168" s="138">
        <f>'Revenues 9-14'!C148</f>
        <v>19945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792766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1086254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11016654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581219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192877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774096</v>
      </c>
      <c r="C5246" s="2" t="s">
        <v>573</v>
      </c>
      <c r="D5246" s="2" t="str">
        <f t="shared" si="80"/>
        <v>Error?</v>
      </c>
    </row>
    <row r="5247" spans="1:4" x14ac:dyDescent="0.2">
      <c r="A5247" s="5">
        <v>5186</v>
      </c>
      <c r="B5247" s="138">
        <f>'Revenues 9-14'!C200</f>
        <v>311526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207677</v>
      </c>
      <c r="D5255" s="2" t="str">
        <f t="shared" si="81"/>
        <v>Error?</v>
      </c>
    </row>
    <row r="5256" spans="1:5" x14ac:dyDescent="0.2">
      <c r="A5256" s="5">
        <v>5195</v>
      </c>
      <c r="B5256" s="138">
        <f>'Revenues 9-14'!C206</f>
        <v>21619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546654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10254</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1599162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1599162</v>
      </c>
      <c r="C5326" s="2" t="s">
        <v>573</v>
      </c>
      <c r="D5326" s="2" t="str">
        <f t="shared" si="82"/>
        <v>Error?</v>
      </c>
    </row>
    <row r="5327" spans="1:5" x14ac:dyDescent="0.2">
      <c r="A5327" s="5">
        <v>5266</v>
      </c>
      <c r="B5327" s="138">
        <f>'Revenues 9-14'!C268</f>
        <v>13790011</v>
      </c>
      <c r="C5327" s="2" t="s">
        <v>573</v>
      </c>
      <c r="D5327" s="2" t="str">
        <f t="shared" si="82"/>
        <v>Error?</v>
      </c>
    </row>
    <row r="5328" spans="1:5" x14ac:dyDescent="0.2">
      <c r="A5328" s="5">
        <v>5267</v>
      </c>
      <c r="B5328" s="138">
        <f>'Revenues 9-14'!D5</f>
        <v>217286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217286</v>
      </c>
      <c r="C5334" s="2" t="s">
        <v>573</v>
      </c>
      <c r="D5334" s="2" t="str">
        <f t="shared" si="82"/>
        <v>Error?</v>
      </c>
    </row>
    <row r="5335" spans="1:4" x14ac:dyDescent="0.2">
      <c r="A5335" s="5">
        <v>5274</v>
      </c>
      <c r="B5335" s="138">
        <f>'Revenues 9-14'!D14</f>
        <v>62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119833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119895</v>
      </c>
      <c r="C5339" s="2" t="s">
        <v>573</v>
      </c>
      <c r="D5339" s="2" t="str">
        <f t="shared" si="82"/>
        <v>Error?</v>
      </c>
    </row>
    <row r="5340" spans="1:4" x14ac:dyDescent="0.2">
      <c r="A5340" s="5">
        <v>5279</v>
      </c>
      <c r="B5340" s="138">
        <f>'Revenues 9-14'!D65</f>
        <v>5712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4075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79947</v>
      </c>
      <c r="D5354" s="2" t="str">
        <f t="shared" si="82"/>
        <v>Error?</v>
      </c>
    </row>
    <row r="5355" spans="1:4" x14ac:dyDescent="0.2">
      <c r="A5355" s="5">
        <v>5294</v>
      </c>
      <c r="B5355" s="138">
        <f>'Revenues 9-14'!D108</f>
        <v>84022</v>
      </c>
      <c r="C5355" s="2" t="s">
        <v>573</v>
      </c>
      <c r="D5355" s="2" t="str">
        <f t="shared" si="82"/>
        <v>Error?</v>
      </c>
    </row>
    <row r="5356" spans="1:4" x14ac:dyDescent="0.2">
      <c r="A5356" s="5">
        <v>5295</v>
      </c>
      <c r="B5356" s="138">
        <f>'Revenues 9-14'!D109</f>
        <v>426915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606915</v>
      </c>
      <c r="C5508" s="2" t="s">
        <v>573</v>
      </c>
      <c r="D5508" s="2" t="str">
        <f t="shared" si="85"/>
        <v>Error?</v>
      </c>
    </row>
    <row r="5509" spans="1:4" x14ac:dyDescent="0.2">
      <c r="A5509" s="5">
        <v>5448</v>
      </c>
      <c r="B5509" s="138">
        <f>'Revenues 9-14'!E5</f>
        <v>346523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346523</v>
      </c>
      <c r="C5513" s="2" t="s">
        <v>573</v>
      </c>
      <c r="D5513" s="2" t="str">
        <f t="shared" si="85"/>
        <v>Error?</v>
      </c>
    </row>
    <row r="5514" spans="1:4" x14ac:dyDescent="0.2">
      <c r="A5514" s="5">
        <v>5453</v>
      </c>
      <c r="B5514" s="138">
        <f>'Revenues 9-14'!E14</f>
        <v>99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99</v>
      </c>
      <c r="C5518" s="2" t="s">
        <v>573</v>
      </c>
      <c r="D5518" s="2" t="str">
        <f t="shared" si="85"/>
        <v>Error?</v>
      </c>
    </row>
    <row r="5519" spans="1:4" x14ac:dyDescent="0.2">
      <c r="A5519" s="5">
        <v>5458</v>
      </c>
      <c r="B5519" s="138">
        <f>'Revenues 9-14'!E65</f>
        <v>926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926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26601</v>
      </c>
      <c r="D5525" s="2" t="str">
        <f t="shared" si="85"/>
        <v>Error?</v>
      </c>
    </row>
    <row r="5526" spans="1:4" x14ac:dyDescent="0.2">
      <c r="A5526" s="5">
        <v>5465</v>
      </c>
      <c r="B5526" s="138">
        <f>'Revenues 9-14'!E108</f>
        <v>190811</v>
      </c>
      <c r="C5526" s="2" t="s">
        <v>573</v>
      </c>
      <c r="D5526" s="2" t="str">
        <f t="shared" si="85"/>
        <v>Error?</v>
      </c>
    </row>
    <row r="5527" spans="1:4" x14ac:dyDescent="0.2">
      <c r="A5527" s="5">
        <v>5466</v>
      </c>
      <c r="B5527" s="138">
        <f>'Revenues 9-14'!E109</f>
        <v>538359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538359</v>
      </c>
      <c r="C5552" s="2" t="s">
        <v>573</v>
      </c>
      <c r="D5552" s="2" t="str">
        <f t="shared" si="85"/>
        <v>Error?</v>
      </c>
    </row>
    <row r="5553" spans="1:4" x14ac:dyDescent="0.2">
      <c r="A5553" s="5">
        <v>5492</v>
      </c>
      <c r="B5553" s="138">
        <f>'Revenues 9-14'!F5</f>
        <v>86914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86914</v>
      </c>
      <c r="C5557" s="2" t="s">
        <v>573</v>
      </c>
      <c r="D5557" s="2" t="str">
        <f t="shared" si="85"/>
        <v>Error?</v>
      </c>
    </row>
    <row r="5558" spans="1:4" x14ac:dyDescent="0.2">
      <c r="A5558" s="5">
        <v>5497</v>
      </c>
      <c r="B5558" s="138">
        <f>'Revenues 9-14'!F14</f>
        <v>25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108275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108300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3610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3610</v>
      </c>
      <c r="C5579" s="2" t="s">
        <v>573</v>
      </c>
      <c r="D5579" s="2" t="str">
        <f t="shared" si="86"/>
        <v>Error?</v>
      </c>
    </row>
    <row r="5580" spans="1:4" x14ac:dyDescent="0.2">
      <c r="A5580" s="5">
        <v>5519</v>
      </c>
      <c r="B5580" s="138">
        <f>'Revenues 9-14'!F65</f>
        <v>4607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4607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203431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66497</v>
      </c>
      <c r="D5615" s="2" t="str">
        <f t="shared" si="86"/>
        <v>Error?</v>
      </c>
    </row>
    <row r="5616" spans="1:4" x14ac:dyDescent="0.2">
      <c r="A5616" s="10">
        <v>5555</v>
      </c>
      <c r="D5616" s="2" t="str">
        <f t="shared" si="86"/>
        <v>OK</v>
      </c>
    </row>
    <row r="5617" spans="1:5" x14ac:dyDescent="0.2">
      <c r="A5617" s="5">
        <v>5556</v>
      </c>
      <c r="B5617" s="138">
        <f>'Revenues 9-14'!F153</f>
        <v>137700</v>
      </c>
      <c r="D5617" s="2" t="str">
        <f t="shared" si="86"/>
        <v>Error?</v>
      </c>
    </row>
    <row r="5618" spans="1:5" x14ac:dyDescent="0.2">
      <c r="A5618" s="5">
        <v>5557</v>
      </c>
      <c r="B5618" s="138">
        <f>'Revenues 9-14'!F155</f>
        <v>204197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204197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264197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467628</v>
      </c>
      <c r="C5720" s="2" t="s">
        <v>573</v>
      </c>
      <c r="D5720" s="2" t="str">
        <f t="shared" si="88"/>
        <v>Error?</v>
      </c>
    </row>
    <row r="5721" spans="1:4" x14ac:dyDescent="0.2">
      <c r="A5721" s="5">
        <v>5660</v>
      </c>
      <c r="B5721" s="138">
        <f>'Revenues 9-14'!G5</f>
        <v>175041</v>
      </c>
      <c r="D5721" s="2" t="str">
        <f t="shared" si="88"/>
        <v>Error?</v>
      </c>
    </row>
    <row r="5722" spans="1:4" x14ac:dyDescent="0.2">
      <c r="A5722" s="5">
        <v>5661</v>
      </c>
      <c r="B5722" s="138">
        <f>'Revenues 9-14'!G7</f>
        <v>0</v>
      </c>
      <c r="D5722" s="2" t="str">
        <f t="shared" si="88"/>
        <v>Error?</v>
      </c>
    </row>
    <row r="5723" spans="1:4" x14ac:dyDescent="0.2">
      <c r="A5723" s="5">
        <v>5662</v>
      </c>
      <c r="B5723" s="138">
        <f>'Revenues 9-14'!G8</f>
        <v>175041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350082</v>
      </c>
      <c r="C5725" s="2" t="s">
        <v>573</v>
      </c>
      <c r="D5725" s="2" t="str">
        <f t="shared" si="88"/>
        <v>Error?</v>
      </c>
    </row>
    <row r="5726" spans="1:4" x14ac:dyDescent="0.2">
      <c r="A5726" s="5">
        <v>5665</v>
      </c>
      <c r="B5726" s="138">
        <f>'Revenues 9-14'!G14</f>
        <v>100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44100</v>
      </c>
      <c r="C5730" s="2" t="s">
        <v>573</v>
      </c>
      <c r="D5730" s="2" t="str">
        <f t="shared" si="88"/>
        <v>Error?</v>
      </c>
    </row>
    <row r="5731" spans="1:4" x14ac:dyDescent="0.2">
      <c r="A5731" s="5">
        <v>5670</v>
      </c>
      <c r="B5731" s="138">
        <f>'Revenues 9-14'!G65</f>
        <v>4217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398399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2968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2968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329935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332903</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7184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7184</v>
      </c>
      <c r="C5987" s="2" t="s">
        <v>573</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573</v>
      </c>
      <c r="D5992" s="2" t="str">
        <f t="shared" si="92"/>
        <v>Error?</v>
      </c>
    </row>
    <row r="5993" spans="1:4" x14ac:dyDescent="0.2">
      <c r="A5993" s="5">
        <v>5932</v>
      </c>
      <c r="B5993" s="138">
        <f>'Revenues 9-14'!K65</f>
        <v>778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7964</v>
      </c>
      <c r="C6023" s="2" t="s">
        <v>573</v>
      </c>
      <c r="D6023" s="2" t="str">
        <f t="shared" si="93"/>
        <v>Error?</v>
      </c>
    </row>
    <row r="6024" spans="1:5" x14ac:dyDescent="0.2">
      <c r="A6024" s="5">
        <v>5963</v>
      </c>
      <c r="B6024" s="138">
        <f>'Revenues 9-14'!G109</f>
        <v>398399</v>
      </c>
      <c r="C6024" s="2" t="s">
        <v>573</v>
      </c>
      <c r="D6024" s="2" t="str">
        <f t="shared" si="93"/>
        <v>Error?</v>
      </c>
    </row>
    <row r="6025" spans="1:5" x14ac:dyDescent="0.2">
      <c r="A6025" s="5">
        <v>5964</v>
      </c>
      <c r="B6025" s="138">
        <f>'Revenues 9-14'!H109</f>
        <v>332903</v>
      </c>
      <c r="C6025" s="2" t="s">
        <v>573</v>
      </c>
      <c r="D6025" s="2" t="str">
        <f t="shared" si="93"/>
        <v>Error?</v>
      </c>
    </row>
    <row r="6026" spans="1:5" x14ac:dyDescent="0.2">
      <c r="A6026" s="5">
        <v>5965</v>
      </c>
      <c r="B6026" s="138">
        <f>'Revenues 9-14'!I109</f>
        <v>2432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7964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144008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65273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1579.35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59</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13161</v>
      </c>
      <c r="D6085" s="2" t="str">
        <f t="shared" si="94"/>
        <v>Error?</v>
      </c>
      <c r="E6085" s="2" t="s">
        <v>190</v>
      </c>
    </row>
    <row r="6086" spans="1:5" x14ac:dyDescent="0.2">
      <c r="A6086">
        <v>6025</v>
      </c>
      <c r="B6086" s="138">
        <f>'Assets-Liab 5-6'!H7</f>
        <v>100000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14863</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9388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759981</v>
      </c>
      <c r="D6124" s="2" t="str">
        <f t="shared" si="94"/>
        <v>Error?</v>
      </c>
      <c r="E6124" s="2" t="s">
        <v>190</v>
      </c>
    </row>
    <row r="6125" spans="1:5" x14ac:dyDescent="0.2">
      <c r="A6125">
        <v>6064</v>
      </c>
      <c r="B6125" s="138">
        <f>'Assets-Liab 5-6'!C25</f>
        <v>48024</v>
      </c>
      <c r="D6125" s="2" t="str">
        <f t="shared" si="94"/>
        <v>Error?</v>
      </c>
      <c r="E6125" s="2" t="s">
        <v>190</v>
      </c>
    </row>
    <row r="6126" spans="1:5" x14ac:dyDescent="0.2">
      <c r="A6126">
        <v>6065</v>
      </c>
      <c r="B6126" s="138">
        <f>'Assets-Liab 5-6'!D25</f>
        <v>80000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59</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759981</v>
      </c>
      <c r="D6215" s="2" t="str">
        <f t="shared" si="96"/>
        <v>Error?</v>
      </c>
      <c r="E6215" s="2" t="s">
        <v>190</v>
      </c>
    </row>
    <row r="6216" spans="1:5" x14ac:dyDescent="0.2">
      <c r="A6216">
        <v>6155</v>
      </c>
      <c r="B6216" s="138">
        <f>'Assets-Liab 5-6'!J41</f>
        <v>759981</v>
      </c>
      <c r="D6216" s="2" t="str">
        <f t="shared" si="96"/>
        <v>Error?</v>
      </c>
      <c r="E6216" s="2" t="s">
        <v>190</v>
      </c>
    </row>
    <row r="6217" spans="1:5" x14ac:dyDescent="0.2">
      <c r="A6217">
        <v>6156</v>
      </c>
      <c r="B6217" s="138">
        <f>'Assets-Liab 5-6'!J4</f>
        <v>745118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344737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344737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344737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331375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331375</v>
      </c>
      <c r="D6229" s="2" t="str">
        <f t="shared" si="96"/>
        <v>Error?</v>
      </c>
      <c r="E6229" s="2" t="s">
        <v>190</v>
      </c>
    </row>
    <row r="6230" spans="1:5" x14ac:dyDescent="0.2">
      <c r="A6230">
        <v>6169</v>
      </c>
      <c r="B6230" s="138">
        <f>'Acct Summary 7-8'!J20</f>
        <v>13362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13362</v>
      </c>
      <c r="D6263" s="2" t="str">
        <f t="shared" si="96"/>
        <v>Error?</v>
      </c>
      <c r="E6263" s="2" t="s">
        <v>190</v>
      </c>
    </row>
    <row r="6264" spans="1:5" x14ac:dyDescent="0.2">
      <c r="A6264">
        <v>6203</v>
      </c>
      <c r="B6264" s="138">
        <f>'Acct Summary 7-8'!J79</f>
        <v>746619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759981</v>
      </c>
      <c r="D6266" s="2" t="str">
        <f t="shared" si="96"/>
        <v>Error?</v>
      </c>
      <c r="E6266" s="2" t="s">
        <v>190</v>
      </c>
    </row>
    <row r="6267" spans="1:5" x14ac:dyDescent="0.2">
      <c r="A6267">
        <v>6206</v>
      </c>
      <c r="B6267" s="138">
        <f>'Acct Summary 7-8'!C82</f>
        <v>1580992</v>
      </c>
      <c r="D6267" s="2" t="str">
        <f t="shared" si="96"/>
        <v>Error?</v>
      </c>
      <c r="E6267" s="2" t="s">
        <v>190</v>
      </c>
    </row>
    <row r="6268" spans="1:5" x14ac:dyDescent="0.2">
      <c r="A6268">
        <v>6207</v>
      </c>
      <c r="B6268" s="138">
        <f>'Acct Summary 7-8'!D82</f>
        <v>74971</v>
      </c>
      <c r="D6268" s="2" t="str">
        <f t="shared" si="96"/>
        <v>Error?</v>
      </c>
      <c r="E6268" s="2" t="s">
        <v>190</v>
      </c>
    </row>
    <row r="6269" spans="1:5" x14ac:dyDescent="0.2">
      <c r="A6269">
        <v>6208</v>
      </c>
      <c r="B6269" s="138">
        <f>'Acct Summary 7-8'!E82</f>
        <v>-357026</v>
      </c>
      <c r="D6269" s="2" t="str">
        <f t="shared" si="96"/>
        <v>Error?</v>
      </c>
      <c r="E6269" s="2" t="s">
        <v>190</v>
      </c>
    </row>
    <row r="6270" spans="1:5" x14ac:dyDescent="0.2">
      <c r="A6270">
        <v>6209</v>
      </c>
      <c r="B6270" s="138">
        <f>'Acct Summary 7-8'!F82</f>
        <v>117334</v>
      </c>
      <c r="D6270" s="2" t="str">
        <f t="shared" si="96"/>
        <v>Error?</v>
      </c>
      <c r="E6270" s="2" t="s">
        <v>190</v>
      </c>
    </row>
    <row r="6271" spans="1:5" x14ac:dyDescent="0.2">
      <c r="A6271">
        <v>6210</v>
      </c>
      <c r="B6271" s="138">
        <f>'Acct Summary 7-8'!G82</f>
        <v>-34305</v>
      </c>
      <c r="D6271" s="2" t="str">
        <f t="shared" ref="D6271:D6334" si="97">IF(ISBLANK(B6271),"OK",IF(A6271-B6271=0,"OK","Error?"))</f>
        <v>Error?</v>
      </c>
      <c r="E6271" s="2" t="s">
        <v>190</v>
      </c>
    </row>
    <row r="6272" spans="1:5" x14ac:dyDescent="0.2">
      <c r="A6272">
        <v>6211</v>
      </c>
      <c r="B6272" s="138">
        <f>'Acct Summary 7-8'!H82</f>
        <v>332903</v>
      </c>
      <c r="D6272" s="2" t="str">
        <f t="shared" si="97"/>
        <v>Error?</v>
      </c>
      <c r="E6272" s="2" t="s">
        <v>190</v>
      </c>
    </row>
    <row r="6273" spans="1:5" x14ac:dyDescent="0.2">
      <c r="A6273">
        <v>6212</v>
      </c>
      <c r="B6273" s="138">
        <f>'Acct Summary 7-8'!I82</f>
        <v>2432</v>
      </c>
      <c r="D6273" s="2" t="str">
        <f t="shared" si="97"/>
        <v>Error?</v>
      </c>
      <c r="E6273" s="2" t="s">
        <v>190</v>
      </c>
    </row>
    <row r="6274" spans="1:5" x14ac:dyDescent="0.2">
      <c r="A6274">
        <v>6213</v>
      </c>
      <c r="B6274" s="138">
        <f>'Acct Summary 7-8'!J82</f>
        <v>13362</v>
      </c>
      <c r="D6274" s="2" t="str">
        <f t="shared" si="97"/>
        <v>Error?</v>
      </c>
      <c r="E6274" s="2" t="s">
        <v>190</v>
      </c>
    </row>
    <row r="6275" spans="1:5" x14ac:dyDescent="0.2">
      <c r="A6275">
        <v>6214</v>
      </c>
      <c r="B6275" s="138">
        <f>'Acct Summary 7-8'!K82</f>
        <v>957964</v>
      </c>
      <c r="D6275" s="2" t="str">
        <f t="shared" si="97"/>
        <v>Error?</v>
      </c>
      <c r="E6275" s="2" t="s">
        <v>190</v>
      </c>
    </row>
    <row r="6276" spans="1:5" x14ac:dyDescent="0.2">
      <c r="A6276">
        <v>6215</v>
      </c>
      <c r="B6276" s="138">
        <f>'Acct Summary 7-8'!C83</f>
        <v>0.21815972988349439</v>
      </c>
      <c r="D6276" s="2" t="str">
        <f t="shared" si="97"/>
        <v>Error?</v>
      </c>
      <c r="E6276" s="2" t="s">
        <v>190</v>
      </c>
    </row>
    <row r="6277" spans="1:5" x14ac:dyDescent="0.2">
      <c r="A6277">
        <v>6216</v>
      </c>
      <c r="B6277" s="138">
        <f>'Acct Summary 7-8'!D83</f>
        <v>5.2208362697389127E-2</v>
      </c>
      <c r="D6277" s="2" t="str">
        <f t="shared" si="97"/>
        <v>Error?</v>
      </c>
      <c r="E6277" s="2" t="s">
        <v>190</v>
      </c>
    </row>
    <row r="6278" spans="1:5" x14ac:dyDescent="0.2">
      <c r="A6278">
        <v>6217</v>
      </c>
      <c r="B6278" s="138">
        <f>'Acct Summary 7-8'!E83</f>
        <v>-14.529198714035731</v>
      </c>
      <c r="D6278" s="2" t="str">
        <f t="shared" si="97"/>
        <v>Error?</v>
      </c>
      <c r="E6278" s="2" t="s">
        <v>190</v>
      </c>
    </row>
    <row r="6279" spans="1:5" x14ac:dyDescent="0.2">
      <c r="A6279">
        <v>6218</v>
      </c>
      <c r="B6279" s="138">
        <f>'Acct Summary 7-8'!F83</f>
        <v>9.23389533858823E-2</v>
      </c>
      <c r="D6279" s="2" t="str">
        <f t="shared" si="97"/>
        <v>Error?</v>
      </c>
      <c r="E6279" s="2" t="s">
        <v>190</v>
      </c>
    </row>
    <row r="6280" spans="1:5" x14ac:dyDescent="0.2">
      <c r="A6280">
        <v>6219</v>
      </c>
      <c r="B6280" s="138">
        <f>'Acct Summary 7-8'!G83</f>
        <v>-3.8725955025738279E-2</v>
      </c>
      <c r="D6280" s="2" t="str">
        <f t="shared" si="97"/>
        <v>Error?</v>
      </c>
      <c r="E6280" s="2" t="s">
        <v>190</v>
      </c>
    </row>
    <row r="6281" spans="1:5" x14ac:dyDescent="0.2">
      <c r="A6281">
        <v>6220</v>
      </c>
      <c r="B6281" s="138">
        <f>'Acct Summary 7-8'!H83</f>
        <v>0.28838775458934351</v>
      </c>
      <c r="D6281" s="2" t="str">
        <f t="shared" si="97"/>
        <v>Error?</v>
      </c>
      <c r="E6281" s="2" t="s">
        <v>190</v>
      </c>
    </row>
    <row r="6282" spans="1:5" x14ac:dyDescent="0.2">
      <c r="A6282">
        <v>6221</v>
      </c>
      <c r="B6282" s="138">
        <f>'Acct Summary 7-8'!I83</f>
        <v>2.9952214394797774E-3</v>
      </c>
      <c r="D6282" s="2" t="str">
        <f t="shared" si="97"/>
        <v>Error?</v>
      </c>
      <c r="E6282" s="2" t="s">
        <v>190</v>
      </c>
    </row>
    <row r="6283" spans="1:5" x14ac:dyDescent="0.2">
      <c r="A6283">
        <v>6222</v>
      </c>
      <c r="B6283" s="138">
        <f>'Acct Summary 7-8'!J83</f>
        <v>1.7582018497830868E-2</v>
      </c>
      <c r="D6283" s="2" t="str">
        <f t="shared" si="97"/>
        <v>Error?</v>
      </c>
      <c r="E6283" s="2" t="s">
        <v>190</v>
      </c>
    </row>
    <row r="6284" spans="1:5" x14ac:dyDescent="0.2">
      <c r="A6284">
        <v>6223</v>
      </c>
      <c r="B6284" s="138">
        <f>'Acct Summary 7-8'!K83</f>
        <v>0.99654213929644397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341213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341213</v>
      </c>
      <c r="D6301" s="2" t="str">
        <f t="shared" si="97"/>
        <v>Error?</v>
      </c>
      <c r="E6301" s="2" t="s">
        <v>190</v>
      </c>
    </row>
    <row r="6302" spans="1:5" x14ac:dyDescent="0.2">
      <c r="A6302">
        <v>6241</v>
      </c>
      <c r="B6302" s="138">
        <f>'Revenues 9-14'!J14</f>
        <v>97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3427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3427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3450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344737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15760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1354</v>
      </c>
      <c r="D7016" s="2" t="str">
        <f t="shared" si="108"/>
        <v>Error?</v>
      </c>
    </row>
    <row r="7017" spans="1:4" x14ac:dyDescent="0.2">
      <c r="A7017">
        <v>6956</v>
      </c>
      <c r="B7017" s="138">
        <f>'Expenditures 15-22'!K111</f>
        <v>1354</v>
      </c>
      <c r="D7017" s="2" t="str">
        <f t="shared" si="108"/>
        <v>Error?</v>
      </c>
    </row>
    <row r="7018" spans="1:4" x14ac:dyDescent="0.2">
      <c r="A7018">
        <v>6957</v>
      </c>
      <c r="B7018" s="138">
        <f>'Expenditures 15-22'!H112</f>
        <v>1354</v>
      </c>
      <c r="D7018" s="2" t="str">
        <f t="shared" si="108"/>
        <v>Error?</v>
      </c>
    </row>
    <row r="7019" spans="1:4" x14ac:dyDescent="0.2">
      <c r="A7019">
        <v>6958</v>
      </c>
      <c r="B7019" s="138">
        <f>'Expenditures 15-22'!K112</f>
        <v>1354</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331375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344737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7667</v>
      </c>
      <c r="D7067" s="2" t="str">
        <f t="shared" si="109"/>
        <v>Error?</v>
      </c>
    </row>
    <row r="7068" spans="1:4" x14ac:dyDescent="0.2">
      <c r="A7068">
        <v>7007</v>
      </c>
      <c r="B7068" s="138">
        <f>'Expenditures 15-22'!K205</f>
        <v>7667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95317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95317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153647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30971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184618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51440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51440</v>
      </c>
      <c r="D7198" s="2" t="str">
        <f t="shared" si="111"/>
        <v>Error?</v>
      </c>
    </row>
    <row r="7199" spans="1:4" x14ac:dyDescent="0.2">
      <c r="A7199">
        <v>7138</v>
      </c>
      <c r="B7199" s="138">
        <f>'Expenditures 15-22'!C330</f>
        <v>153647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177728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331375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153647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177728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331375</v>
      </c>
      <c r="D7224" s="2" t="str">
        <f t="shared" si="111"/>
        <v>Error?</v>
      </c>
    </row>
    <row r="7225" spans="1:4" x14ac:dyDescent="0.2">
      <c r="A7225">
        <v>7164</v>
      </c>
      <c r="B7225" s="138">
        <f>'Expenditures 15-22'!K343</f>
        <v>13362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835104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1201043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3450</v>
      </c>
      <c r="D7712" s="2" t="str">
        <f t="shared" si="126"/>
        <v>Error?</v>
      </c>
      <c r="E7712" s="2" t="s">
        <v>827</v>
      </c>
    </row>
    <row r="7713" spans="1:6" x14ac:dyDescent="0.2">
      <c r="A7713">
        <v>7652</v>
      </c>
      <c r="B7713" s="138">
        <f>'Rest Tax Levies-Tort Im 25'!J8</f>
        <v>494145</v>
      </c>
      <c r="D7713" s="2" t="str">
        <f t="shared" si="126"/>
        <v>Error?</v>
      </c>
      <c r="E7713" s="2" t="s">
        <v>827</v>
      </c>
    </row>
    <row r="7714" spans="1:6" x14ac:dyDescent="0.2">
      <c r="A7714">
        <v>7653</v>
      </c>
      <c r="B7714" s="138">
        <f>'Rest Tax Levies-Tort Im 25'!K9</f>
        <v>19945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494145</v>
      </c>
      <c r="D7718" s="2" t="str">
        <f t="shared" si="126"/>
        <v>Error?</v>
      </c>
      <c r="E7718" s="2" t="s">
        <v>827</v>
      </c>
    </row>
    <row r="7719" spans="1:6" x14ac:dyDescent="0.2">
      <c r="A7719">
        <v>7658</v>
      </c>
      <c r="B7719" s="138">
        <f>'Rest Tax Levies-Tort Im 25'!K12</f>
        <v>23395</v>
      </c>
      <c r="D7719" s="2" t="str">
        <f t="shared" si="126"/>
        <v>Error?</v>
      </c>
      <c r="E7719" s="2" t="s">
        <v>827</v>
      </c>
    </row>
    <row r="7720" spans="1:6" x14ac:dyDescent="0.2">
      <c r="A7720">
        <v>7659</v>
      </c>
      <c r="B7720" s="138">
        <f>'Rest Tax Levies-Tort Im 25'!H14</f>
        <v>16994</v>
      </c>
      <c r="D7720" s="2" t="str">
        <f t="shared" si="126"/>
        <v>Error?</v>
      </c>
      <c r="E7720" s="2" t="s">
        <v>827</v>
      </c>
    </row>
    <row r="7721" spans="1:6" x14ac:dyDescent="0.2">
      <c r="A7721">
        <v>7660</v>
      </c>
      <c r="B7721" s="138">
        <f>'Rest Tax Levies-Tort Im 25'!K14</f>
        <v>23395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521236</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521236</v>
      </c>
      <c r="D7727" s="2" t="str">
        <f t="shared" si="126"/>
        <v>Error?</v>
      </c>
      <c r="E7727" s="2" t="s">
        <v>827</v>
      </c>
    </row>
    <row r="7728" spans="1:6" x14ac:dyDescent="0.2">
      <c r="A7728">
        <v>7667</v>
      </c>
      <c r="B7728" s="138">
        <f>'Revenues 9-14'!E103</f>
        <v>164210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521236</v>
      </c>
      <c r="D7730" s="2" t="str">
        <f t="shared" si="126"/>
        <v>Error?</v>
      </c>
      <c r="E7730" s="2" t="s">
        <v>827</v>
      </c>
    </row>
    <row r="7731" spans="1:6" x14ac:dyDescent="0.2">
      <c r="A7731">
        <v>7670</v>
      </c>
      <c r="B7731" s="138">
        <f>'Revenues 9-14'!H103</f>
        <v>329935</v>
      </c>
      <c r="D7731" s="2" t="str">
        <f t="shared" si="126"/>
        <v>Error?</v>
      </c>
      <c r="E7731" s="2" t="s">
        <v>827</v>
      </c>
    </row>
    <row r="7732" spans="1:6" x14ac:dyDescent="0.2">
      <c r="A7732">
        <v>7671</v>
      </c>
      <c r="B7732" s="138">
        <f>'Rest Tax Levies-Tort Im 25'!J24</f>
        <v>1173952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1173952</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565496</v>
      </c>
      <c r="D7797" s="2" t="str">
        <f t="shared" si="127"/>
        <v>Error?</v>
      </c>
      <c r="E7797" s="4" t="s">
        <v>1901</v>
      </c>
    </row>
    <row r="7798" spans="1:5" x14ac:dyDescent="0.2">
      <c r="A7798">
        <v>7737</v>
      </c>
      <c r="B7798" s="138">
        <f>'Contracts Paid in CY 29'!F141</f>
        <v>125000</v>
      </c>
      <c r="D7798" s="2" t="str">
        <f t="shared" si="127"/>
        <v>Error?</v>
      </c>
      <c r="E7798" s="4" t="s">
        <v>1901</v>
      </c>
    </row>
    <row r="7799" spans="1:5" x14ac:dyDescent="0.2">
      <c r="A7799">
        <v>7738</v>
      </c>
      <c r="B7799" s="138">
        <f>'Contracts Paid in CY 29'!G141</f>
        <v>440496</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5" sqref="A15:F1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1986</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Beardstown CUSD 15</v>
      </c>
      <c r="B7" s="2387"/>
      <c r="C7" s="2387"/>
      <c r="D7" s="2424"/>
      <c r="E7" s="2425">
        <f>COVER!A13</f>
        <v>1009015026</v>
      </c>
      <c r="F7" s="2426"/>
      <c r="G7" s="2393" t="str">
        <f>COVER!T23</f>
        <v>060-004845</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 xml:space="preserve">Pehlman and Dold, P.C.                 </v>
      </c>
      <c r="H9" s="2400"/>
      <c r="I9" s="2400"/>
      <c r="J9" s="2400"/>
      <c r="K9" s="2400"/>
      <c r="L9" s="2401"/>
    </row>
    <row r="10" spans="1:29" ht="13.5" customHeight="1" x14ac:dyDescent="0.2">
      <c r="A10" s="2383" t="str">
        <f>COVER!A38</f>
        <v>Ron Gilbert, Superintendent</v>
      </c>
      <c r="B10" s="2384"/>
      <c r="C10" s="2384"/>
      <c r="D10" s="2384"/>
      <c r="E10" s="2384"/>
      <c r="F10" s="2385"/>
      <c r="G10" s="2399" t="str">
        <f>COVER!T17</f>
        <v>100 North Amos Avenue</v>
      </c>
      <c r="H10" s="2412"/>
      <c r="I10" s="2412"/>
      <c r="J10" s="2412"/>
      <c r="K10" s="2412"/>
      <c r="L10" s="2413"/>
    </row>
    <row r="11" spans="1:29" ht="13.5" customHeight="1" x14ac:dyDescent="0.2">
      <c r="A11" s="1184" t="s">
        <v>1519</v>
      </c>
      <c r="B11" s="1185"/>
      <c r="C11" s="1186"/>
      <c r="D11" s="1191"/>
      <c r="E11" s="1186"/>
      <c r="F11" s="1190"/>
      <c r="G11" s="2399" t="str">
        <f>COVER!T19</f>
        <v>Springfield</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dfitzgerald@p-dcpas.cpm</v>
      </c>
      <c r="J13" s="2421"/>
      <c r="K13" s="2421"/>
      <c r="L13" s="2422"/>
    </row>
    <row r="14" spans="1:29" ht="13.5" customHeight="1" x14ac:dyDescent="0.2">
      <c r="A14" s="2399" t="str">
        <f>COVER!A19</f>
        <v>500 East 15th Street</v>
      </c>
      <c r="B14" s="2412"/>
      <c r="C14" s="2412"/>
      <c r="D14" s="2412"/>
      <c r="E14" s="2412"/>
      <c r="F14" s="2413"/>
      <c r="G14" s="1195" t="s">
        <v>1185</v>
      </c>
      <c r="H14" s="1193"/>
      <c r="I14" s="1193"/>
      <c r="J14" s="1193"/>
      <c r="K14" s="1193"/>
      <c r="L14" s="1194"/>
    </row>
    <row r="15" spans="1:29" ht="13.5" customHeight="1" x14ac:dyDescent="0.2">
      <c r="A15" s="2399" t="str">
        <f>COVER!A21</f>
        <v>Beardstown, IL</v>
      </c>
      <c r="B15" s="2412"/>
      <c r="C15" s="2412"/>
      <c r="D15" s="2412"/>
      <c r="E15" s="2412"/>
      <c r="F15" s="2413"/>
      <c r="G15" s="2409" t="str">
        <f>COVER!T15</f>
        <v>Dorinda L Fitzgerald</v>
      </c>
      <c r="H15" s="2410"/>
      <c r="I15" s="2410"/>
      <c r="J15" s="2410"/>
      <c r="K15" s="2410"/>
      <c r="L15" s="2411"/>
    </row>
    <row r="16" spans="1:29" ht="12.2" customHeight="1" x14ac:dyDescent="0.2">
      <c r="A16" s="2389">
        <f>COVER!A25</f>
        <v>62618</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(217) 787-0563</v>
      </c>
      <c r="H18" s="2387"/>
      <c r="I18" s="2387"/>
      <c r="J18" s="2387"/>
      <c r="K18" s="2386" t="str">
        <f>COVER!X21</f>
        <v>(217) 787-9266</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15" sqref="A15:F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Beardstown CUSD 15</v>
      </c>
      <c r="B1" s="2423"/>
      <c r="C1" s="2423"/>
      <c r="D1" s="2423"/>
    </row>
    <row r="2" spans="1:11" s="1212" customFormat="1" ht="12.75" x14ac:dyDescent="0.2">
      <c r="A2" s="2428">
        <f>'Single Audit Cover'!E7</f>
        <v>1009015026</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Beardstown CUSD 15</v>
      </c>
      <c r="B1" s="2431"/>
      <c r="C1" s="2431"/>
      <c r="D1" s="2431"/>
      <c r="E1" s="2431"/>
    </row>
    <row r="2" spans="1:5" x14ac:dyDescent="0.2">
      <c r="A2" s="2432">
        <f>'Single Audit Cover'!E7</f>
        <v>1009015026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1599162</v>
      </c>
    </row>
    <row r="11" spans="1:5" ht="18" customHeight="1" x14ac:dyDescent="0.2">
      <c r="A11" s="1258" t="s">
        <v>1240</v>
      </c>
      <c r="B11" s="1259"/>
      <c r="C11" s="1259"/>
    </row>
    <row r="12" spans="1:5" x14ac:dyDescent="0.2">
      <c r="A12" s="1258" t="s">
        <v>1239</v>
      </c>
      <c r="B12" s="1259" t="s">
        <v>1238</v>
      </c>
      <c r="C12" s="1259"/>
      <c r="D12" s="1261">
        <f>SUM('Revenues 9-14'!C112:D112,'Revenues 9-14'!F112:G112)</f>
        <v>23880</v>
      </c>
    </row>
    <row r="13" spans="1:5" x14ac:dyDescent="0.2">
      <c r="A13" s="1258" t="s">
        <v>1237</v>
      </c>
      <c r="B13" s="1259"/>
      <c r="C13" s="1259"/>
    </row>
    <row r="14" spans="1:5" x14ac:dyDescent="0.2">
      <c r="A14" s="1258" t="s">
        <v>1727</v>
      </c>
      <c r="B14" s="1259"/>
      <c r="C14" s="1259"/>
      <c r="D14" s="1261">
        <f>'ICR Computation 30'!E11</f>
        <v>65273</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-133864</v>
      </c>
    </row>
    <row r="19" spans="1:4" ht="13.5" thickBot="1" x14ac:dyDescent="0.25">
      <c r="A19" s="1262" t="s">
        <v>1235</v>
      </c>
      <c r="D19" s="1263">
        <f>SUM(D10:D17)</f>
        <v>1554451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1554451</v>
      </c>
    </row>
    <row r="33" spans="1:4" x14ac:dyDescent="0.2">
      <c r="D33" s="1266"/>
    </row>
    <row r="34" spans="1:4" x14ac:dyDescent="0.2">
      <c r="A34" s="317" t="s">
        <v>1232</v>
      </c>
    </row>
    <row r="35" spans="1:4" x14ac:dyDescent="0.2">
      <c r="A35" s="317" t="s">
        <v>1231</v>
      </c>
      <c r="B35" s="1255" t="s">
        <v>1230</v>
      </c>
      <c r="D35" s="1267">
        <v>1554451</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1554451</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2" sqref="B2:M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Beardstown CUSD 15</v>
      </c>
      <c r="C1" s="2435"/>
      <c r="D1" s="2435"/>
      <c r="E1" s="2435"/>
      <c r="F1" s="2435"/>
      <c r="G1" s="2435"/>
      <c r="H1" s="2435"/>
      <c r="I1" s="2435"/>
      <c r="J1" s="2435"/>
      <c r="K1" s="2435"/>
      <c r="L1" s="2435"/>
      <c r="M1" s="2435"/>
    </row>
    <row r="2" spans="2:14" ht="15" x14ac:dyDescent="0.2">
      <c r="B2" s="2436">
        <f>'Single Audit Cover'!E7</f>
        <v>1009015026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2099</v>
      </c>
      <c r="C11" s="1335"/>
      <c r="D11" s="1336"/>
      <c r="E11" s="1337"/>
      <c r="F11" s="1337"/>
      <c r="G11" s="1337"/>
      <c r="H11" s="1337"/>
      <c r="I11" s="1337"/>
      <c r="J11" s="1337"/>
      <c r="K11" s="1337"/>
      <c r="L11" s="1337"/>
      <c r="M11" s="1337"/>
    </row>
    <row r="12" spans="2:14" ht="20.100000000000001" customHeight="1" x14ac:dyDescent="0.2">
      <c r="B12" s="1334" t="s">
        <v>2100</v>
      </c>
      <c r="C12" s="1338"/>
      <c r="D12" s="1339"/>
      <c r="E12" s="1340"/>
      <c r="F12" s="1340"/>
      <c r="G12" s="1340"/>
      <c r="H12" s="1340"/>
      <c r="I12" s="1340"/>
      <c r="J12" s="1340"/>
      <c r="K12" s="1340"/>
      <c r="L12" s="1337"/>
      <c r="M12" s="1340"/>
    </row>
    <row r="13" spans="2:14" ht="20.100000000000001" customHeight="1" x14ac:dyDescent="0.2">
      <c r="B13" s="1334" t="s">
        <v>1058</v>
      </c>
      <c r="C13" s="1338">
        <v>10.555</v>
      </c>
      <c r="D13" s="1339" t="s">
        <v>2104</v>
      </c>
      <c r="E13" s="1340">
        <v>467091</v>
      </c>
      <c r="F13" s="1340">
        <v>108242</v>
      </c>
      <c r="G13" s="1340">
        <v>525478</v>
      </c>
      <c r="H13" s="1340"/>
      <c r="I13" s="1340">
        <v>49855</v>
      </c>
      <c r="J13" s="1340"/>
      <c r="K13" s="1340"/>
      <c r="L13" s="1337">
        <f t="shared" ref="L13:L27" si="0">+G13+I13+K13</f>
        <v>575333</v>
      </c>
      <c r="M13" s="1340" t="s">
        <v>2106</v>
      </c>
    </row>
    <row r="14" spans="2:14" ht="20.100000000000001" customHeight="1" x14ac:dyDescent="0.2">
      <c r="B14" s="1334" t="s">
        <v>1058</v>
      </c>
      <c r="C14" s="1338">
        <v>10.555</v>
      </c>
      <c r="D14" s="1339" t="s">
        <v>2105</v>
      </c>
      <c r="E14" s="1340"/>
      <c r="F14" s="1340">
        <v>472977</v>
      </c>
      <c r="G14" s="1340"/>
      <c r="H14" s="1340"/>
      <c r="I14" s="1340">
        <v>532100</v>
      </c>
      <c r="J14" s="1340"/>
      <c r="K14" s="1340"/>
      <c r="L14" s="1337">
        <f t="shared" si="0"/>
        <v>532100</v>
      </c>
      <c r="M14" s="1340" t="s">
        <v>2106</v>
      </c>
    </row>
    <row r="15" spans="2:14" ht="20.100000000000001" customHeight="1" x14ac:dyDescent="0.2">
      <c r="B15" s="1334" t="s">
        <v>2101</v>
      </c>
      <c r="C15" s="1338">
        <v>10.555</v>
      </c>
      <c r="D15" s="1339">
        <v>2019</v>
      </c>
      <c r="E15" s="1340"/>
      <c r="F15" s="1340">
        <v>50273</v>
      </c>
      <c r="G15" s="1340"/>
      <c r="H15" s="1340"/>
      <c r="I15" s="1340">
        <v>50273</v>
      </c>
      <c r="J15" s="1340"/>
      <c r="K15" s="1340"/>
      <c r="L15" s="1337">
        <f t="shared" si="0"/>
        <v>50273</v>
      </c>
      <c r="M15" s="1340" t="s">
        <v>2106</v>
      </c>
    </row>
    <row r="16" spans="2:14" ht="20.100000000000001" customHeight="1" x14ac:dyDescent="0.2">
      <c r="B16" s="1334" t="s">
        <v>2102</v>
      </c>
      <c r="C16" s="1338">
        <v>10.555</v>
      </c>
      <c r="D16" s="1339">
        <v>2019</v>
      </c>
      <c r="E16" s="1340"/>
      <c r="F16" s="1340">
        <v>15000</v>
      </c>
      <c r="G16" s="1340"/>
      <c r="H16" s="1340"/>
      <c r="I16" s="1340">
        <v>15000</v>
      </c>
      <c r="J16" s="1340"/>
      <c r="K16" s="1340"/>
      <c r="L16" s="1337">
        <f t="shared" si="0"/>
        <v>15000</v>
      </c>
      <c r="M16" s="1340" t="s">
        <v>2106</v>
      </c>
    </row>
    <row r="17" spans="2:14" ht="20.100000000000001" customHeight="1" x14ac:dyDescent="0.2">
      <c r="B17" s="1334" t="s">
        <v>2103</v>
      </c>
      <c r="C17" s="1338"/>
      <c r="D17" s="1339"/>
      <c r="E17" s="1340">
        <v>467091</v>
      </c>
      <c r="F17" s="1340">
        <v>646492</v>
      </c>
      <c r="G17" s="1340">
        <v>525478</v>
      </c>
      <c r="H17" s="1340">
        <v>0</v>
      </c>
      <c r="I17" s="1340">
        <v>647228</v>
      </c>
      <c r="J17" s="1340">
        <v>0</v>
      </c>
      <c r="K17" s="1340">
        <v>0</v>
      </c>
      <c r="L17" s="1337">
        <f t="shared" si="0"/>
        <v>1172706</v>
      </c>
      <c r="M17" s="1340"/>
    </row>
    <row r="18" spans="2:14" ht="20.100000000000001" customHeight="1" x14ac:dyDescent="0.2">
      <c r="B18" s="1334" t="s">
        <v>1059</v>
      </c>
      <c r="C18" s="1338">
        <v>10.553000000000001</v>
      </c>
      <c r="D18" s="1339" t="s">
        <v>2109</v>
      </c>
      <c r="E18" s="1340">
        <v>160400</v>
      </c>
      <c r="F18" s="1340">
        <v>34857</v>
      </c>
      <c r="G18" s="1340">
        <v>180450</v>
      </c>
      <c r="H18" s="1340"/>
      <c r="I18" s="1340">
        <v>14807</v>
      </c>
      <c r="J18" s="1340"/>
      <c r="K18" s="1340"/>
      <c r="L18" s="1337">
        <f t="shared" si="0"/>
        <v>195257</v>
      </c>
      <c r="M18" s="1340" t="s">
        <v>2106</v>
      </c>
    </row>
    <row r="19" spans="2:14" ht="20.100000000000001" customHeight="1" x14ac:dyDescent="0.2">
      <c r="B19" s="1334" t="s">
        <v>1059</v>
      </c>
      <c r="C19" s="1338">
        <v>10.553000000000001</v>
      </c>
      <c r="D19" s="1339" t="s">
        <v>2110</v>
      </c>
      <c r="E19" s="1340"/>
      <c r="F19" s="1340">
        <v>158020</v>
      </c>
      <c r="G19" s="1340"/>
      <c r="H19" s="1340"/>
      <c r="I19" s="1340">
        <v>177773</v>
      </c>
      <c r="J19" s="1340"/>
      <c r="K19" s="1340"/>
      <c r="L19" s="1337">
        <f t="shared" si="0"/>
        <v>177773</v>
      </c>
      <c r="M19" s="1340" t="s">
        <v>2106</v>
      </c>
    </row>
    <row r="20" spans="2:14" ht="20.100000000000001" customHeight="1" x14ac:dyDescent="0.2">
      <c r="B20" s="1334" t="s">
        <v>2107</v>
      </c>
      <c r="C20" s="1338"/>
      <c r="D20" s="1339"/>
      <c r="E20" s="1340">
        <v>160400</v>
      </c>
      <c r="F20" s="1340">
        <v>192877</v>
      </c>
      <c r="G20" s="1340">
        <v>180450</v>
      </c>
      <c r="H20" s="1340">
        <v>0</v>
      </c>
      <c r="I20" s="1340">
        <v>192580</v>
      </c>
      <c r="J20" s="1340">
        <v>0</v>
      </c>
      <c r="K20" s="1340">
        <v>0</v>
      </c>
      <c r="L20" s="1337">
        <f t="shared" si="0"/>
        <v>373030</v>
      </c>
      <c r="M20" s="1340"/>
    </row>
    <row r="21" spans="2:14" ht="20.100000000000001" customHeight="1" x14ac:dyDescent="0.2">
      <c r="B21" s="1334" t="s">
        <v>2108</v>
      </c>
      <c r="C21" s="1338"/>
      <c r="D21" s="1339"/>
      <c r="E21" s="1340">
        <v>627491</v>
      </c>
      <c r="F21" s="1340">
        <v>839369</v>
      </c>
      <c r="G21" s="1340">
        <v>705928</v>
      </c>
      <c r="H21" s="1340">
        <v>0</v>
      </c>
      <c r="I21" s="1340">
        <v>839808</v>
      </c>
      <c r="J21" s="1340">
        <v>0</v>
      </c>
      <c r="K21" s="1340">
        <v>0</v>
      </c>
      <c r="L21" s="1337">
        <f t="shared" si="0"/>
        <v>1545736</v>
      </c>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2111</v>
      </c>
      <c r="C23" s="1338"/>
      <c r="D23" s="1339"/>
      <c r="E23" s="1340"/>
      <c r="F23" s="1340"/>
      <c r="G23" s="1340"/>
      <c r="H23" s="1340"/>
      <c r="I23" s="1340"/>
      <c r="J23" s="1340"/>
      <c r="K23" s="1340"/>
      <c r="L23" s="1337"/>
      <c r="M23" s="1340"/>
    </row>
    <row r="24" spans="2:14" ht="20.100000000000001" customHeight="1" x14ac:dyDescent="0.2">
      <c r="B24" s="1334" t="s">
        <v>2112</v>
      </c>
      <c r="C24" s="1338" t="s">
        <v>2115</v>
      </c>
      <c r="D24" s="1339" t="s">
        <v>2113</v>
      </c>
      <c r="E24" s="1340">
        <v>132090</v>
      </c>
      <c r="F24" s="1340">
        <v>171071</v>
      </c>
      <c r="G24" s="1340">
        <v>234088</v>
      </c>
      <c r="H24" s="1340"/>
      <c r="I24" s="1340">
        <v>66308</v>
      </c>
      <c r="J24" s="1340"/>
      <c r="K24" s="1340"/>
      <c r="L24" s="1337">
        <f t="shared" si="0"/>
        <v>300396</v>
      </c>
      <c r="M24" s="1340">
        <v>355662</v>
      </c>
    </row>
    <row r="25" spans="2:14" ht="20.100000000000001" customHeight="1" x14ac:dyDescent="0.2">
      <c r="B25" s="1334" t="s">
        <v>2112</v>
      </c>
      <c r="C25" s="1338" t="s">
        <v>2115</v>
      </c>
      <c r="D25" s="1339" t="s">
        <v>2114</v>
      </c>
      <c r="E25" s="1340"/>
      <c r="F25" s="1340">
        <v>140455</v>
      </c>
      <c r="G25" s="1340"/>
      <c r="H25" s="1340"/>
      <c r="I25" s="1340">
        <v>269457</v>
      </c>
      <c r="J25" s="1340"/>
      <c r="K25" s="1340">
        <v>46821</v>
      </c>
      <c r="L25" s="1337">
        <f t="shared" si="0"/>
        <v>316278</v>
      </c>
      <c r="M25" s="1340">
        <v>443922</v>
      </c>
    </row>
    <row r="26" spans="2:14" ht="20.100000000000001" customHeight="1" x14ac:dyDescent="0.2">
      <c r="B26" s="1334" t="s">
        <v>2116</v>
      </c>
      <c r="C26" s="1338" t="s">
        <v>2115</v>
      </c>
      <c r="D26" s="1339" t="s">
        <v>2195</v>
      </c>
      <c r="E26" s="1340"/>
      <c r="F26" s="1340">
        <v>22206</v>
      </c>
      <c r="G26" s="1340"/>
      <c r="H26" s="1340"/>
      <c r="I26" s="1340">
        <v>127166</v>
      </c>
      <c r="J26" s="1340"/>
      <c r="K26" s="1340"/>
      <c r="L26" s="1337">
        <f t="shared" si="0"/>
        <v>127166</v>
      </c>
      <c r="M26" s="1340">
        <v>133599</v>
      </c>
    </row>
    <row r="27" spans="2:14" ht="20.100000000000001" customHeight="1" x14ac:dyDescent="0.2">
      <c r="B27" s="1334" t="s">
        <v>2117</v>
      </c>
      <c r="C27" s="1338"/>
      <c r="D27" s="1339"/>
      <c r="E27" s="1340">
        <v>132090</v>
      </c>
      <c r="F27" s="1340">
        <v>333732</v>
      </c>
      <c r="G27" s="1340">
        <v>234088</v>
      </c>
      <c r="H27" s="1340">
        <v>0</v>
      </c>
      <c r="I27" s="1340">
        <v>462931</v>
      </c>
      <c r="J27" s="1340">
        <v>0</v>
      </c>
      <c r="K27" s="1340">
        <v>46821</v>
      </c>
      <c r="L27" s="1337">
        <f t="shared" si="0"/>
        <v>743840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88A3-0D3E-4C40-9428-741D842A85E4}">
  <sheetPr>
    <pageSetUpPr fitToPage="1"/>
  </sheetPr>
  <dimension ref="B1:N152"/>
  <sheetViews>
    <sheetView showGridLines="0" zoomScaleNormal="100" workbookViewId="0">
      <selection activeCell="B2" sqref="B2:M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Beardstown CUSD 15</v>
      </c>
      <c r="C1" s="2435"/>
      <c r="D1" s="2435"/>
      <c r="E1" s="2435"/>
      <c r="F1" s="2435"/>
      <c r="G1" s="2435"/>
      <c r="H1" s="2435"/>
      <c r="I1" s="2435"/>
      <c r="J1" s="2435"/>
      <c r="K1" s="2435"/>
      <c r="L1" s="2435"/>
      <c r="M1" s="2435"/>
    </row>
    <row r="2" spans="2:14" ht="15" x14ac:dyDescent="0.2">
      <c r="B2" s="2436">
        <f>'Single Audit Cover'!E7</f>
        <v>1009015026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2118</v>
      </c>
      <c r="C11" s="1335" t="s">
        <v>2120</v>
      </c>
      <c r="D11" s="1336" t="s">
        <v>2125</v>
      </c>
      <c r="E11" s="1337">
        <v>39953</v>
      </c>
      <c r="F11" s="1337">
        <v>24315</v>
      </c>
      <c r="G11" s="1337">
        <v>64268</v>
      </c>
      <c r="H11" s="1337"/>
      <c r="I11" s="1337"/>
      <c r="J11" s="1337"/>
      <c r="K11" s="1337"/>
      <c r="L11" s="1337">
        <f>+G11+I11+K11</f>
        <v>64268</v>
      </c>
      <c r="M11" s="1337">
        <v>64268</v>
      </c>
    </row>
    <row r="12" spans="2:14" ht="20.100000000000001" customHeight="1" x14ac:dyDescent="0.2">
      <c r="B12" s="1334" t="s">
        <v>2118</v>
      </c>
      <c r="C12" s="1338" t="s">
        <v>2120</v>
      </c>
      <c r="D12" s="1339" t="s">
        <v>2235</v>
      </c>
      <c r="E12" s="1340"/>
      <c r="F12" s="1340">
        <v>36476</v>
      </c>
      <c r="G12" s="1340"/>
      <c r="H12" s="1340"/>
      <c r="I12" s="1340">
        <v>61780</v>
      </c>
      <c r="J12" s="1340"/>
      <c r="K12" s="1340"/>
      <c r="L12" s="1337">
        <f t="shared" ref="L12:L26" si="0">+G12+I12+K12</f>
        <v>61780</v>
      </c>
      <c r="M12" s="1340">
        <v>61780</v>
      </c>
    </row>
    <row r="13" spans="2:14" ht="20.100000000000001" customHeight="1" x14ac:dyDescent="0.2">
      <c r="B13" s="1334" t="s">
        <v>2119</v>
      </c>
      <c r="C13" s="1338" t="s">
        <v>2120</v>
      </c>
      <c r="D13" s="1339" t="s">
        <v>2126</v>
      </c>
      <c r="E13" s="1340"/>
      <c r="F13" s="1340">
        <v>146886</v>
      </c>
      <c r="G13" s="1340">
        <v>92393</v>
      </c>
      <c r="H13" s="1340"/>
      <c r="I13" s="1340">
        <v>54493</v>
      </c>
      <c r="J13" s="1340"/>
      <c r="K13" s="1340"/>
      <c r="L13" s="1337">
        <f t="shared" si="0"/>
        <v>146886</v>
      </c>
      <c r="M13" s="1340">
        <v>154143</v>
      </c>
    </row>
    <row r="14" spans="2:14" ht="20.100000000000001" customHeight="1" x14ac:dyDescent="0.2">
      <c r="B14" s="1334" t="s">
        <v>2119</v>
      </c>
      <c r="C14" s="1338" t="s">
        <v>2120</v>
      </c>
      <c r="D14" s="1339" t="s">
        <v>2127</v>
      </c>
      <c r="E14" s="1340"/>
      <c r="F14" s="1340"/>
      <c r="G14" s="1340"/>
      <c r="H14" s="1340"/>
      <c r="I14" s="1340">
        <v>92009</v>
      </c>
      <c r="J14" s="1340"/>
      <c r="K14" s="1340"/>
      <c r="L14" s="1337">
        <f t="shared" si="0"/>
        <v>92009</v>
      </c>
      <c r="M14" s="1340">
        <v>154143</v>
      </c>
    </row>
    <row r="15" spans="2:14" ht="20.100000000000001" customHeight="1" x14ac:dyDescent="0.2">
      <c r="B15" s="1334" t="s">
        <v>2121</v>
      </c>
      <c r="C15" s="1338"/>
      <c r="D15" s="1339"/>
      <c r="E15" s="1340">
        <v>39953</v>
      </c>
      <c r="F15" s="1340">
        <v>207677</v>
      </c>
      <c r="G15" s="1340">
        <v>156661</v>
      </c>
      <c r="H15" s="1340">
        <v>0</v>
      </c>
      <c r="I15" s="1340">
        <v>208282</v>
      </c>
      <c r="J15" s="1340">
        <v>0</v>
      </c>
      <c r="K15" s="1340">
        <v>0</v>
      </c>
      <c r="L15" s="1337">
        <f t="shared" si="0"/>
        <v>364943</v>
      </c>
      <c r="M15" s="1340"/>
    </row>
    <row r="16" spans="2:14" ht="20.100000000000001" customHeight="1" x14ac:dyDescent="0.2">
      <c r="B16" s="1334" t="s">
        <v>2122</v>
      </c>
      <c r="C16" s="1338" t="s">
        <v>2124</v>
      </c>
      <c r="D16" s="1339" t="s">
        <v>2128</v>
      </c>
      <c r="E16" s="1340"/>
      <c r="F16" s="1340">
        <v>5245</v>
      </c>
      <c r="G16" s="1340">
        <v>588</v>
      </c>
      <c r="H16" s="1340"/>
      <c r="I16" s="1340">
        <v>4657</v>
      </c>
      <c r="J16" s="1340"/>
      <c r="K16" s="1340"/>
      <c r="L16" s="1337">
        <f t="shared" si="0"/>
        <v>5245</v>
      </c>
      <c r="M16" s="1340">
        <v>5730</v>
      </c>
    </row>
    <row r="17" spans="2:14" ht="20.100000000000001" customHeight="1" x14ac:dyDescent="0.2">
      <c r="B17" s="1334" t="s">
        <v>2122</v>
      </c>
      <c r="C17" s="1338" t="s">
        <v>2124</v>
      </c>
      <c r="D17" s="1339" t="s">
        <v>2129</v>
      </c>
      <c r="E17" s="1340"/>
      <c r="F17" s="1340"/>
      <c r="G17" s="1340"/>
      <c r="H17" s="1340"/>
      <c r="I17" s="1340">
        <v>1872</v>
      </c>
      <c r="J17" s="1340"/>
      <c r="K17" s="1340"/>
      <c r="L17" s="1337">
        <f t="shared" si="0"/>
        <v>1872</v>
      </c>
      <c r="M17" s="1340">
        <v>5266</v>
      </c>
    </row>
    <row r="18" spans="2:14" ht="20.100000000000001" customHeight="1" x14ac:dyDescent="0.2">
      <c r="B18" s="1334" t="s">
        <v>2123</v>
      </c>
      <c r="C18" s="1338"/>
      <c r="D18" s="1339"/>
      <c r="E18" s="1340">
        <v>0</v>
      </c>
      <c r="F18" s="1340">
        <v>5245</v>
      </c>
      <c r="G18" s="1340">
        <v>588</v>
      </c>
      <c r="H18" s="1340">
        <v>0</v>
      </c>
      <c r="I18" s="1340">
        <v>6529</v>
      </c>
      <c r="J18" s="1340">
        <v>0</v>
      </c>
      <c r="K18" s="1340">
        <v>0</v>
      </c>
      <c r="L18" s="1337">
        <f t="shared" si="0"/>
        <v>7117</v>
      </c>
      <c r="M18" s="1340"/>
    </row>
    <row r="19" spans="2:14" ht="20.100000000000001" customHeight="1" x14ac:dyDescent="0.2">
      <c r="B19" s="1334" t="s">
        <v>2130</v>
      </c>
      <c r="C19" s="1338" t="s">
        <v>2133</v>
      </c>
      <c r="D19" s="1339" t="s">
        <v>2135</v>
      </c>
      <c r="E19" s="1340"/>
      <c r="F19" s="1340">
        <v>10254</v>
      </c>
      <c r="G19" s="1340">
        <v>5467</v>
      </c>
      <c r="H19" s="1340"/>
      <c r="I19" s="1340">
        <v>5290</v>
      </c>
      <c r="J19" s="1340"/>
      <c r="K19" s="1340"/>
      <c r="L19" s="1337">
        <f t="shared" si="0"/>
        <v>10757</v>
      </c>
      <c r="M19" s="1340">
        <v>10757</v>
      </c>
    </row>
    <row r="20" spans="2:14" ht="20.100000000000001" customHeight="1" x14ac:dyDescent="0.2">
      <c r="B20" s="1334" t="s">
        <v>2130</v>
      </c>
      <c r="C20" s="1338" t="s">
        <v>2133</v>
      </c>
      <c r="D20" s="1339" t="s">
        <v>2136</v>
      </c>
      <c r="E20" s="1340"/>
      <c r="F20" s="1340"/>
      <c r="G20" s="1340"/>
      <c r="H20" s="1340"/>
      <c r="I20" s="1340">
        <v>6341</v>
      </c>
      <c r="J20" s="1340"/>
      <c r="K20" s="1340"/>
      <c r="L20" s="1337">
        <f t="shared" si="0"/>
        <v>6341</v>
      </c>
      <c r="M20" s="1340">
        <v>16200</v>
      </c>
    </row>
    <row r="21" spans="2:14" ht="20.100000000000001" customHeight="1" x14ac:dyDescent="0.2">
      <c r="B21" s="1334" t="s">
        <v>2132</v>
      </c>
      <c r="C21" s="1338" t="s">
        <v>2133</v>
      </c>
      <c r="D21" s="1339" t="s">
        <v>2137</v>
      </c>
      <c r="E21" s="1340">
        <v>23284</v>
      </c>
      <c r="F21" s="1340">
        <v>55132</v>
      </c>
      <c r="G21" s="1340">
        <v>60048</v>
      </c>
      <c r="H21" s="1340"/>
      <c r="I21" s="1340">
        <v>18368</v>
      </c>
      <c r="J21" s="1340"/>
      <c r="K21" s="1340"/>
      <c r="L21" s="1337">
        <f t="shared" si="0"/>
        <v>78416</v>
      </c>
      <c r="M21" s="1340">
        <v>75665</v>
      </c>
    </row>
    <row r="22" spans="2:14" ht="20.100000000000001" customHeight="1" x14ac:dyDescent="0.2">
      <c r="B22" s="1334" t="s">
        <v>2131</v>
      </c>
      <c r="C22" s="1338" t="s">
        <v>2133</v>
      </c>
      <c r="D22" s="1339" t="s">
        <v>2138</v>
      </c>
      <c r="E22" s="1340"/>
      <c r="F22" s="1340">
        <v>27584</v>
      </c>
      <c r="G22" s="1340"/>
      <c r="H22" s="1340"/>
      <c r="I22" s="1340">
        <v>55393</v>
      </c>
      <c r="J22" s="1340"/>
      <c r="K22" s="1340"/>
      <c r="L22" s="1337">
        <f t="shared" si="0"/>
        <v>55393</v>
      </c>
      <c r="M22" s="1340">
        <v>98605</v>
      </c>
    </row>
    <row r="23" spans="2:14" ht="20.100000000000001" customHeight="1" x14ac:dyDescent="0.2">
      <c r="B23" s="1334" t="s">
        <v>2134</v>
      </c>
      <c r="C23" s="1338"/>
      <c r="D23" s="1339"/>
      <c r="E23" s="1340">
        <v>23284</v>
      </c>
      <c r="F23" s="1340">
        <v>92970</v>
      </c>
      <c r="G23" s="1340">
        <v>65515</v>
      </c>
      <c r="H23" s="1340">
        <v>0</v>
      </c>
      <c r="I23" s="1340">
        <v>85392</v>
      </c>
      <c r="J23" s="1340">
        <v>0</v>
      </c>
      <c r="K23" s="1340">
        <v>0</v>
      </c>
      <c r="L23" s="1337">
        <f t="shared" si="0"/>
        <v>150907</v>
      </c>
      <c r="M23" s="1340"/>
    </row>
    <row r="24" spans="2:14" ht="20.100000000000001" customHeight="1" x14ac:dyDescent="0.2">
      <c r="B24" s="1334" t="s">
        <v>2139</v>
      </c>
      <c r="C24" s="1338" t="s">
        <v>2141</v>
      </c>
      <c r="D24" s="1339" t="s">
        <v>2142</v>
      </c>
      <c r="E24" s="1340">
        <v>35435</v>
      </c>
      <c r="F24" s="1340">
        <v>18662</v>
      </c>
      <c r="G24" s="1340">
        <v>47136</v>
      </c>
      <c r="H24" s="1340"/>
      <c r="I24" s="1340">
        <v>6961</v>
      </c>
      <c r="J24" s="1340"/>
      <c r="K24" s="1340"/>
      <c r="L24" s="1337">
        <f t="shared" si="0"/>
        <v>54097</v>
      </c>
      <c r="M24" s="1340">
        <v>54447</v>
      </c>
    </row>
    <row r="25" spans="2:14" ht="20.100000000000001" customHeight="1" x14ac:dyDescent="0.2">
      <c r="B25" s="1334" t="s">
        <v>2139</v>
      </c>
      <c r="C25" s="1338" t="s">
        <v>2141</v>
      </c>
      <c r="D25" s="1339" t="s">
        <v>2236</v>
      </c>
      <c r="E25" s="1340"/>
      <c r="F25" s="1340">
        <v>11297</v>
      </c>
      <c r="G25" s="1340"/>
      <c r="H25" s="1340"/>
      <c r="I25" s="1340">
        <v>26590</v>
      </c>
      <c r="J25" s="1340"/>
      <c r="K25" s="1340">
        <v>15000</v>
      </c>
      <c r="L25" s="1337">
        <f t="shared" si="0"/>
        <v>41590</v>
      </c>
      <c r="M25" s="1340">
        <v>59692</v>
      </c>
    </row>
    <row r="26" spans="2:14" ht="20.100000000000001" customHeight="1" x14ac:dyDescent="0.2">
      <c r="B26" s="1334" t="s">
        <v>2140</v>
      </c>
      <c r="C26" s="1338"/>
      <c r="D26" s="1339"/>
      <c r="E26" s="1340">
        <v>35435</v>
      </c>
      <c r="F26" s="1340">
        <v>29959</v>
      </c>
      <c r="G26" s="1340">
        <v>47136</v>
      </c>
      <c r="H26" s="1340">
        <v>0</v>
      </c>
      <c r="I26" s="1340">
        <v>33551</v>
      </c>
      <c r="J26" s="1340">
        <v>0</v>
      </c>
      <c r="K26" s="1340">
        <v>15000</v>
      </c>
      <c r="L26" s="1337">
        <f t="shared" si="0"/>
        <v>95687</v>
      </c>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40-1&amp;R&amp;8Page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A2" sqref="A2:J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2068</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2083</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2061</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2238</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7006-CA14-44C9-84AD-804F9769283D}">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Beardstown CUSD 15</v>
      </c>
      <c r="C1" s="2435"/>
      <c r="D1" s="2435"/>
      <c r="E1" s="2435"/>
      <c r="F1" s="2435"/>
      <c r="G1" s="2435"/>
      <c r="H1" s="2435"/>
      <c r="I1" s="2435"/>
      <c r="J1" s="2435"/>
      <c r="K1" s="2435"/>
      <c r="L1" s="2435"/>
      <c r="M1" s="2435"/>
    </row>
    <row r="2" spans="2:14" ht="15" x14ac:dyDescent="0.2">
      <c r="B2" s="2436">
        <f>'Single Audit Cover'!E7</f>
        <v>1009015026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2160</v>
      </c>
      <c r="C11" s="1335" t="s">
        <v>2237</v>
      </c>
      <c r="D11" s="1336" t="s">
        <v>2161</v>
      </c>
      <c r="E11" s="1337"/>
      <c r="F11" s="1337">
        <v>21619</v>
      </c>
      <c r="G11" s="1337"/>
      <c r="H11" s="1337"/>
      <c r="I11" s="1337">
        <v>22823</v>
      </c>
      <c r="J11" s="1337"/>
      <c r="K11" s="1337">
        <v>6687</v>
      </c>
      <c r="L11" s="1337">
        <f>+G11+I11+K11</f>
        <v>29510</v>
      </c>
      <c r="M11" s="1337">
        <v>83843</v>
      </c>
    </row>
    <row r="12" spans="2:14" ht="20.100000000000001" customHeight="1" x14ac:dyDescent="0.2">
      <c r="B12" s="1334" t="s">
        <v>2162</v>
      </c>
      <c r="C12" s="1338"/>
      <c r="D12" s="1339"/>
      <c r="E12" s="1340">
        <v>230762</v>
      </c>
      <c r="F12" s="1340">
        <v>691202</v>
      </c>
      <c r="G12" s="1340">
        <v>503988</v>
      </c>
      <c r="H12" s="1340">
        <v>0</v>
      </c>
      <c r="I12" s="1340">
        <v>819508</v>
      </c>
      <c r="J12" s="1340">
        <v>0</v>
      </c>
      <c r="K12" s="1340">
        <v>68508</v>
      </c>
      <c r="L12" s="1337">
        <f t="shared" ref="L12:L25" si="0">+G12+I12+K12</f>
        <v>1392004</v>
      </c>
      <c r="M12" s="1340"/>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334" t="s">
        <v>2163</v>
      </c>
      <c r="C14" s="1338"/>
      <c r="D14" s="1339"/>
      <c r="E14" s="1340"/>
      <c r="F14" s="1340"/>
      <c r="G14" s="1340"/>
      <c r="H14" s="1340"/>
      <c r="I14" s="1340"/>
      <c r="J14" s="1340"/>
      <c r="K14" s="1340"/>
      <c r="L14" s="1337"/>
      <c r="M14" s="1340"/>
    </row>
    <row r="15" spans="2:14" ht="20.100000000000001" customHeight="1" x14ac:dyDescent="0.2">
      <c r="B15" s="1334" t="s">
        <v>2164</v>
      </c>
      <c r="C15" s="1338"/>
      <c r="D15" s="1339"/>
      <c r="E15" s="1340"/>
      <c r="F15" s="1340"/>
      <c r="G15" s="1340"/>
      <c r="H15" s="1340"/>
      <c r="I15" s="1340"/>
      <c r="J15" s="1340"/>
      <c r="K15" s="1340"/>
      <c r="L15" s="1337"/>
      <c r="M15" s="1340"/>
    </row>
    <row r="16" spans="2:14" ht="20.100000000000001" customHeight="1" x14ac:dyDescent="0.2">
      <c r="B16" s="1334" t="s">
        <v>2168</v>
      </c>
      <c r="C16" s="1338" t="s">
        <v>2166</v>
      </c>
      <c r="D16" s="1339">
        <v>2018</v>
      </c>
      <c r="E16" s="1340">
        <v>15419</v>
      </c>
      <c r="F16" s="1340">
        <v>8996</v>
      </c>
      <c r="G16" s="1340">
        <v>20712</v>
      </c>
      <c r="H16" s="1340"/>
      <c r="I16" s="1340">
        <v>3703</v>
      </c>
      <c r="J16" s="1340"/>
      <c r="K16" s="1340"/>
      <c r="L16" s="1337">
        <f t="shared" si="0"/>
        <v>24415</v>
      </c>
      <c r="M16" s="1340">
        <v>24415</v>
      </c>
    </row>
    <row r="17" spans="2:14" ht="20.100000000000001" customHeight="1" x14ac:dyDescent="0.2">
      <c r="B17" s="1334" t="s">
        <v>2168</v>
      </c>
      <c r="C17" s="1338" t="s">
        <v>2166</v>
      </c>
      <c r="D17" s="1339">
        <v>2019</v>
      </c>
      <c r="E17" s="1340"/>
      <c r="F17" s="1340">
        <v>12411</v>
      </c>
      <c r="G17" s="1340"/>
      <c r="H17" s="1340"/>
      <c r="I17" s="1340">
        <v>12411</v>
      </c>
      <c r="J17" s="1340"/>
      <c r="K17" s="1340"/>
      <c r="L17" s="1337">
        <f t="shared" si="0"/>
        <v>12411</v>
      </c>
      <c r="M17" s="1340">
        <v>12411</v>
      </c>
    </row>
    <row r="18" spans="2:14" ht="20.100000000000001" customHeight="1" x14ac:dyDescent="0.2">
      <c r="B18" s="1334" t="s">
        <v>2165</v>
      </c>
      <c r="C18" s="1338"/>
      <c r="D18" s="1339"/>
      <c r="E18" s="1340">
        <v>15419</v>
      </c>
      <c r="F18" s="1340">
        <v>21407</v>
      </c>
      <c r="G18" s="1340">
        <v>20712</v>
      </c>
      <c r="H18" s="1340">
        <v>0</v>
      </c>
      <c r="I18" s="1340">
        <v>16114</v>
      </c>
      <c r="J18" s="1340">
        <v>0</v>
      </c>
      <c r="K18" s="1340">
        <v>0</v>
      </c>
      <c r="L18" s="1337">
        <f t="shared" si="0"/>
        <v>36826</v>
      </c>
      <c r="M18" s="1340"/>
    </row>
    <row r="19" spans="2:14" ht="20.100000000000001" customHeight="1" x14ac:dyDescent="0.2">
      <c r="B19" s="1334" t="s">
        <v>2167</v>
      </c>
      <c r="C19" s="1338" t="s">
        <v>2169</v>
      </c>
      <c r="D19" s="1339">
        <v>2018</v>
      </c>
      <c r="E19" s="1340">
        <v>1000</v>
      </c>
      <c r="F19" s="1340">
        <v>1913</v>
      </c>
      <c r="G19" s="1340">
        <v>2471</v>
      </c>
      <c r="H19" s="1340"/>
      <c r="I19" s="1340">
        <v>442</v>
      </c>
      <c r="J19" s="1340"/>
      <c r="K19" s="1340"/>
      <c r="L19" s="1337">
        <f t="shared" si="0"/>
        <v>2913</v>
      </c>
      <c r="M19" s="1340">
        <v>2913</v>
      </c>
    </row>
    <row r="20" spans="2:14" ht="20.100000000000001" customHeight="1" x14ac:dyDescent="0.2">
      <c r="B20" s="1334" t="s">
        <v>2167</v>
      </c>
      <c r="C20" s="1338" t="s">
        <v>2169</v>
      </c>
      <c r="D20" s="1339">
        <v>2019</v>
      </c>
      <c r="E20" s="1340"/>
      <c r="F20" s="1340">
        <v>560</v>
      </c>
      <c r="G20" s="1340"/>
      <c r="H20" s="1340"/>
      <c r="I20" s="1340">
        <v>560</v>
      </c>
      <c r="J20" s="1340"/>
      <c r="K20" s="1340"/>
      <c r="L20" s="1337">
        <f t="shared" si="0"/>
        <v>560</v>
      </c>
      <c r="M20" s="1340">
        <v>560</v>
      </c>
    </row>
    <row r="21" spans="2:14" ht="20.100000000000001" customHeight="1" x14ac:dyDescent="0.2">
      <c r="B21" s="1334" t="s">
        <v>2170</v>
      </c>
      <c r="C21" s="1338"/>
      <c r="D21" s="1339"/>
      <c r="E21" s="1340">
        <v>1000</v>
      </c>
      <c r="F21" s="1340">
        <v>2473</v>
      </c>
      <c r="G21" s="1340">
        <v>2471</v>
      </c>
      <c r="H21" s="1340">
        <v>0</v>
      </c>
      <c r="I21" s="1340">
        <v>1002</v>
      </c>
      <c r="J21" s="1340">
        <v>0</v>
      </c>
      <c r="K21" s="1340">
        <v>0</v>
      </c>
      <c r="L21" s="1337">
        <f t="shared" si="0"/>
        <v>3473</v>
      </c>
      <c r="M21" s="1340"/>
    </row>
    <row r="22" spans="2:14" ht="20.100000000000001" customHeight="1" x14ac:dyDescent="0.2">
      <c r="B22" s="1334" t="s">
        <v>2171</v>
      </c>
      <c r="C22" s="1338"/>
      <c r="D22" s="1339"/>
      <c r="E22" s="1340">
        <v>16419</v>
      </c>
      <c r="F22" s="1340">
        <v>23880</v>
      </c>
      <c r="G22" s="1340">
        <v>23183</v>
      </c>
      <c r="H22" s="1340">
        <v>0</v>
      </c>
      <c r="I22" s="1340">
        <v>17116</v>
      </c>
      <c r="J22" s="1340">
        <v>0</v>
      </c>
      <c r="K22" s="1340">
        <v>0</v>
      </c>
      <c r="L22" s="1337">
        <f t="shared" si="0"/>
        <v>40299</v>
      </c>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2172</v>
      </c>
      <c r="C25" s="1338"/>
      <c r="D25" s="1339"/>
      <c r="E25" s="1340">
        <v>874672</v>
      </c>
      <c r="F25" s="1340">
        <v>1554451</v>
      </c>
      <c r="G25" s="1340">
        <v>1233099</v>
      </c>
      <c r="H25" s="1340">
        <v>0</v>
      </c>
      <c r="I25" s="1340">
        <v>1676432</v>
      </c>
      <c r="J25" s="1340">
        <v>0</v>
      </c>
      <c r="K25" s="1340">
        <v>68508</v>
      </c>
      <c r="L25" s="1337">
        <f t="shared" si="0"/>
        <v>2978039</v>
      </c>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40-3&amp;R&amp;8Page 40-3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Beardstown CUSD 15</v>
      </c>
      <c r="B1" s="2440"/>
      <c r="C1" s="2440"/>
      <c r="D1" s="2440"/>
      <c r="E1" s="2440"/>
      <c r="F1" s="2440"/>
    </row>
    <row r="2" spans="1:7" ht="13.5" customHeight="1" x14ac:dyDescent="0.2">
      <c r="A2" s="2436">
        <f>'Single Audit Cover'!E7</f>
        <v>1009015026</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2149</v>
      </c>
      <c r="B7" s="2439"/>
      <c r="C7" s="2439"/>
      <c r="D7" s="2439"/>
      <c r="E7" s="2439"/>
      <c r="F7" s="243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2068</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2150</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t="s">
        <v>2151</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2152</v>
      </c>
      <c r="B32" s="2447"/>
      <c r="C32" s="2447"/>
      <c r="D32" s="2447"/>
      <c r="E32" s="2447"/>
      <c r="F32" s="2447"/>
    </row>
    <row r="33" spans="1:6" ht="13.5" customHeight="1" x14ac:dyDescent="0.2">
      <c r="A33" s="328" t="s">
        <v>1434</v>
      </c>
      <c r="B33" s="328"/>
      <c r="C33" s="1285">
        <v>65273</v>
      </c>
      <c r="D33" s="1903"/>
      <c r="E33" s="1283"/>
    </row>
    <row r="34" spans="1:6" ht="13.5" customHeight="1" x14ac:dyDescent="0.2">
      <c r="A34" s="328" t="s">
        <v>1835</v>
      </c>
      <c r="B34" s="328"/>
      <c r="C34" s="1286">
        <v>0</v>
      </c>
      <c r="D34" s="1903" t="s">
        <v>1589</v>
      </c>
      <c r="E34" s="2448">
        <f>+C33+C34</f>
        <v>65273</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Beardstown CUSD 15</v>
      </c>
      <c r="C1" s="2456"/>
      <c r="D1" s="2456"/>
      <c r="E1" s="2456"/>
      <c r="F1" s="2456"/>
      <c r="G1" s="2456"/>
      <c r="H1" s="2456"/>
      <c r="I1" s="2456"/>
      <c r="J1" s="1406"/>
    </row>
    <row r="2" spans="2:10" s="317" customFormat="1" ht="12.75" customHeight="1" x14ac:dyDescent="0.2">
      <c r="B2" s="2457">
        <f>'Single Audit Cover'!E7</f>
        <v>1009015026</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t="s">
        <v>2143</v>
      </c>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2068</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2068</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2068</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2068</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t="s">
        <v>820</v>
      </c>
      <c r="E29" s="2462"/>
      <c r="F29" s="2462"/>
      <c r="G29" s="2462"/>
      <c r="H29" s="2462"/>
      <c r="I29" s="246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2068</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3" t="s">
        <v>1748</v>
      </c>
      <c r="D37" s="2464"/>
      <c r="E37" s="2464"/>
      <c r="F37" s="2465"/>
      <c r="G37" s="2463" t="s">
        <v>1592</v>
      </c>
      <c r="H37" s="2464"/>
      <c r="I37" s="2465"/>
    </row>
    <row r="38" spans="2:9" ht="16.5" customHeight="1" x14ac:dyDescent="0.2">
      <c r="B38" s="1428" t="s">
        <v>2115</v>
      </c>
      <c r="C38" s="2451" t="s">
        <v>2145</v>
      </c>
      <c r="D38" s="2452"/>
      <c r="E38" s="2452"/>
      <c r="F38" s="2453"/>
      <c r="G38" s="2466">
        <v>335765</v>
      </c>
      <c r="H38" s="2467"/>
      <c r="I38" s="2468"/>
    </row>
    <row r="39" spans="2:9" ht="16.5" customHeight="1" x14ac:dyDescent="0.2">
      <c r="B39" s="1428" t="s">
        <v>2115</v>
      </c>
      <c r="C39" s="2451" t="s">
        <v>2144</v>
      </c>
      <c r="D39" s="2452"/>
      <c r="E39" s="2452"/>
      <c r="F39" s="2453"/>
      <c r="G39" s="2454">
        <v>127166</v>
      </c>
      <c r="H39" s="2454"/>
      <c r="I39" s="2454"/>
    </row>
    <row r="40" spans="2:9" ht="16.5" customHeight="1" x14ac:dyDescent="0.2">
      <c r="B40" s="1428" t="s">
        <v>2120</v>
      </c>
      <c r="C40" s="2451" t="s">
        <v>2147</v>
      </c>
      <c r="D40" s="2452"/>
      <c r="E40" s="2452"/>
      <c r="F40" s="2453"/>
      <c r="G40" s="2454">
        <v>61780</v>
      </c>
      <c r="H40" s="2454"/>
      <c r="I40" s="2454"/>
    </row>
    <row r="41" spans="2:9" ht="16.5" customHeight="1" x14ac:dyDescent="0.2">
      <c r="B41" s="1428" t="s">
        <v>2120</v>
      </c>
      <c r="C41" s="2451" t="s">
        <v>2146</v>
      </c>
      <c r="D41" s="2452"/>
      <c r="E41" s="2452"/>
      <c r="F41" s="2453"/>
      <c r="G41" s="2454">
        <v>146502</v>
      </c>
      <c r="H41" s="2454"/>
      <c r="I41" s="2454"/>
    </row>
    <row r="42" spans="2:9" ht="16.5" customHeight="1" x14ac:dyDescent="0.2">
      <c r="B42" s="1428" t="s">
        <v>2124</v>
      </c>
      <c r="C42" s="2451" t="s">
        <v>2148</v>
      </c>
      <c r="D42" s="2452"/>
      <c r="E42" s="2452"/>
      <c r="F42" s="2453"/>
      <c r="G42" s="2454">
        <v>6529</v>
      </c>
      <c r="H42" s="2454"/>
      <c r="I42" s="2454"/>
    </row>
    <row r="43" spans="2:9" ht="16.5" customHeight="1" x14ac:dyDescent="0.2">
      <c r="B43" s="1428"/>
      <c r="C43" s="2469" t="s">
        <v>1593</v>
      </c>
      <c r="D43" s="2470"/>
      <c r="E43" s="2470"/>
      <c r="F43" s="2471"/>
      <c r="G43" s="2472">
        <f>SUM(G38:I42)</f>
        <v>677742</v>
      </c>
      <c r="H43" s="2472"/>
      <c r="I43" s="2472"/>
    </row>
    <row r="44" spans="2:9" ht="12.75" customHeight="1" x14ac:dyDescent="0.2"/>
    <row r="45" spans="2:9" ht="12.75" customHeight="1" x14ac:dyDescent="0.2">
      <c r="B45" s="1419" t="s">
        <v>1838</v>
      </c>
      <c r="D45" s="2473">
        <v>1676432</v>
      </c>
      <c r="E45" s="2474"/>
    </row>
    <row r="46" spans="2:9" ht="5.25" customHeight="1" x14ac:dyDescent="0.2">
      <c r="B46" s="1429"/>
      <c r="D46" s="1430"/>
      <c r="E46" s="1431"/>
    </row>
    <row r="47" spans="2:9" ht="12.75" customHeight="1" x14ac:dyDescent="0.2">
      <c r="B47" s="1297" t="s">
        <v>1594</v>
      </c>
      <c r="C47" s="1297"/>
      <c r="D47" s="1432">
        <f>+G43/D45</f>
        <v>0.40427646334596334</v>
      </c>
      <c r="E47" s="1433"/>
      <c r="F47" s="1434"/>
      <c r="I47" s="1435"/>
    </row>
    <row r="48" spans="2:9" ht="9.9499999999999993" customHeight="1" x14ac:dyDescent="0.2"/>
    <row r="49" spans="1:9" x14ac:dyDescent="0.2">
      <c r="B49" s="1365" t="s">
        <v>1273</v>
      </c>
      <c r="C49" s="1279"/>
      <c r="D49" s="1279"/>
      <c r="E49" s="2475">
        <v>750000</v>
      </c>
      <c r="F49" s="2475"/>
      <c r="G49" s="2475"/>
      <c r="H49" s="322"/>
    </row>
    <row r="51" spans="1:9" ht="13.5" customHeight="1" x14ac:dyDescent="0.2">
      <c r="B51" s="1365" t="s">
        <v>1272</v>
      </c>
      <c r="C51" s="1279"/>
      <c r="E51" s="1422"/>
      <c r="F51" s="1297" t="s">
        <v>885</v>
      </c>
      <c r="G51" s="1422" t="s">
        <v>2068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Beardstown CUSD 15</v>
      </c>
      <c r="C1" s="2455"/>
      <c r="D1" s="2455"/>
      <c r="E1" s="2455"/>
      <c r="F1" s="2455"/>
      <c r="G1" s="2455"/>
      <c r="H1" s="2455"/>
      <c r="I1" s="2455"/>
      <c r="J1" s="2455"/>
      <c r="K1" s="2455"/>
      <c r="L1" s="1371"/>
      <c r="M1" s="1371"/>
    </row>
    <row r="2" spans="1:13" ht="12" customHeight="1" x14ac:dyDescent="0.2">
      <c r="B2" s="2457">
        <f>'Single Audit Cover'!E7</f>
        <v>1009015026</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t="s">
        <v>2068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t="s">
        <v>2219</v>
      </c>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t="s">
        <v>2234</v>
      </c>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1" t="s">
        <v>2173</v>
      </c>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t="s">
        <v>2176</v>
      </c>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t="s">
        <v>2174</v>
      </c>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t="s">
        <v>2201</v>
      </c>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6" t="s">
        <v>2175</v>
      </c>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Beardstown CUSD 15</v>
      </c>
      <c r="C1" s="2482"/>
      <c r="D1" s="2482"/>
      <c r="E1" s="2482"/>
      <c r="F1" s="2482"/>
      <c r="G1" s="2482"/>
      <c r="H1" s="2482"/>
      <c r="I1" s="2482"/>
      <c r="J1" s="2482"/>
      <c r="K1" s="2482"/>
      <c r="L1" s="1449"/>
    </row>
    <row r="2" spans="1:12" ht="12.75" customHeight="1" x14ac:dyDescent="0.2">
      <c r="B2" s="2483">
        <f>'Single Audit Cover'!E7</f>
        <v>1009015026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2</v>
      </c>
      <c r="E8" s="322"/>
      <c r="F8" s="1381" t="s">
        <v>1295</v>
      </c>
      <c r="G8" s="1453"/>
      <c r="H8" s="1454" t="s">
        <v>1307</v>
      </c>
      <c r="I8" s="1453" t="s">
        <v>2068</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t="s">
        <v>2177</v>
      </c>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2178</v>
      </c>
      <c r="E14" s="2485"/>
      <c r="F14" s="2485"/>
      <c r="H14" s="1459" t="s">
        <v>1303</v>
      </c>
      <c r="I14" s="2486" t="s">
        <v>2115</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2179</v>
      </c>
      <c r="E16" s="2486"/>
      <c r="F16" s="2486"/>
      <c r="G16" s="2486"/>
      <c r="H16" s="2486"/>
      <c r="I16" s="2486"/>
      <c r="J16" s="2486"/>
      <c r="K16" s="2486"/>
      <c r="L16" s="322"/>
    </row>
    <row r="17" spans="2:12" ht="13.5" customHeight="1" x14ac:dyDescent="0.2">
      <c r="B17" s="1384" t="s">
        <v>1301</v>
      </c>
      <c r="C17" s="1384"/>
      <c r="D17" s="2487" t="s">
        <v>2180</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t="s">
        <v>2181</v>
      </c>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t="s">
        <v>2220</v>
      </c>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t="s">
        <v>2182</v>
      </c>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t="s">
        <v>2183</v>
      </c>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t="s">
        <v>2221</v>
      </c>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t="s">
        <v>2222</v>
      </c>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t="s">
        <v>2184</v>
      </c>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t="s">
        <v>2185</v>
      </c>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A938-FB7C-4BC3-9C98-46AACD89E7BE}">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Beardstown CUSD 15</v>
      </c>
      <c r="C1" s="2482"/>
      <c r="D1" s="2482"/>
      <c r="E1" s="2482"/>
      <c r="F1" s="2482"/>
      <c r="G1" s="2482"/>
      <c r="H1" s="2482"/>
      <c r="I1" s="2482"/>
      <c r="J1" s="2482"/>
      <c r="K1" s="2482"/>
      <c r="L1" s="1449"/>
    </row>
    <row r="2" spans="1:12" ht="12.75" customHeight="1" x14ac:dyDescent="0.2">
      <c r="B2" s="2483">
        <f>'Single Audit Cover'!E7</f>
        <v>1009015026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938"/>
    </row>
    <row r="4" spans="1:12" ht="12.75" customHeight="1" x14ac:dyDescent="0.2">
      <c r="B4" s="2478" t="str">
        <f>'Single Audit Cover'!A4</f>
        <v>Year Ending June 30, 2019</v>
      </c>
      <c r="C4" s="2478"/>
      <c r="D4" s="2478"/>
      <c r="E4" s="2478"/>
      <c r="F4" s="2478"/>
      <c r="G4" s="2478"/>
      <c r="H4" s="2478"/>
      <c r="I4" s="2478"/>
      <c r="J4" s="2478"/>
      <c r="K4" s="2478"/>
      <c r="L4" s="1938"/>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2</v>
      </c>
      <c r="E8" s="322"/>
      <c r="F8" s="1381" t="s">
        <v>1295</v>
      </c>
      <c r="G8" s="1453"/>
      <c r="H8" s="1454" t="s">
        <v>1307</v>
      </c>
      <c r="I8" s="1453" t="s">
        <v>2068</v>
      </c>
      <c r="J8" s="1455" t="s">
        <v>1306</v>
      </c>
      <c r="L8" s="322"/>
    </row>
    <row r="9" spans="1:12" ht="13.5" customHeight="1" x14ac:dyDescent="0.2">
      <c r="D9" s="322"/>
      <c r="E9" s="322"/>
      <c r="F9" s="322"/>
      <c r="G9" s="1380"/>
      <c r="H9" s="322"/>
      <c r="I9" s="1456" t="s">
        <v>1292</v>
      </c>
      <c r="J9" s="322"/>
      <c r="K9" s="1457">
        <v>2018</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t="s">
        <v>2189</v>
      </c>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2188</v>
      </c>
      <c r="E14" s="2485"/>
      <c r="F14" s="2485"/>
      <c r="H14" s="1459" t="s">
        <v>1303</v>
      </c>
      <c r="I14" s="2486" t="s">
        <v>2186</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2179</v>
      </c>
      <c r="E16" s="2486"/>
      <c r="F16" s="2486"/>
      <c r="G16" s="2486"/>
      <c r="H16" s="2486"/>
      <c r="I16" s="2486"/>
      <c r="J16" s="2486"/>
      <c r="K16" s="2486"/>
      <c r="L16" s="322"/>
    </row>
    <row r="17" spans="2:12" ht="13.5" customHeight="1" x14ac:dyDescent="0.2">
      <c r="B17" s="1384" t="s">
        <v>1301</v>
      </c>
      <c r="C17" s="1384"/>
      <c r="D17" s="2487" t="s">
        <v>2180</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t="s">
        <v>2181</v>
      </c>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t="s">
        <v>2220</v>
      </c>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t="s">
        <v>2187</v>
      </c>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t="s">
        <v>2183</v>
      </c>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t="s">
        <v>2221</v>
      </c>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t="s">
        <v>2222</v>
      </c>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t="s">
        <v>2184</v>
      </c>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t="s">
        <v>2185</v>
      </c>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44-1&amp;R&amp;8Page 44-1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0C5D-B2DA-4F09-8A2E-2DA22A851ADD}">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Beardstown CUSD 15</v>
      </c>
      <c r="C1" s="2482"/>
      <c r="D1" s="2482"/>
      <c r="E1" s="2482"/>
      <c r="F1" s="2482"/>
      <c r="G1" s="2482"/>
      <c r="H1" s="2482"/>
      <c r="I1" s="2482"/>
      <c r="J1" s="2482"/>
      <c r="K1" s="2482"/>
      <c r="L1" s="1449"/>
    </row>
    <row r="2" spans="1:12" ht="12.75" customHeight="1" x14ac:dyDescent="0.2">
      <c r="B2" s="2483">
        <f>'Single Audit Cover'!E7</f>
        <v>1009015026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937"/>
    </row>
    <row r="4" spans="1:12" ht="12.75" customHeight="1" x14ac:dyDescent="0.2">
      <c r="B4" s="2478" t="str">
        <f>'Single Audit Cover'!A4</f>
        <v>Year Ending June 30, 2019</v>
      </c>
      <c r="C4" s="2478"/>
      <c r="D4" s="2478"/>
      <c r="E4" s="2478"/>
      <c r="F4" s="2478"/>
      <c r="G4" s="2478"/>
      <c r="H4" s="2478"/>
      <c r="I4" s="2478"/>
      <c r="J4" s="2478"/>
      <c r="K4" s="2478"/>
      <c r="L4" s="1937"/>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3</v>
      </c>
      <c r="E8" s="322"/>
      <c r="F8" s="1381" t="s">
        <v>1295</v>
      </c>
      <c r="G8" s="1453"/>
      <c r="H8" s="1454" t="s">
        <v>1307</v>
      </c>
      <c r="I8" s="1453" t="s">
        <v>2068</v>
      </c>
      <c r="J8" s="1455" t="s">
        <v>1306</v>
      </c>
      <c r="L8" s="322"/>
    </row>
    <row r="9" spans="1:12" ht="13.5" customHeight="1" x14ac:dyDescent="0.2">
      <c r="D9" s="322"/>
      <c r="E9" s="322"/>
      <c r="F9" s="322"/>
      <c r="G9" s="1380"/>
      <c r="H9" s="322"/>
      <c r="I9" s="1456" t="s">
        <v>1292</v>
      </c>
      <c r="J9" s="322"/>
      <c r="K9" s="1457">
        <v>2017</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t="s">
        <v>2177</v>
      </c>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2178</v>
      </c>
      <c r="E14" s="2485"/>
      <c r="F14" s="2485"/>
      <c r="H14" s="1459" t="s">
        <v>1303</v>
      </c>
      <c r="I14" s="2486" t="s">
        <v>2115</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2190</v>
      </c>
      <c r="E16" s="2486"/>
      <c r="F16" s="2486"/>
      <c r="G16" s="2486"/>
      <c r="H16" s="2486"/>
      <c r="I16" s="2486"/>
      <c r="J16" s="2486"/>
      <c r="K16" s="2486"/>
      <c r="L16" s="322"/>
    </row>
    <row r="17" spans="2:12" ht="13.5" customHeight="1" x14ac:dyDescent="0.2">
      <c r="B17" s="1384" t="s">
        <v>1301</v>
      </c>
      <c r="C17" s="1384"/>
      <c r="D17" s="2487" t="s">
        <v>2180</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t="s">
        <v>2191</v>
      </c>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t="s">
        <v>2223</v>
      </c>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t="s">
        <v>2192</v>
      </c>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t="s">
        <v>2193</v>
      </c>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t="s">
        <v>2224</v>
      </c>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t="s">
        <v>2226</v>
      </c>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t="s">
        <v>2227</v>
      </c>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t="s">
        <v>2185</v>
      </c>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44-2&amp;R&amp;8Page 44-2</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D4614-6E61-4CE1-A095-BD42945D64D7}">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Beardstown CUSD 15</v>
      </c>
      <c r="C1" s="2482"/>
      <c r="D1" s="2482"/>
      <c r="E1" s="2482"/>
      <c r="F1" s="2482"/>
      <c r="G1" s="2482"/>
      <c r="H1" s="2482"/>
      <c r="I1" s="2482"/>
      <c r="J1" s="2482"/>
      <c r="K1" s="2482"/>
      <c r="L1" s="1449"/>
    </row>
    <row r="2" spans="1:12" ht="12.75" customHeight="1" x14ac:dyDescent="0.2">
      <c r="B2" s="2483">
        <f>'Single Audit Cover'!E7</f>
        <v>1009015026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939"/>
    </row>
    <row r="4" spans="1:12" ht="12.75" customHeight="1" x14ac:dyDescent="0.2">
      <c r="B4" s="2478" t="str">
        <f>'Single Audit Cover'!A4</f>
        <v>Year Ending June 30, 2019</v>
      </c>
      <c r="C4" s="2478"/>
      <c r="D4" s="2478"/>
      <c r="E4" s="2478"/>
      <c r="F4" s="2478"/>
      <c r="G4" s="2478"/>
      <c r="H4" s="2478"/>
      <c r="I4" s="2478"/>
      <c r="J4" s="2478"/>
      <c r="K4" s="2478"/>
      <c r="L4" s="1939"/>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3</v>
      </c>
      <c r="E8" s="322"/>
      <c r="F8" s="1381" t="s">
        <v>1295</v>
      </c>
      <c r="G8" s="1453"/>
      <c r="H8" s="1454" t="s">
        <v>1307</v>
      </c>
      <c r="I8" s="1453" t="s">
        <v>2068</v>
      </c>
      <c r="J8" s="1455" t="s">
        <v>1306</v>
      </c>
      <c r="L8" s="322"/>
    </row>
    <row r="9" spans="1:12" ht="13.5" customHeight="1" x14ac:dyDescent="0.2">
      <c r="D9" s="322"/>
      <c r="E9" s="322"/>
      <c r="F9" s="322"/>
      <c r="G9" s="1380"/>
      <c r="H9" s="322"/>
      <c r="I9" s="1456" t="s">
        <v>1292</v>
      </c>
      <c r="J9" s="322"/>
      <c r="K9" s="1457">
        <v>2017</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t="s">
        <v>2194</v>
      </c>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2126</v>
      </c>
      <c r="E14" s="2485"/>
      <c r="F14" s="2485"/>
      <c r="H14" s="1459" t="s">
        <v>1303</v>
      </c>
      <c r="I14" s="2486" t="s">
        <v>2120</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2190</v>
      </c>
      <c r="E16" s="2486"/>
      <c r="F16" s="2486"/>
      <c r="G16" s="2486"/>
      <c r="H16" s="2486"/>
      <c r="I16" s="2486"/>
      <c r="J16" s="2486"/>
      <c r="K16" s="2486"/>
      <c r="L16" s="322"/>
    </row>
    <row r="17" spans="2:12" ht="13.5" customHeight="1" x14ac:dyDescent="0.2">
      <c r="B17" s="1384" t="s">
        <v>1301</v>
      </c>
      <c r="C17" s="1384"/>
      <c r="D17" s="2487" t="s">
        <v>2180</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t="s">
        <v>2191</v>
      </c>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t="s">
        <v>2223</v>
      </c>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t="s">
        <v>2192</v>
      </c>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t="s">
        <v>2193</v>
      </c>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t="s">
        <v>2225</v>
      </c>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t="s">
        <v>2226</v>
      </c>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t="s">
        <v>2227</v>
      </c>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t="s">
        <v>2185</v>
      </c>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44-3&amp;R&amp;8Page 44-3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26027-108A-46CD-9A20-93F53B06AF86}">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Beardstown CUSD 15</v>
      </c>
      <c r="C1" s="2482"/>
      <c r="D1" s="2482"/>
      <c r="E1" s="2482"/>
      <c r="F1" s="2482"/>
      <c r="G1" s="2482"/>
      <c r="H1" s="2482"/>
      <c r="I1" s="2482"/>
      <c r="J1" s="2482"/>
      <c r="K1" s="2482"/>
      <c r="L1" s="1449"/>
    </row>
    <row r="2" spans="1:12" ht="12.75" customHeight="1" x14ac:dyDescent="0.2">
      <c r="B2" s="2483">
        <f>'Single Audit Cover'!E7</f>
        <v>1009015026</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937"/>
    </row>
    <row r="4" spans="1:12" ht="12.75" customHeight="1" x14ac:dyDescent="0.2">
      <c r="B4" s="2478" t="str">
        <f>'Single Audit Cover'!A4</f>
        <v>Year Ending June 30, 2019</v>
      </c>
      <c r="C4" s="2478"/>
      <c r="D4" s="2478"/>
      <c r="E4" s="2478"/>
      <c r="F4" s="2478"/>
      <c r="G4" s="2478"/>
      <c r="H4" s="2478"/>
      <c r="I4" s="2478"/>
      <c r="J4" s="2478"/>
      <c r="K4" s="2478"/>
      <c r="L4" s="1937"/>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v>4</v>
      </c>
      <c r="E8" s="322"/>
      <c r="F8" s="1381" t="s">
        <v>1295</v>
      </c>
      <c r="G8" s="1453" t="s">
        <v>2068</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t="s">
        <v>2177</v>
      </c>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t="s">
        <v>2195</v>
      </c>
      <c r="E14" s="2485"/>
      <c r="F14" s="2485"/>
      <c r="H14" s="1459" t="s">
        <v>1303</v>
      </c>
      <c r="I14" s="2486" t="s">
        <v>2115</v>
      </c>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t="s">
        <v>2179</v>
      </c>
      <c r="E16" s="2486"/>
      <c r="F16" s="2486"/>
      <c r="G16" s="2486"/>
      <c r="H16" s="2486"/>
      <c r="I16" s="2486"/>
      <c r="J16" s="2486"/>
      <c r="K16" s="2486"/>
      <c r="L16" s="322"/>
    </row>
    <row r="17" spans="2:12" ht="13.5" customHeight="1" x14ac:dyDescent="0.2">
      <c r="B17" s="1384" t="s">
        <v>1301</v>
      </c>
      <c r="C17" s="1384"/>
      <c r="D17" s="2487" t="s">
        <v>2180</v>
      </c>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t="s">
        <v>2228</v>
      </c>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t="s">
        <v>2229</v>
      </c>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t="s">
        <v>2192</v>
      </c>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t="s">
        <v>2200</v>
      </c>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t="s">
        <v>2196</v>
      </c>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t="s">
        <v>2197</v>
      </c>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t="s">
        <v>2198</v>
      </c>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t="s">
        <v>2199</v>
      </c>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44-4&amp;R&amp;8Page 44-4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2" sqref="B2:D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Beardstown CUSD 15</v>
      </c>
      <c r="C1" s="2455"/>
      <c r="D1" s="2455"/>
      <c r="E1" s="1469"/>
    </row>
    <row r="2" spans="2:5" s="1279" customFormat="1" ht="12.75" customHeight="1" x14ac:dyDescent="0.2">
      <c r="B2" s="2457">
        <f>'Single Audit Cover'!E7</f>
        <v>1009015026</v>
      </c>
      <c r="C2" s="2457"/>
      <c r="D2" s="2457"/>
      <c r="E2" s="1470"/>
    </row>
    <row r="3" spans="2:5" ht="12.75" customHeight="1" x14ac:dyDescent="0.2">
      <c r="B3" s="2478" t="s">
        <v>1763</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2153</v>
      </c>
      <c r="C7" s="324" t="s">
        <v>2230</v>
      </c>
      <c r="D7" s="324"/>
      <c r="E7" s="324"/>
    </row>
    <row r="8" spans="2:5" ht="13.5" customHeight="1" x14ac:dyDescent="0.2">
      <c r="B8" s="1474"/>
      <c r="C8" s="324" t="s">
        <v>2154</v>
      </c>
      <c r="D8" s="324"/>
      <c r="E8" s="324"/>
    </row>
    <row r="9" spans="2:5" ht="13.5" customHeight="1" x14ac:dyDescent="0.2">
      <c r="B9" s="1475"/>
      <c r="C9" s="323" t="s">
        <v>2155</v>
      </c>
      <c r="D9" s="323"/>
      <c r="E9" s="323"/>
    </row>
    <row r="10" spans="2:5" ht="13.5" customHeight="1" x14ac:dyDescent="0.2">
      <c r="B10" s="1474"/>
      <c r="C10" s="323" t="s">
        <v>2231</v>
      </c>
      <c r="D10" s="323" t="s">
        <v>2233</v>
      </c>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t="s">
        <v>2156</v>
      </c>
      <c r="C14" s="323" t="s">
        <v>2157</v>
      </c>
      <c r="D14" s="323"/>
      <c r="E14" s="323"/>
    </row>
    <row r="15" spans="2:5" ht="13.5" customHeight="1" x14ac:dyDescent="0.2">
      <c r="B15" s="1474"/>
      <c r="C15" s="323" t="s">
        <v>2158</v>
      </c>
      <c r="D15" s="323"/>
      <c r="E15" s="323"/>
    </row>
    <row r="16" spans="2:5" ht="13.5" customHeight="1" x14ac:dyDescent="0.2">
      <c r="B16" s="1474"/>
      <c r="C16" s="323" t="s">
        <v>2159</v>
      </c>
      <c r="D16" s="323"/>
      <c r="E16" s="323"/>
    </row>
    <row r="17" spans="2:5" ht="13.5" customHeight="1" x14ac:dyDescent="0.2">
      <c r="B17" s="1474"/>
      <c r="C17" s="323" t="s">
        <v>2232</v>
      </c>
      <c r="D17" s="323" t="s">
        <v>2216</v>
      </c>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67828804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1.80647E-2</v>
      </c>
      <c r="E10" s="356" t="s">
        <v>1005</v>
      </c>
      <c r="F10" s="355">
        <v>4.9088999999999999E-3</v>
      </c>
      <c r="G10" s="356" t="s">
        <v>1005</v>
      </c>
      <c r="H10" s="355">
        <v>1.9635999999999998E-3</v>
      </c>
      <c r="I10" s="356" t="s">
        <v>1006</v>
      </c>
      <c r="J10" s="1732">
        <f>ROUND(D10+F10+H10,5)</f>
        <v>2.494E-2</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14866986</v>
      </c>
      <c r="E16" s="356"/>
      <c r="F16" s="1733">
        <f>SUM('Acct Summary 7-8'!C17,'Acct Summary 7-8'!D17,'Acct Summary 7-8'!F17)</f>
        <v>13082373</v>
      </c>
      <c r="G16" s="356"/>
      <c r="H16" s="1733">
        <f>SUM(D16-F16)</f>
        <v>1784613</v>
      </c>
      <c r="I16" s="222"/>
      <c r="J16" s="1733">
        <f>SUM('Acct Summary 7-8'!C81,'Acct Summary 7-8'!D81,'Acct Summary 7-8'!F81,'Acct Summary 7-8'!I81)</f>
        <v>10765591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9360374.9520000014</v>
      </c>
      <c r="I31" s="368"/>
      <c r="J31" s="222"/>
      <c r="K31" s="222"/>
      <c r="L31" s="222"/>
      <c r="M31" s="222"/>
    </row>
    <row r="32" spans="1:13" ht="13.35" customHeight="1" x14ac:dyDescent="0.2">
      <c r="B32" s="369" t="s">
        <v>2068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2204887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R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Beardstown CUSD 15</v>
      </c>
      <c r="E7" s="391"/>
      <c r="G7" s="252"/>
      <c r="H7" s="387"/>
      <c r="I7" s="387"/>
      <c r="J7" s="387"/>
      <c r="K7" s="387"/>
      <c r="L7" s="329"/>
      <c r="M7" s="329"/>
      <c r="N7" s="329"/>
      <c r="O7" s="329"/>
      <c r="P7" s="329"/>
    </row>
    <row r="8" spans="1:18" ht="12.75" x14ac:dyDescent="0.2">
      <c r="A8" s="329"/>
      <c r="B8" s="329"/>
      <c r="C8" s="389" t="s">
        <v>1125</v>
      </c>
      <c r="D8" s="392">
        <f>COVER!A13</f>
        <v>1009015026</v>
      </c>
      <c r="E8" s="393"/>
      <c r="G8" s="329"/>
      <c r="H8" s="329"/>
      <c r="I8" s="329"/>
      <c r="J8" s="329"/>
      <c r="K8" s="329"/>
      <c r="L8" s="329"/>
      <c r="M8" s="329"/>
      <c r="N8" s="329"/>
      <c r="O8" s="329"/>
      <c r="P8" s="329"/>
    </row>
    <row r="9" spans="1:18" ht="12.75" x14ac:dyDescent="0.2">
      <c r="A9" s="329"/>
      <c r="B9" s="329"/>
      <c r="C9" s="389" t="s">
        <v>713</v>
      </c>
      <c r="D9" s="394" t="str">
        <f>COVER!A15</f>
        <v xml:space="preserve">Cass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10765591</v>
      </c>
      <c r="I12" s="404"/>
      <c r="J12" s="404"/>
      <c r="K12" s="405">
        <f>TRUNC((H12/H13*100000),5)/100000</f>
        <v>0.72412733819999997</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14866986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13082373</v>
      </c>
      <c r="I17" s="404"/>
      <c r="J17" s="416"/>
      <c r="K17" s="405">
        <f>TRUNC((H17/H18*100000),5)/100000</f>
        <v>0.87996134520000002</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14866986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10887764</v>
      </c>
      <c r="I24" s="422"/>
      <c r="J24" s="422"/>
      <c r="K24" s="423">
        <f>TRUNC(((H24/H25*100000)/100000),2)</f>
        <v>299.60000000000002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36339.925000000003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1437902.8160000001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2204887</v>
      </c>
      <c r="I32" s="420"/>
      <c r="J32" s="420"/>
      <c r="K32" s="423">
        <f>TRUNC(100-((((H32/H33*100))*100)/100),2)</f>
        <v>76.44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9360374.9520000014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5" sqref="A15:F15"/>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5449782</v>
      </c>
      <c r="D4" s="466">
        <v>1315996</v>
      </c>
      <c r="E4" s="466">
        <v>24573</v>
      </c>
      <c r="F4" s="466">
        <v>1270688</v>
      </c>
      <c r="G4" s="466">
        <v>872738</v>
      </c>
      <c r="H4" s="466">
        <v>1054359</v>
      </c>
      <c r="I4" s="466"/>
      <c r="J4" s="467">
        <v>745118</v>
      </c>
      <c r="K4" s="466">
        <v>961288</v>
      </c>
      <c r="L4" s="466">
        <v>362604</v>
      </c>
      <c r="M4" s="468"/>
      <c r="N4" s="469"/>
    </row>
    <row r="5" spans="1:14" x14ac:dyDescent="0.2">
      <c r="A5" s="463" t="s">
        <v>992</v>
      </c>
      <c r="B5" s="470">
        <v>120</v>
      </c>
      <c r="C5" s="465">
        <v>1839338</v>
      </c>
      <c r="D5" s="466">
        <v>200000</v>
      </c>
      <c r="E5" s="466"/>
      <c r="F5" s="466"/>
      <c r="G5" s="466"/>
      <c r="H5" s="466"/>
      <c r="I5" s="466">
        <v>811960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59</v>
      </c>
      <c r="D7" s="467"/>
      <c r="E7" s="467"/>
      <c r="F7" s="467"/>
      <c r="G7" s="467">
        <v>13161</v>
      </c>
      <c r="H7" s="467">
        <v>100000</v>
      </c>
      <c r="I7" s="467"/>
      <c r="J7" s="467">
        <v>14863</v>
      </c>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9388</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7298567</v>
      </c>
      <c r="D13" s="1737">
        <f t="shared" ref="D13:L13" si="0">SUM(D4:D12)</f>
        <v>1515996</v>
      </c>
      <c r="E13" s="1737">
        <f t="shared" si="0"/>
        <v>24573</v>
      </c>
      <c r="F13" s="1737">
        <f t="shared" si="0"/>
        <v>1270688</v>
      </c>
      <c r="G13" s="1737">
        <f t="shared" si="0"/>
        <v>885899</v>
      </c>
      <c r="H13" s="1737">
        <f t="shared" si="0"/>
        <v>1154359</v>
      </c>
      <c r="I13" s="1737">
        <f t="shared" si="0"/>
        <v>811960</v>
      </c>
      <c r="J13" s="1737">
        <f t="shared" si="0"/>
        <v>759981</v>
      </c>
      <c r="K13" s="1737">
        <f t="shared" si="0"/>
        <v>961288</v>
      </c>
      <c r="L13" s="1737">
        <f t="shared" si="0"/>
        <v>362604</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142942</v>
      </c>
      <c r="N16" s="484"/>
    </row>
    <row r="17" spans="1:14" s="485" customFormat="1" ht="12.75" customHeight="1" x14ac:dyDescent="0.2">
      <c r="A17" s="482" t="s">
        <v>1403</v>
      </c>
      <c r="B17" s="483">
        <v>230</v>
      </c>
      <c r="C17" s="477"/>
      <c r="D17" s="477"/>
      <c r="E17" s="477"/>
      <c r="F17" s="477"/>
      <c r="G17" s="477"/>
      <c r="H17" s="477"/>
      <c r="I17" s="477"/>
      <c r="J17" s="477"/>
      <c r="K17" s="477"/>
      <c r="L17" s="477"/>
      <c r="M17" s="467">
        <v>33189859</v>
      </c>
      <c r="N17" s="484"/>
    </row>
    <row r="18" spans="1:14" s="485" customFormat="1" ht="12.75" customHeight="1" x14ac:dyDescent="0.2">
      <c r="A18" s="482" t="s">
        <v>1404</v>
      </c>
      <c r="B18" s="483">
        <v>240</v>
      </c>
      <c r="C18" s="477"/>
      <c r="D18" s="477"/>
      <c r="E18" s="477"/>
      <c r="F18" s="477"/>
      <c r="G18" s="477"/>
      <c r="H18" s="477"/>
      <c r="I18" s="477"/>
      <c r="J18" s="477"/>
      <c r="K18" s="477"/>
      <c r="L18" s="477"/>
      <c r="M18" s="467">
        <v>200339</v>
      </c>
      <c r="N18" s="484"/>
    </row>
    <row r="19" spans="1:14" s="485" customFormat="1" ht="12.75" customHeight="1" x14ac:dyDescent="0.2">
      <c r="A19" s="482" t="s">
        <v>1405</v>
      </c>
      <c r="B19" s="483">
        <v>250</v>
      </c>
      <c r="C19" s="477"/>
      <c r="D19" s="477"/>
      <c r="E19" s="477"/>
      <c r="F19" s="477"/>
      <c r="G19" s="477"/>
      <c r="H19" s="477"/>
      <c r="I19" s="477"/>
      <c r="J19" s="477"/>
      <c r="K19" s="477"/>
      <c r="L19" s="477"/>
      <c r="M19" s="467">
        <v>2227481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24573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2180314</v>
      </c>
    </row>
    <row r="23" spans="1:14" ht="13.5" customHeight="1" thickBot="1" x14ac:dyDescent="0.25">
      <c r="A23" s="1736" t="s">
        <v>643</v>
      </c>
      <c r="B23" s="1741"/>
      <c r="C23" s="468"/>
      <c r="D23" s="468"/>
      <c r="E23" s="468"/>
      <c r="F23" s="468"/>
      <c r="G23" s="468"/>
      <c r="H23" s="468"/>
      <c r="I23" s="468"/>
      <c r="J23" s="468"/>
      <c r="K23" s="468"/>
      <c r="L23" s="468"/>
      <c r="M23" s="1688">
        <f>SUM(M15:M22)</f>
        <v>35760621</v>
      </c>
      <c r="N23" s="1688">
        <f>SUM(N21:N22)</f>
        <v>2204887</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v>48024</v>
      </c>
      <c r="D25" s="478">
        <v>80000</v>
      </c>
      <c r="E25" s="478"/>
      <c r="F25" s="478"/>
      <c r="G25" s="478">
        <v>59</v>
      </c>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3596</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196289</v>
      </c>
      <c r="M33" s="468"/>
      <c r="N33" s="469"/>
    </row>
    <row r="34" spans="1:14" ht="13.5" customHeight="1" thickBot="1" x14ac:dyDescent="0.25">
      <c r="A34" s="1738" t="s">
        <v>654</v>
      </c>
      <c r="B34" s="1739"/>
      <c r="C34" s="1740">
        <f>SUM(C25:C33)</f>
        <v>51620</v>
      </c>
      <c r="D34" s="1740">
        <f t="shared" ref="D34:K34" si="1">SUM(D25:D33)</f>
        <v>80000</v>
      </c>
      <c r="E34" s="1740">
        <f t="shared" si="1"/>
        <v>0</v>
      </c>
      <c r="F34" s="1740">
        <f t="shared" si="1"/>
        <v>0</v>
      </c>
      <c r="G34" s="1740">
        <f t="shared" si="1"/>
        <v>59</v>
      </c>
      <c r="H34" s="1740">
        <f t="shared" si="1"/>
        <v>0</v>
      </c>
      <c r="I34" s="1740">
        <f t="shared" si="1"/>
        <v>0</v>
      </c>
      <c r="J34" s="1740">
        <f t="shared" si="1"/>
        <v>0</v>
      </c>
      <c r="K34" s="1740">
        <f t="shared" si="1"/>
        <v>0</v>
      </c>
      <c r="L34" s="1721">
        <f>SUM(L33)</f>
        <v>196289</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2204887</v>
      </c>
    </row>
    <row r="37" spans="1:14" ht="13.5" thickBot="1" x14ac:dyDescent="0.25">
      <c r="A37" s="1736" t="s">
        <v>653</v>
      </c>
      <c r="B37" s="1741"/>
      <c r="C37" s="477"/>
      <c r="D37" s="477"/>
      <c r="E37" s="477"/>
      <c r="F37" s="477"/>
      <c r="G37" s="477"/>
      <c r="H37" s="477"/>
      <c r="I37" s="477"/>
      <c r="J37" s="477"/>
      <c r="K37" s="477"/>
      <c r="L37" s="480"/>
      <c r="M37" s="468"/>
      <c r="N37" s="1688">
        <f>SUM(N36:N36)</f>
        <v>2204887</v>
      </c>
    </row>
    <row r="38" spans="1:14" s="329" customFormat="1" ht="13.5" customHeight="1" thickTop="1" x14ac:dyDescent="0.2">
      <c r="A38" s="496" t="s">
        <v>420</v>
      </c>
      <c r="B38" s="483">
        <v>714</v>
      </c>
      <c r="C38" s="466">
        <v>93935</v>
      </c>
      <c r="D38" s="466"/>
      <c r="E38" s="466">
        <v>24573</v>
      </c>
      <c r="F38" s="466"/>
      <c r="G38" s="466"/>
      <c r="H38" s="466">
        <v>1149379</v>
      </c>
      <c r="I38" s="466"/>
      <c r="J38" s="467"/>
      <c r="K38" s="466">
        <v>950000</v>
      </c>
      <c r="L38" s="481">
        <v>166315</v>
      </c>
      <c r="M38" s="497"/>
      <c r="N38" s="497"/>
    </row>
    <row r="39" spans="1:14" s="329" customFormat="1" ht="13.5" customHeight="1" x14ac:dyDescent="0.2">
      <c r="A39" s="496" t="s">
        <v>342</v>
      </c>
      <c r="B39" s="483">
        <v>730</v>
      </c>
      <c r="C39" s="466">
        <v>7153012</v>
      </c>
      <c r="D39" s="466">
        <v>1435996</v>
      </c>
      <c r="E39" s="466"/>
      <c r="F39" s="466">
        <v>1270688</v>
      </c>
      <c r="G39" s="466">
        <v>885840</v>
      </c>
      <c r="H39" s="466">
        <v>4980</v>
      </c>
      <c r="I39" s="466">
        <v>811960</v>
      </c>
      <c r="J39" s="467">
        <v>759981</v>
      </c>
      <c r="K39" s="466">
        <v>11288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35760621</v>
      </c>
      <c r="N40" s="497"/>
    </row>
    <row r="41" spans="1:14" ht="13.5" customHeight="1" thickBot="1" x14ac:dyDescent="0.25">
      <c r="A41" s="1736" t="s">
        <v>655</v>
      </c>
      <c r="B41" s="1706"/>
      <c r="C41" s="1688">
        <f>(SUM(C34,C37,C38,C39))</f>
        <v>7298567</v>
      </c>
      <c r="D41" s="1688">
        <f t="shared" ref="D41:L41" si="2">SUM(D34,D37,D38:D39)</f>
        <v>1515996</v>
      </c>
      <c r="E41" s="1688">
        <f t="shared" si="2"/>
        <v>24573</v>
      </c>
      <c r="F41" s="1688">
        <f t="shared" si="2"/>
        <v>1270688</v>
      </c>
      <c r="G41" s="1688">
        <f t="shared" si="2"/>
        <v>885899</v>
      </c>
      <c r="H41" s="1688">
        <f t="shared" si="2"/>
        <v>1154359</v>
      </c>
      <c r="I41" s="1688">
        <f t="shared" si="2"/>
        <v>811960</v>
      </c>
      <c r="J41" s="1688">
        <f t="shared" si="2"/>
        <v>759981</v>
      </c>
      <c r="K41" s="1688">
        <f t="shared" si="2"/>
        <v>961288</v>
      </c>
      <c r="L41" s="1688">
        <f t="shared" si="2"/>
        <v>362604</v>
      </c>
      <c r="M41" s="1688">
        <f>SUM(M40)</f>
        <v>35760621</v>
      </c>
      <c r="N41" s="1688">
        <f>SUM(N37)</f>
        <v>2204887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5" sqref="A15:F15"/>
      <selection pane="bottomLeft" activeCell="A15" sqref="A15:F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1150315</v>
      </c>
      <c r="D4" s="1742">
        <f>'Revenues 9-14'!D109</f>
        <v>426915</v>
      </c>
      <c r="E4" s="1742">
        <f>'Revenues 9-14'!E109</f>
        <v>538359</v>
      </c>
      <c r="F4" s="1742">
        <f>'Revenues 9-14'!F109</f>
        <v>203431</v>
      </c>
      <c r="G4" s="1742">
        <f>'Revenues 9-14'!G109</f>
        <v>398399</v>
      </c>
      <c r="H4" s="1742">
        <f>'Revenues 9-14'!H109</f>
        <v>332903</v>
      </c>
      <c r="I4" s="1742">
        <f>'Revenues 9-14'!I109</f>
        <v>2432</v>
      </c>
      <c r="J4" s="1742">
        <f>'Revenues 9-14'!J109</f>
        <v>344737</v>
      </c>
      <c r="K4" s="1742">
        <f>'Revenues 9-14'!K109</f>
        <v>7964</v>
      </c>
      <c r="L4" s="347"/>
    </row>
    <row r="5" spans="1:13" ht="15.75" customHeight="1" x14ac:dyDescent="0.2">
      <c r="A5" s="1576" t="s">
        <v>1500</v>
      </c>
      <c r="B5" s="1577">
        <v>2000</v>
      </c>
      <c r="C5" s="1743">
        <f>'Revenues 9-14'!C114</f>
        <v>23880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11016654</v>
      </c>
      <c r="D6" s="1743">
        <f>'Revenues 9-14'!D170</f>
        <v>180000</v>
      </c>
      <c r="E6" s="1743">
        <f>'Revenues 9-14'!E170</f>
        <v>0</v>
      </c>
      <c r="F6" s="1743">
        <f>'Revenues 9-14'!F170</f>
        <v>264197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1599162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13790011</v>
      </c>
      <c r="D8" s="1688">
        <f t="shared" ref="D8:K8" si="0">SUM(D4:D7)</f>
        <v>606915</v>
      </c>
      <c r="E8" s="1688">
        <f t="shared" si="0"/>
        <v>538359</v>
      </c>
      <c r="F8" s="1688">
        <f t="shared" si="0"/>
        <v>467628</v>
      </c>
      <c r="G8" s="1688">
        <f t="shared" si="0"/>
        <v>398399</v>
      </c>
      <c r="H8" s="1688">
        <f t="shared" si="0"/>
        <v>332903</v>
      </c>
      <c r="I8" s="1688">
        <f t="shared" si="0"/>
        <v>2432</v>
      </c>
      <c r="J8" s="1688">
        <f t="shared" si="0"/>
        <v>344737</v>
      </c>
      <c r="K8" s="1688">
        <f t="shared" si="0"/>
        <v>7964</v>
      </c>
      <c r="L8" s="347"/>
    </row>
    <row r="9" spans="1:13" ht="15.75" thickTop="1" x14ac:dyDescent="0.2">
      <c r="A9" s="514" t="s">
        <v>1653</v>
      </c>
      <c r="B9" s="515">
        <v>3998</v>
      </c>
      <c r="C9" s="481">
        <v>4220970</v>
      </c>
      <c r="D9" s="516"/>
      <c r="E9" s="481"/>
      <c r="F9" s="481"/>
      <c r="G9" s="517"/>
      <c r="H9" s="481"/>
      <c r="I9" s="509" t="s">
        <v>1169</v>
      </c>
      <c r="J9" s="478"/>
      <c r="K9" s="481"/>
      <c r="L9" s="347"/>
    </row>
    <row r="10" spans="1:13" s="519" customFormat="1" ht="13.5" thickBot="1" x14ac:dyDescent="0.25">
      <c r="A10" s="1736" t="s">
        <v>1173</v>
      </c>
      <c r="B10" s="1709"/>
      <c r="C10" s="1688">
        <f>SUM(C8:C9)</f>
        <v>18010981</v>
      </c>
      <c r="D10" s="1688">
        <f t="shared" ref="D10:K10" si="1">SUM(D8:D9)</f>
        <v>606915</v>
      </c>
      <c r="E10" s="1688">
        <f t="shared" si="1"/>
        <v>538359</v>
      </c>
      <c r="F10" s="1688">
        <f t="shared" si="1"/>
        <v>467628</v>
      </c>
      <c r="G10" s="1688">
        <f t="shared" si="1"/>
        <v>398399</v>
      </c>
      <c r="H10" s="1688">
        <f t="shared" si="1"/>
        <v>332903</v>
      </c>
      <c r="I10" s="1688">
        <f t="shared" si="1"/>
        <v>2432</v>
      </c>
      <c r="J10" s="1688">
        <f t="shared" si="1"/>
        <v>344737</v>
      </c>
      <c r="K10" s="1688">
        <f t="shared" si="1"/>
        <v>7964</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7909307</v>
      </c>
      <c r="D12" s="520" t="s">
        <v>1169</v>
      </c>
      <c r="E12" s="468" t="s">
        <v>1169</v>
      </c>
      <c r="F12" s="468" t="s">
        <v>1169</v>
      </c>
      <c r="G12" s="1742">
        <f>'Expenditures 15-22'!K229</f>
        <v>191826</v>
      </c>
      <c r="H12" s="521"/>
      <c r="I12" s="468" t="s">
        <v>1169</v>
      </c>
      <c r="J12" s="468" t="s">
        <v>1169</v>
      </c>
      <c r="K12" s="521" t="s">
        <v>1169</v>
      </c>
      <c r="L12" s="347"/>
    </row>
    <row r="13" spans="1:13" ht="15.75" customHeight="1" x14ac:dyDescent="0.2">
      <c r="A13" s="1576" t="s">
        <v>457</v>
      </c>
      <c r="B13" s="1578">
        <v>2000</v>
      </c>
      <c r="C13" s="1743">
        <f>'Expenditures 15-22'!K74</f>
        <v>3343650</v>
      </c>
      <c r="D13" s="1743">
        <f>'Expenditures 15-22'!K129</f>
        <v>531944</v>
      </c>
      <c r="E13" s="469" t="s">
        <v>1169</v>
      </c>
      <c r="F13" s="1743">
        <f>'Expenditures 15-22'!K184</f>
        <v>282076</v>
      </c>
      <c r="G13" s="1743">
        <f>'Expenditures 15-22'!K279</f>
        <v>208534</v>
      </c>
      <c r="H13" s="1743">
        <f>'Expenditures 15-22'!K303</f>
        <v>0</v>
      </c>
      <c r="I13" s="468" t="s">
        <v>1169</v>
      </c>
      <c r="J13" s="1743">
        <f>'Expenditures 15-22'!K330</f>
        <v>331375</v>
      </c>
      <c r="K13" s="1747">
        <f>'Expenditures 15-22'!K352</f>
        <v>0</v>
      </c>
      <c r="L13" s="347"/>
    </row>
    <row r="14" spans="1:13" ht="15.75" customHeight="1" x14ac:dyDescent="0.2">
      <c r="A14" s="1576" t="s">
        <v>449</v>
      </c>
      <c r="B14" s="1578">
        <v>3000</v>
      </c>
      <c r="C14" s="1743">
        <f>'Expenditures 15-22'!K75</f>
        <v>300074</v>
      </c>
      <c r="D14" s="1743">
        <f>'Expenditures 15-22'!K130</f>
        <v>0</v>
      </c>
      <c r="E14" s="520" t="s">
        <v>1169</v>
      </c>
      <c r="F14" s="1743">
        <f>'Expenditures 15-22'!K185</f>
        <v>0</v>
      </c>
      <c r="G14" s="1743">
        <f>'Expenditures 15-22'!K280</f>
        <v>32344</v>
      </c>
      <c r="H14" s="512"/>
      <c r="I14" s="468" t="s">
        <v>1169</v>
      </c>
      <c r="J14" s="468" t="s">
        <v>1169</v>
      </c>
      <c r="K14" s="512" t="s">
        <v>1169</v>
      </c>
      <c r="L14" s="347"/>
    </row>
    <row r="15" spans="1:13" ht="15.75" customHeight="1" x14ac:dyDescent="0.2">
      <c r="A15" s="1576" t="s">
        <v>107</v>
      </c>
      <c r="B15" s="1578">
        <v>4000</v>
      </c>
      <c r="C15" s="1743">
        <f>'Expenditures 15-22'!K102</f>
        <v>645750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1354</v>
      </c>
      <c r="D16" s="1743">
        <f>'Expenditures 15-22'!K149</f>
        <v>0</v>
      </c>
      <c r="E16" s="1743">
        <f>'Expenditures 15-22'!K172</f>
        <v>895385</v>
      </c>
      <c r="F16" s="1743">
        <f>'Expenditures 15-22'!K208</f>
        <v>68218</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12200135</v>
      </c>
      <c r="D17" s="1688">
        <f t="shared" si="2"/>
        <v>531944</v>
      </c>
      <c r="E17" s="1688">
        <f t="shared" si="2"/>
        <v>895385</v>
      </c>
      <c r="F17" s="1688">
        <f t="shared" si="2"/>
        <v>350294</v>
      </c>
      <c r="G17" s="1688">
        <f t="shared" si="2"/>
        <v>432704</v>
      </c>
      <c r="H17" s="1688">
        <f t="shared" si="2"/>
        <v>0</v>
      </c>
      <c r="I17" s="468"/>
      <c r="J17" s="1688">
        <f>SUM(J12:J16)</f>
        <v>331375</v>
      </c>
      <c r="K17" s="1688">
        <f>SUM(K12:K16)</f>
        <v>0</v>
      </c>
      <c r="L17" s="347"/>
    </row>
    <row r="18" spans="1:12" ht="15" customHeight="1" thickTop="1" x14ac:dyDescent="0.2">
      <c r="A18" s="1744" t="s">
        <v>1654</v>
      </c>
      <c r="B18" s="1745">
        <v>4180</v>
      </c>
      <c r="C18" s="1742">
        <f t="shared" ref="C18:H18" si="3">C9</f>
        <v>4220970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16421105</v>
      </c>
      <c r="D19" s="1688">
        <f t="shared" si="4"/>
        <v>531944</v>
      </c>
      <c r="E19" s="1688">
        <f t="shared" si="4"/>
        <v>895385</v>
      </c>
      <c r="F19" s="1688">
        <f t="shared" si="4"/>
        <v>350294</v>
      </c>
      <c r="G19" s="1688">
        <f t="shared" si="4"/>
        <v>432704</v>
      </c>
      <c r="H19" s="1688">
        <f t="shared" si="4"/>
        <v>0</v>
      </c>
      <c r="I19" s="468"/>
      <c r="J19" s="1688">
        <f>SUM(J17:J18)</f>
        <v>331375</v>
      </c>
      <c r="K19" s="1688">
        <f>SUM(K17:K18)</f>
        <v>0</v>
      </c>
      <c r="L19" s="347"/>
    </row>
    <row r="20" spans="1:12" ht="16.5" thickTop="1" thickBot="1" x14ac:dyDescent="0.25">
      <c r="A20" s="2128" t="s">
        <v>1655</v>
      </c>
      <c r="B20" s="2129"/>
      <c r="C20" s="1746">
        <f>C8-C17</f>
        <v>1589876</v>
      </c>
      <c r="D20" s="1746">
        <f t="shared" ref="D20:K20" si="5">D8-D17</f>
        <v>74971</v>
      </c>
      <c r="E20" s="1746">
        <f t="shared" si="5"/>
        <v>-357026</v>
      </c>
      <c r="F20" s="1746">
        <f t="shared" si="5"/>
        <v>117334</v>
      </c>
      <c r="G20" s="1746">
        <f t="shared" si="5"/>
        <v>-34305</v>
      </c>
      <c r="H20" s="1746">
        <f t="shared" si="5"/>
        <v>332903</v>
      </c>
      <c r="I20" s="1746">
        <f t="shared" si="5"/>
        <v>2432</v>
      </c>
      <c r="J20" s="1746">
        <f t="shared" si="5"/>
        <v>13362</v>
      </c>
      <c r="K20" s="1746">
        <f t="shared" si="5"/>
        <v>7964</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950000</v>
      </c>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950000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8884</v>
      </c>
      <c r="D75" s="531"/>
      <c r="E75" s="530"/>
      <c r="F75" s="532"/>
      <c r="G75" s="532"/>
      <c r="H75" s="532"/>
      <c r="I75" s="530"/>
      <c r="J75" s="530"/>
      <c r="K75" s="532"/>
      <c r="L75" s="524"/>
    </row>
    <row r="76" spans="1:12" s="485" customFormat="1" ht="14.25" thickTop="1" thickBot="1" x14ac:dyDescent="0.25">
      <c r="A76" s="2118" t="s">
        <v>440</v>
      </c>
      <c r="B76" s="2119"/>
      <c r="C76" s="1703">
        <f t="shared" ref="C76:K76" si="7">SUM(C47:C75)</f>
        <v>8884</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-8884</v>
      </c>
      <c r="D77" s="1703">
        <f t="shared" si="8"/>
        <v>0</v>
      </c>
      <c r="E77" s="1703">
        <f t="shared" si="8"/>
        <v>0</v>
      </c>
      <c r="F77" s="1703">
        <f t="shared" si="8"/>
        <v>0</v>
      </c>
      <c r="G77" s="1703">
        <f t="shared" si="8"/>
        <v>0</v>
      </c>
      <c r="H77" s="1703">
        <f t="shared" si="8"/>
        <v>0</v>
      </c>
      <c r="I77" s="1703">
        <f t="shared" si="8"/>
        <v>0</v>
      </c>
      <c r="J77" s="1703">
        <f t="shared" si="8"/>
        <v>0</v>
      </c>
      <c r="K77" s="1703">
        <f t="shared" si="8"/>
        <v>950000</v>
      </c>
      <c r="L77" s="347"/>
    </row>
    <row r="78" spans="1:12" ht="21.75" customHeight="1" thickTop="1" thickBot="1" x14ac:dyDescent="0.25">
      <c r="A78" s="2124" t="s">
        <v>597</v>
      </c>
      <c r="B78" s="2125"/>
      <c r="C78" s="1702">
        <f t="shared" ref="C78:K78" si="9">C20+C77</f>
        <v>1580992</v>
      </c>
      <c r="D78" s="1702">
        <f t="shared" si="9"/>
        <v>74971</v>
      </c>
      <c r="E78" s="1702">
        <f t="shared" si="9"/>
        <v>-357026</v>
      </c>
      <c r="F78" s="1702">
        <f t="shared" si="9"/>
        <v>117334</v>
      </c>
      <c r="G78" s="1702">
        <f t="shared" si="9"/>
        <v>-34305</v>
      </c>
      <c r="H78" s="1702">
        <f t="shared" si="9"/>
        <v>332903</v>
      </c>
      <c r="I78" s="1702">
        <f t="shared" si="9"/>
        <v>2432</v>
      </c>
      <c r="J78" s="1702">
        <f t="shared" si="9"/>
        <v>13362</v>
      </c>
      <c r="K78" s="1702">
        <f t="shared" si="9"/>
        <v>957964</v>
      </c>
      <c r="L78" s="533"/>
    </row>
    <row r="79" spans="1:12" ht="13.5" thickTop="1" x14ac:dyDescent="0.2">
      <c r="A79" s="1494" t="s">
        <v>1946</v>
      </c>
      <c r="B79" s="534"/>
      <c r="C79" s="478">
        <v>5665955</v>
      </c>
      <c r="D79" s="535">
        <v>1361025</v>
      </c>
      <c r="E79" s="535">
        <v>381599</v>
      </c>
      <c r="F79" s="535">
        <v>1153354</v>
      </c>
      <c r="G79" s="535">
        <v>920145</v>
      </c>
      <c r="H79" s="535">
        <v>821456</v>
      </c>
      <c r="I79" s="535">
        <v>809528</v>
      </c>
      <c r="J79" s="535">
        <v>746619</v>
      </c>
      <c r="K79" s="535">
        <v>3324</v>
      </c>
      <c r="L79" s="347"/>
    </row>
    <row r="80" spans="1:12" x14ac:dyDescent="0.2">
      <c r="A80" s="2130" t="s">
        <v>1792</v>
      </c>
      <c r="B80" s="2131"/>
      <c r="C80" s="467"/>
      <c r="D80" s="467"/>
      <c r="E80" s="467"/>
      <c r="F80" s="467"/>
      <c r="G80" s="467"/>
      <c r="H80" s="467"/>
      <c r="I80" s="467"/>
      <c r="J80" s="467"/>
      <c r="K80" s="467"/>
      <c r="L80" s="347"/>
    </row>
    <row r="81" spans="1:12" ht="13.5" thickBot="1" x14ac:dyDescent="0.25">
      <c r="A81" s="2122" t="s">
        <v>1947</v>
      </c>
      <c r="B81" s="2123"/>
      <c r="C81" s="1688">
        <f>(SUM(C78:C80))</f>
        <v>7246947</v>
      </c>
      <c r="D81" s="1688">
        <f>SUM(D78:D80)</f>
        <v>1435996</v>
      </c>
      <c r="E81" s="1688">
        <f t="shared" ref="E81:K81" si="10">SUM(E78:E80)</f>
        <v>24573</v>
      </c>
      <c r="F81" s="1688">
        <f t="shared" si="10"/>
        <v>1270688</v>
      </c>
      <c r="G81" s="1688">
        <f t="shared" si="10"/>
        <v>885840</v>
      </c>
      <c r="H81" s="1688">
        <f t="shared" si="10"/>
        <v>1154359</v>
      </c>
      <c r="I81" s="1688">
        <f t="shared" si="10"/>
        <v>811960</v>
      </c>
      <c r="J81" s="1688">
        <f t="shared" si="10"/>
        <v>759981</v>
      </c>
      <c r="K81" s="1688">
        <f t="shared" si="10"/>
        <v>961288</v>
      </c>
      <c r="L81" s="347"/>
    </row>
    <row r="82" spans="1:12" ht="0.75" customHeight="1" thickTop="1" thickBot="1" x14ac:dyDescent="0.25">
      <c r="A82" s="536" t="s">
        <v>343</v>
      </c>
      <c r="B82" s="537"/>
      <c r="C82" s="538">
        <f>(C81-C79)</f>
        <v>1580992</v>
      </c>
      <c r="D82" s="538">
        <f t="shared" ref="D82:K82" si="11">(D81-D79)</f>
        <v>74971</v>
      </c>
      <c r="E82" s="538">
        <f t="shared" si="11"/>
        <v>-357026</v>
      </c>
      <c r="F82" s="538">
        <f t="shared" si="11"/>
        <v>117334</v>
      </c>
      <c r="G82" s="538">
        <f t="shared" si="11"/>
        <v>-34305</v>
      </c>
      <c r="H82" s="538">
        <f t="shared" si="11"/>
        <v>332903</v>
      </c>
      <c r="I82" s="538">
        <f t="shared" si="11"/>
        <v>2432</v>
      </c>
      <c r="J82" s="538">
        <f t="shared" si="11"/>
        <v>13362</v>
      </c>
      <c r="K82" s="538">
        <f t="shared" si="11"/>
        <v>957964</v>
      </c>
    </row>
    <row r="83" spans="1:12" ht="14.25" hidden="1" thickTop="1" thickBot="1" x14ac:dyDescent="0.25">
      <c r="A83" s="539" t="s">
        <v>344</v>
      </c>
      <c r="B83" s="464"/>
      <c r="C83" s="540">
        <f>C82/C81</f>
        <v>0.21815972988349439</v>
      </c>
      <c r="D83" s="540">
        <f t="shared" ref="D83:K83" si="12">D82/D81</f>
        <v>5.2208362697389127E-2</v>
      </c>
      <c r="E83" s="540">
        <f t="shared" si="12"/>
        <v>-14.529198714035731</v>
      </c>
      <c r="F83" s="540">
        <f t="shared" si="12"/>
        <v>9.23389533858823E-2</v>
      </c>
      <c r="G83" s="540">
        <f t="shared" si="12"/>
        <v>-3.8725955025738279E-2</v>
      </c>
      <c r="H83" s="540">
        <f t="shared" si="12"/>
        <v>0.28838775458934351</v>
      </c>
      <c r="I83" s="540">
        <f t="shared" si="12"/>
        <v>2.9952214394797774E-3</v>
      </c>
      <c r="J83" s="540">
        <f t="shared" si="12"/>
        <v>1.7582018497830868E-2</v>
      </c>
      <c r="K83" s="540">
        <f t="shared" si="12"/>
        <v>0.99654213929644397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5" sqref="A15:F15"/>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1799</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799613</v>
      </c>
      <c r="D5" s="481">
        <v>217286</v>
      </c>
      <c r="E5" s="466">
        <v>346523</v>
      </c>
      <c r="F5" s="548">
        <v>86914</v>
      </c>
      <c r="G5" s="466">
        <v>175041</v>
      </c>
      <c r="H5" s="466"/>
      <c r="I5" s="466"/>
      <c r="J5" s="467">
        <v>341213</v>
      </c>
      <c r="K5" s="466">
        <v>7184</v>
      </c>
    </row>
    <row r="6" spans="1:12" ht="15" x14ac:dyDescent="0.2">
      <c r="A6" s="463" t="s">
        <v>1662</v>
      </c>
      <c r="B6" s="470">
        <v>1130</v>
      </c>
      <c r="C6" s="466">
        <v>21424</v>
      </c>
      <c r="D6" s="466"/>
      <c r="E6" s="475"/>
      <c r="F6" s="475"/>
      <c r="G6" s="468"/>
      <c r="H6" s="468"/>
      <c r="I6" s="468"/>
      <c r="J6" s="468"/>
      <c r="K6" s="468"/>
    </row>
    <row r="7" spans="1:12" x14ac:dyDescent="0.2">
      <c r="A7" s="463" t="s">
        <v>110</v>
      </c>
      <c r="B7" s="549">
        <v>1140</v>
      </c>
      <c r="C7" s="466">
        <v>16988</v>
      </c>
      <c r="D7" s="466"/>
      <c r="E7" s="468"/>
      <c r="F7" s="467"/>
      <c r="G7" s="467"/>
      <c r="H7" s="467"/>
      <c r="I7" s="468"/>
      <c r="J7" s="468"/>
      <c r="K7" s="468"/>
    </row>
    <row r="8" spans="1:12" x14ac:dyDescent="0.2">
      <c r="A8" s="463" t="s">
        <v>413</v>
      </c>
      <c r="B8" s="470">
        <v>1150</v>
      </c>
      <c r="C8" s="475"/>
      <c r="D8" s="475"/>
      <c r="E8" s="477"/>
      <c r="F8" s="477"/>
      <c r="G8" s="481">
        <v>175041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838025</v>
      </c>
      <c r="D12" s="1707">
        <f t="shared" si="0"/>
        <v>217286</v>
      </c>
      <c r="E12" s="1707">
        <f t="shared" si="0"/>
        <v>346523</v>
      </c>
      <c r="F12" s="1707">
        <f t="shared" si="0"/>
        <v>86914</v>
      </c>
      <c r="G12" s="1707">
        <f t="shared" si="0"/>
        <v>350082</v>
      </c>
      <c r="H12" s="1707">
        <f t="shared" si="0"/>
        <v>0</v>
      </c>
      <c r="I12" s="1707">
        <f t="shared" si="0"/>
        <v>0</v>
      </c>
      <c r="J12" s="1707">
        <f t="shared" si="0"/>
        <v>341213</v>
      </c>
      <c r="K12" s="1688">
        <f t="shared" si="0"/>
        <v>7184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238</v>
      </c>
      <c r="D14" s="466">
        <v>62</v>
      </c>
      <c r="E14" s="466">
        <v>99</v>
      </c>
      <c r="F14" s="466">
        <v>25</v>
      </c>
      <c r="G14" s="466">
        <v>100</v>
      </c>
      <c r="H14" s="466"/>
      <c r="I14" s="466"/>
      <c r="J14" s="467">
        <v>97</v>
      </c>
      <c r="K14" s="466">
        <v>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119833</v>
      </c>
      <c r="E16" s="466"/>
      <c r="F16" s="466">
        <v>108275</v>
      </c>
      <c r="G16" s="466">
        <v>44000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238</v>
      </c>
      <c r="D18" s="1710">
        <f t="shared" ref="D18:K18" si="1">SUM(D14:D17)</f>
        <v>119895</v>
      </c>
      <c r="E18" s="1710">
        <f t="shared" si="1"/>
        <v>99</v>
      </c>
      <c r="F18" s="1710">
        <f t="shared" si="1"/>
        <v>108300</v>
      </c>
      <c r="G18" s="1710">
        <f t="shared" si="1"/>
        <v>44100</v>
      </c>
      <c r="H18" s="1710">
        <f t="shared" si="1"/>
        <v>0</v>
      </c>
      <c r="I18" s="1710">
        <f t="shared" si="1"/>
        <v>0</v>
      </c>
      <c r="J18" s="1710">
        <f t="shared" si="1"/>
        <v>97</v>
      </c>
      <c r="K18" s="1711">
        <f t="shared" si="1"/>
        <v>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1659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1659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3610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3610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20604</v>
      </c>
      <c r="D65" s="466">
        <v>5712</v>
      </c>
      <c r="E65" s="466">
        <v>926</v>
      </c>
      <c r="F65" s="467">
        <v>4607</v>
      </c>
      <c r="G65" s="466">
        <v>4217</v>
      </c>
      <c r="H65" s="466">
        <v>2968</v>
      </c>
      <c r="I65" s="466">
        <v>2432</v>
      </c>
      <c r="J65" s="467">
        <v>3427</v>
      </c>
      <c r="K65" s="466">
        <v>778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20604</v>
      </c>
      <c r="D67" s="1688">
        <f t="shared" ref="D67:K67" si="2">SUM(D65:D66)</f>
        <v>5712</v>
      </c>
      <c r="E67" s="1688">
        <f t="shared" si="2"/>
        <v>926</v>
      </c>
      <c r="F67" s="1688">
        <f t="shared" si="2"/>
        <v>4607</v>
      </c>
      <c r="G67" s="1688">
        <f t="shared" si="2"/>
        <v>4217</v>
      </c>
      <c r="H67" s="1688">
        <f t="shared" si="2"/>
        <v>2968</v>
      </c>
      <c r="I67" s="1688">
        <f t="shared" si="2"/>
        <v>2432</v>
      </c>
      <c r="J67" s="1688">
        <f t="shared" si="2"/>
        <v>3427</v>
      </c>
      <c r="K67" s="1688">
        <f t="shared" si="2"/>
        <v>778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144008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125</v>
      </c>
      <c r="D74" s="468"/>
      <c r="E74" s="468"/>
      <c r="F74" s="468"/>
      <c r="G74" s="468"/>
      <c r="H74" s="468"/>
      <c r="I74" s="468"/>
      <c r="J74" s="468"/>
      <c r="K74" s="468"/>
    </row>
    <row r="75" spans="1:11" ht="12.75" customHeight="1" thickBot="1" x14ac:dyDescent="0.25">
      <c r="A75" s="1708" t="s">
        <v>548</v>
      </c>
      <c r="B75" s="1709"/>
      <c r="C75" s="1688">
        <f>SUM(C69:C74)</f>
        <v>144133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39859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39859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28547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28547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3000</v>
      </c>
      <c r="D95" s="551">
        <v>4075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3450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164210</v>
      </c>
      <c r="F103" s="468"/>
      <c r="G103" s="468"/>
      <c r="H103" s="489">
        <v>329935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42299</v>
      </c>
      <c r="D106" s="489"/>
      <c r="E106" s="467"/>
      <c r="F106" s="467"/>
      <c r="G106" s="467"/>
      <c r="H106" s="467"/>
      <c r="I106" s="521"/>
      <c r="J106" s="467"/>
      <c r="K106" s="467"/>
    </row>
    <row r="107" spans="1:12" ht="12.75" customHeight="1" x14ac:dyDescent="0.2">
      <c r="A107" s="463" t="s">
        <v>78</v>
      </c>
      <c r="B107" s="470">
        <v>1999</v>
      </c>
      <c r="C107" s="551">
        <v>28501</v>
      </c>
      <c r="D107" s="466">
        <v>79947</v>
      </c>
      <c r="E107" s="466">
        <v>26601</v>
      </c>
      <c r="F107" s="466"/>
      <c r="G107" s="466"/>
      <c r="H107" s="466"/>
      <c r="I107" s="466"/>
      <c r="J107" s="467"/>
      <c r="K107" s="466"/>
    </row>
    <row r="108" spans="1:12" ht="12.75" customHeight="1" thickBot="1" x14ac:dyDescent="0.25">
      <c r="A108" s="1708" t="s">
        <v>487</v>
      </c>
      <c r="B108" s="1712"/>
      <c r="C108" s="1707">
        <f>SUM(C95:C107)</f>
        <v>77250</v>
      </c>
      <c r="D108" s="1707">
        <f t="shared" ref="D108:K108" si="3">SUM(D95:D107)</f>
        <v>84022</v>
      </c>
      <c r="E108" s="1707">
        <f t="shared" si="3"/>
        <v>190811</v>
      </c>
      <c r="F108" s="1707">
        <f t="shared" si="3"/>
        <v>0</v>
      </c>
      <c r="G108" s="1707">
        <f t="shared" si="3"/>
        <v>0</v>
      </c>
      <c r="H108" s="1707">
        <f t="shared" si="3"/>
        <v>329935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1150315</v>
      </c>
      <c r="D109" s="1715">
        <f t="shared" si="4"/>
        <v>426915</v>
      </c>
      <c r="E109" s="1715">
        <f t="shared" si="4"/>
        <v>538359</v>
      </c>
      <c r="F109" s="1715">
        <f t="shared" si="4"/>
        <v>203431</v>
      </c>
      <c r="G109" s="1715">
        <f t="shared" si="4"/>
        <v>398399</v>
      </c>
      <c r="H109" s="1715">
        <f t="shared" si="4"/>
        <v>332903</v>
      </c>
      <c r="I109" s="1715">
        <f t="shared" si="4"/>
        <v>2432</v>
      </c>
      <c r="J109" s="1715">
        <f t="shared" si="4"/>
        <v>344737</v>
      </c>
      <c r="K109" s="1702">
        <f t="shared" si="4"/>
        <v>7964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23880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23880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9930400</v>
      </c>
      <c r="D117" s="481">
        <v>180000</v>
      </c>
      <c r="E117" s="466"/>
      <c r="F117" s="481">
        <v>60000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9930400</v>
      </c>
      <c r="D122" s="1707">
        <f t="shared" si="5"/>
        <v>180000</v>
      </c>
      <c r="E122" s="1707">
        <f t="shared" si="5"/>
        <v>0</v>
      </c>
      <c r="F122" s="1707">
        <f t="shared" si="5"/>
        <v>60000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230594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10190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240784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15760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15760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14445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19945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66497</v>
      </c>
      <c r="G152" s="467"/>
      <c r="H152" s="468"/>
      <c r="I152" s="468"/>
      <c r="J152" s="468"/>
      <c r="K152" s="468"/>
    </row>
    <row r="153" spans="1:11" ht="12.75" customHeight="1" x14ac:dyDescent="0.2">
      <c r="A153" s="463" t="s">
        <v>1057</v>
      </c>
      <c r="B153" s="562">
        <v>3510</v>
      </c>
      <c r="C153" s="551"/>
      <c r="D153" s="466"/>
      <c r="E153" s="561"/>
      <c r="F153" s="466">
        <v>137700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204197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792766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2554</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1086254</v>
      </c>
      <c r="D169" s="1722">
        <f t="shared" si="6"/>
        <v>0</v>
      </c>
      <c r="E169" s="1722">
        <f t="shared" si="6"/>
        <v>0</v>
      </c>
      <c r="F169" s="1722">
        <f t="shared" si="6"/>
        <v>204197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11016654</v>
      </c>
      <c r="D170" s="1715">
        <f t="shared" si="7"/>
        <v>180000</v>
      </c>
      <c r="E170" s="1715">
        <f t="shared" si="7"/>
        <v>0</v>
      </c>
      <c r="F170" s="1715">
        <f t="shared" si="7"/>
        <v>264197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1800</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581219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192877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774096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311526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v>207677</v>
      </c>
      <c r="D202" s="466"/>
      <c r="E202" s="468"/>
      <c r="F202" s="466"/>
      <c r="G202" s="466"/>
      <c r="H202" s="468"/>
      <c r="I202" s="468"/>
      <c r="J202" s="468"/>
      <c r="K202" s="468"/>
    </row>
    <row r="203" spans="1:11" ht="12.75" customHeight="1" x14ac:dyDescent="0.2">
      <c r="A203" s="463" t="s">
        <v>72</v>
      </c>
      <c r="B203" s="470">
        <v>4399</v>
      </c>
      <c r="C203" s="551">
        <v>27451</v>
      </c>
      <c r="D203" s="466"/>
      <c r="E203" s="468"/>
      <c r="F203" s="466"/>
      <c r="G203" s="466"/>
      <c r="H203" s="468"/>
      <c r="I203" s="468"/>
      <c r="J203" s="468"/>
      <c r="K203" s="468"/>
    </row>
    <row r="204" spans="1:11" ht="12.75" customHeight="1" thickBot="1" x14ac:dyDescent="0.25">
      <c r="A204" s="1708" t="s">
        <v>400</v>
      </c>
      <c r="B204" s="1709"/>
      <c r="C204" s="1707">
        <f>SUM(C200:C203)</f>
        <v>546654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21619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21619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10254</v>
      </c>
      <c r="D255" s="468"/>
      <c r="E255" s="468"/>
      <c r="F255" s="578"/>
      <c r="G255" s="573"/>
      <c r="H255" s="468"/>
      <c r="I255" s="468"/>
      <c r="J255" s="468"/>
      <c r="K255" s="468"/>
    </row>
    <row r="256" spans="1:11" ht="12.75" customHeight="1" thickTop="1" thickBot="1" x14ac:dyDescent="0.25">
      <c r="A256" s="463" t="s">
        <v>1457</v>
      </c>
      <c r="B256" s="470">
        <v>4909</v>
      </c>
      <c r="C256" s="576">
        <v>82716</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29959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133864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1599162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1599162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13790011</v>
      </c>
      <c r="D268" s="1715">
        <f t="shared" si="12"/>
        <v>606915</v>
      </c>
      <c r="E268" s="1715">
        <f t="shared" si="12"/>
        <v>538359</v>
      </c>
      <c r="F268" s="1715">
        <f t="shared" si="12"/>
        <v>467628</v>
      </c>
      <c r="G268" s="1715">
        <f t="shared" si="12"/>
        <v>398399</v>
      </c>
      <c r="H268" s="1715">
        <f t="shared" si="12"/>
        <v>332903</v>
      </c>
      <c r="I268" s="1715">
        <f t="shared" si="12"/>
        <v>2432</v>
      </c>
      <c r="J268" s="1715">
        <f t="shared" si="12"/>
        <v>344737</v>
      </c>
      <c r="K268" s="1702">
        <f t="shared" si="12"/>
        <v>7964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5" sqref="A15:F15"/>
      <selection pane="bottomLeft"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3949428</v>
      </c>
      <c r="D5" s="466">
        <v>423614</v>
      </c>
      <c r="E5" s="466">
        <v>98169</v>
      </c>
      <c r="F5" s="466">
        <v>610715</v>
      </c>
      <c r="G5" s="466">
        <v>62774</v>
      </c>
      <c r="H5" s="466">
        <v>591</v>
      </c>
      <c r="I5" s="467"/>
      <c r="J5" s="467"/>
      <c r="K5" s="1671">
        <f>SUM(C5:J5)</f>
        <v>5145291</v>
      </c>
      <c r="L5" s="466">
        <v>5530124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1199481</v>
      </c>
      <c r="D8" s="466">
        <v>175004</v>
      </c>
      <c r="E8" s="466">
        <v>98944</v>
      </c>
      <c r="F8" s="466">
        <v>1187</v>
      </c>
      <c r="G8" s="466"/>
      <c r="H8" s="466"/>
      <c r="I8" s="467"/>
      <c r="J8" s="467"/>
      <c r="K8" s="1671">
        <f t="shared" si="0"/>
        <v>1474616</v>
      </c>
      <c r="L8" s="466">
        <v>1559010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310606</v>
      </c>
      <c r="D10" s="466">
        <v>49055</v>
      </c>
      <c r="E10" s="466">
        <v>52905</v>
      </c>
      <c r="F10" s="466">
        <v>153143</v>
      </c>
      <c r="G10" s="466">
        <v>79145</v>
      </c>
      <c r="H10" s="466"/>
      <c r="I10" s="467"/>
      <c r="J10" s="467"/>
      <c r="K10" s="1671">
        <f t="shared" si="0"/>
        <v>644854</v>
      </c>
      <c r="L10" s="466">
        <v>280765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146235</v>
      </c>
      <c r="D13" s="466">
        <v>5587</v>
      </c>
      <c r="E13" s="466"/>
      <c r="F13" s="466">
        <v>3729</v>
      </c>
      <c r="G13" s="466"/>
      <c r="H13" s="466"/>
      <c r="I13" s="467"/>
      <c r="J13" s="467"/>
      <c r="K13" s="1671">
        <f t="shared" si="0"/>
        <v>155551</v>
      </c>
      <c r="L13" s="466">
        <v>166369</v>
      </c>
    </row>
    <row r="14" spans="1:14" x14ac:dyDescent="0.2">
      <c r="A14" s="1504" t="s">
        <v>963</v>
      </c>
      <c r="B14" s="614">
        <v>1500</v>
      </c>
      <c r="C14" s="466">
        <v>115000</v>
      </c>
      <c r="D14" s="466">
        <v>8764</v>
      </c>
      <c r="E14" s="466">
        <v>47173</v>
      </c>
      <c r="F14" s="466">
        <v>20496</v>
      </c>
      <c r="G14" s="466"/>
      <c r="H14" s="466"/>
      <c r="I14" s="467"/>
      <c r="J14" s="467"/>
      <c r="K14" s="1671">
        <f t="shared" si="0"/>
        <v>191433</v>
      </c>
      <c r="L14" s="466">
        <v>184699</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v>244380</v>
      </c>
      <c r="D19" s="466">
        <v>49928</v>
      </c>
      <c r="E19" s="466">
        <v>3254</v>
      </c>
      <c r="F19" s="466"/>
      <c r="G19" s="466"/>
      <c r="H19" s="466"/>
      <c r="I19" s="467"/>
      <c r="J19" s="467"/>
      <c r="K19" s="1671">
        <f t="shared" si="0"/>
        <v>297562</v>
      </c>
      <c r="L19" s="466">
        <v>315804</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5965130</v>
      </c>
      <c r="D33" s="1670">
        <f t="shared" ref="D33:L33" si="1">SUM(D5:D32)</f>
        <v>711952</v>
      </c>
      <c r="E33" s="1670">
        <f t="shared" si="1"/>
        <v>300445</v>
      </c>
      <c r="F33" s="1670">
        <f t="shared" si="1"/>
        <v>789270</v>
      </c>
      <c r="G33" s="1670">
        <f t="shared" si="1"/>
        <v>141919</v>
      </c>
      <c r="H33" s="1670">
        <f t="shared" si="1"/>
        <v>591</v>
      </c>
      <c r="I33" s="1670">
        <f t="shared" si="1"/>
        <v>0</v>
      </c>
      <c r="J33" s="1670">
        <f t="shared" si="1"/>
        <v>0</v>
      </c>
      <c r="K33" s="1670">
        <f t="shared" si="1"/>
        <v>7909307</v>
      </c>
      <c r="L33" s="1670">
        <f t="shared" si="1"/>
        <v>8036771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143674</v>
      </c>
      <c r="D36" s="481">
        <v>15039</v>
      </c>
      <c r="E36" s="481">
        <v>4455</v>
      </c>
      <c r="F36" s="481">
        <v>494</v>
      </c>
      <c r="G36" s="481"/>
      <c r="H36" s="481"/>
      <c r="I36" s="467"/>
      <c r="J36" s="467"/>
      <c r="K36" s="1671">
        <f t="shared" ref="K36:K41" si="2">SUM(C36:J36)</f>
        <v>163662</v>
      </c>
      <c r="L36" s="466">
        <v>193882</v>
      </c>
    </row>
    <row r="37" spans="1:14" x14ac:dyDescent="0.2">
      <c r="A37" s="1504" t="s">
        <v>1090</v>
      </c>
      <c r="B37" s="614">
        <v>2120</v>
      </c>
      <c r="C37" s="466">
        <v>84205</v>
      </c>
      <c r="D37" s="466">
        <v>13540</v>
      </c>
      <c r="E37" s="466"/>
      <c r="F37" s="466">
        <v>22902</v>
      </c>
      <c r="G37" s="466"/>
      <c r="H37" s="466"/>
      <c r="I37" s="467"/>
      <c r="J37" s="467"/>
      <c r="K37" s="1671">
        <f t="shared" si="2"/>
        <v>120647</v>
      </c>
      <c r="L37" s="466">
        <v>111955</v>
      </c>
    </row>
    <row r="38" spans="1:14" x14ac:dyDescent="0.2">
      <c r="A38" s="1504" t="s">
        <v>198</v>
      </c>
      <c r="B38" s="614">
        <v>2130</v>
      </c>
      <c r="C38" s="466">
        <v>43179</v>
      </c>
      <c r="D38" s="466">
        <v>391</v>
      </c>
      <c r="E38" s="466">
        <v>112</v>
      </c>
      <c r="F38" s="466">
        <v>2907</v>
      </c>
      <c r="G38" s="466">
        <v>500</v>
      </c>
      <c r="H38" s="466"/>
      <c r="I38" s="467"/>
      <c r="J38" s="467"/>
      <c r="K38" s="1671">
        <f t="shared" si="2"/>
        <v>47089</v>
      </c>
      <c r="L38" s="466">
        <v>43673</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v>114000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271058</v>
      </c>
      <c r="D42" s="1670">
        <f t="shared" ref="D42:L42" si="3">SUM(D36:D41)</f>
        <v>28970</v>
      </c>
      <c r="E42" s="1670">
        <f t="shared" si="3"/>
        <v>4567</v>
      </c>
      <c r="F42" s="1670">
        <f t="shared" si="3"/>
        <v>26303</v>
      </c>
      <c r="G42" s="1670">
        <f t="shared" si="3"/>
        <v>500</v>
      </c>
      <c r="H42" s="1670">
        <f t="shared" si="3"/>
        <v>0</v>
      </c>
      <c r="I42" s="1670">
        <f t="shared" si="3"/>
        <v>0</v>
      </c>
      <c r="J42" s="1670">
        <f t="shared" si="3"/>
        <v>0</v>
      </c>
      <c r="K42" s="1670">
        <f t="shared" si="3"/>
        <v>331398</v>
      </c>
      <c r="L42" s="1670">
        <f t="shared" si="3"/>
        <v>463510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14816</v>
      </c>
      <c r="D44" s="481">
        <v>5482</v>
      </c>
      <c r="E44" s="481">
        <v>90652</v>
      </c>
      <c r="F44" s="481">
        <v>706</v>
      </c>
      <c r="G44" s="481"/>
      <c r="H44" s="481"/>
      <c r="I44" s="467"/>
      <c r="J44" s="467"/>
      <c r="K44" s="1672">
        <f>SUM(C44:J44)</f>
        <v>111656</v>
      </c>
      <c r="L44" s="481">
        <v>84829</v>
      </c>
    </row>
    <row r="45" spans="1:14" x14ac:dyDescent="0.2">
      <c r="A45" s="1504" t="s">
        <v>815</v>
      </c>
      <c r="B45" s="614">
        <v>2220</v>
      </c>
      <c r="C45" s="466">
        <v>34743</v>
      </c>
      <c r="D45" s="466">
        <v>7104</v>
      </c>
      <c r="E45" s="466">
        <v>2834</v>
      </c>
      <c r="F45" s="466">
        <v>13235</v>
      </c>
      <c r="G45" s="466"/>
      <c r="H45" s="466"/>
      <c r="I45" s="467"/>
      <c r="J45" s="467"/>
      <c r="K45" s="1672">
        <f>SUM(C45:J45)</f>
        <v>57916</v>
      </c>
      <c r="L45" s="466">
        <v>54683</v>
      </c>
    </row>
    <row r="46" spans="1:14" x14ac:dyDescent="0.2">
      <c r="A46" s="1504" t="s">
        <v>816</v>
      </c>
      <c r="B46" s="614">
        <v>2230</v>
      </c>
      <c r="C46" s="466"/>
      <c r="D46" s="466"/>
      <c r="E46" s="466">
        <v>12475</v>
      </c>
      <c r="F46" s="466"/>
      <c r="G46" s="466"/>
      <c r="H46" s="466"/>
      <c r="I46" s="467"/>
      <c r="J46" s="467"/>
      <c r="K46" s="1672">
        <f>SUM(C46:J46)</f>
        <v>12475</v>
      </c>
      <c r="L46" s="466">
        <v>8000</v>
      </c>
    </row>
    <row r="47" spans="1:14" ht="12.75" customHeight="1" thickBot="1" x14ac:dyDescent="0.25">
      <c r="A47" s="1668" t="s">
        <v>561</v>
      </c>
      <c r="B47" s="1669" t="s">
        <v>32</v>
      </c>
      <c r="C47" s="1670">
        <f>SUM(C44:C46)</f>
        <v>49559</v>
      </c>
      <c r="D47" s="1670">
        <f t="shared" ref="D47:K47" si="4">SUM(D44:D46)</f>
        <v>12586</v>
      </c>
      <c r="E47" s="1670">
        <f t="shared" si="4"/>
        <v>105961</v>
      </c>
      <c r="F47" s="1670">
        <f t="shared" si="4"/>
        <v>13941</v>
      </c>
      <c r="G47" s="1670">
        <f t="shared" si="4"/>
        <v>0</v>
      </c>
      <c r="H47" s="1670">
        <f t="shared" si="4"/>
        <v>0</v>
      </c>
      <c r="I47" s="1670">
        <f t="shared" si="4"/>
        <v>0</v>
      </c>
      <c r="J47" s="1670">
        <f t="shared" si="4"/>
        <v>0</v>
      </c>
      <c r="K47" s="1670">
        <f t="shared" si="4"/>
        <v>182047</v>
      </c>
      <c r="L47" s="1670">
        <f>SUM(L44:L46)</f>
        <v>147512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37953</v>
      </c>
      <c r="D49" s="481">
        <v>3468</v>
      </c>
      <c r="E49" s="481">
        <v>48266</v>
      </c>
      <c r="F49" s="481">
        <v>9976</v>
      </c>
      <c r="G49" s="481">
        <v>5195</v>
      </c>
      <c r="H49" s="481">
        <v>6628</v>
      </c>
      <c r="I49" s="467"/>
      <c r="J49" s="467"/>
      <c r="K49" s="1672">
        <f>SUM(C49:J49)</f>
        <v>111486</v>
      </c>
      <c r="L49" s="481">
        <v>146867</v>
      </c>
    </row>
    <row r="50" spans="1:14" x14ac:dyDescent="0.2">
      <c r="A50" s="1504" t="s">
        <v>818</v>
      </c>
      <c r="B50" s="614">
        <v>2320</v>
      </c>
      <c r="C50" s="466">
        <v>130518</v>
      </c>
      <c r="D50" s="466">
        <v>2401</v>
      </c>
      <c r="E50" s="466">
        <v>3043</v>
      </c>
      <c r="F50" s="466"/>
      <c r="G50" s="466"/>
      <c r="H50" s="466"/>
      <c r="I50" s="467"/>
      <c r="J50" s="467"/>
      <c r="K50" s="1672">
        <f>SUM(C50:J50)</f>
        <v>135962</v>
      </c>
      <c r="L50" s="466">
        <v>137548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168471</v>
      </c>
      <c r="D53" s="1670">
        <f t="shared" ref="D53:L53" si="5">SUM(D49:D52)</f>
        <v>5869</v>
      </c>
      <c r="E53" s="1670">
        <f t="shared" si="5"/>
        <v>51309</v>
      </c>
      <c r="F53" s="1670">
        <f t="shared" si="5"/>
        <v>9976</v>
      </c>
      <c r="G53" s="1670">
        <f t="shared" si="5"/>
        <v>5195</v>
      </c>
      <c r="H53" s="1670">
        <f t="shared" si="5"/>
        <v>6628</v>
      </c>
      <c r="I53" s="1670">
        <f t="shared" si="5"/>
        <v>0</v>
      </c>
      <c r="J53" s="1670">
        <f t="shared" si="5"/>
        <v>0</v>
      </c>
      <c r="K53" s="1670">
        <f t="shared" si="5"/>
        <v>247448</v>
      </c>
      <c r="L53" s="1670">
        <f t="shared" si="5"/>
        <v>284415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599371</v>
      </c>
      <c r="D55" s="481">
        <v>49700</v>
      </c>
      <c r="E55" s="481"/>
      <c r="F55" s="481"/>
      <c r="G55" s="481"/>
      <c r="H55" s="481">
        <v>400</v>
      </c>
      <c r="I55" s="467"/>
      <c r="J55" s="467"/>
      <c r="K55" s="1672">
        <f>SUM(C55:J55)</f>
        <v>649471</v>
      </c>
      <c r="L55" s="481">
        <v>684330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599371</v>
      </c>
      <c r="D57" s="1674">
        <f t="shared" ref="D57:K57" si="6">SUM(D55:D56)</f>
        <v>49700</v>
      </c>
      <c r="E57" s="1674">
        <f t="shared" si="6"/>
        <v>0</v>
      </c>
      <c r="F57" s="1674">
        <f t="shared" si="6"/>
        <v>0</v>
      </c>
      <c r="G57" s="1674">
        <f t="shared" si="6"/>
        <v>0</v>
      </c>
      <c r="H57" s="1674">
        <f t="shared" si="6"/>
        <v>400</v>
      </c>
      <c r="I57" s="1674">
        <f t="shared" si="6"/>
        <v>0</v>
      </c>
      <c r="J57" s="1674">
        <f t="shared" si="6"/>
        <v>0</v>
      </c>
      <c r="K57" s="1674">
        <f t="shared" si="6"/>
        <v>649471</v>
      </c>
      <c r="L57" s="1670">
        <f>SUM(L55:L56)</f>
        <v>684330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116051</v>
      </c>
      <c r="D60" s="466">
        <v>18973</v>
      </c>
      <c r="E60" s="466">
        <v>10151</v>
      </c>
      <c r="F60" s="466"/>
      <c r="G60" s="466"/>
      <c r="H60" s="466"/>
      <c r="I60" s="467"/>
      <c r="J60" s="467"/>
      <c r="K60" s="1672">
        <f t="shared" si="7"/>
        <v>145175</v>
      </c>
      <c r="L60" s="466">
        <v>134316</v>
      </c>
      <c r="M60" s="609"/>
      <c r="N60" s="609"/>
    </row>
    <row r="61" spans="1:14" s="343" customFormat="1" x14ac:dyDescent="0.2">
      <c r="A61" s="1504" t="s">
        <v>197</v>
      </c>
      <c r="B61" s="614">
        <v>2540</v>
      </c>
      <c r="C61" s="466">
        <v>380423</v>
      </c>
      <c r="D61" s="466">
        <v>54575</v>
      </c>
      <c r="E61" s="466">
        <v>557169</v>
      </c>
      <c r="F61" s="466">
        <v>796</v>
      </c>
      <c r="G61" s="466"/>
      <c r="H61" s="466"/>
      <c r="I61" s="467"/>
      <c r="J61" s="467"/>
      <c r="K61" s="1672">
        <f t="shared" si="7"/>
        <v>992963</v>
      </c>
      <c r="L61" s="466">
        <v>916554</v>
      </c>
      <c r="M61" s="609"/>
      <c r="N61" s="609"/>
    </row>
    <row r="62" spans="1:14" s="343" customFormat="1" x14ac:dyDescent="0.2">
      <c r="A62" s="1504" t="s">
        <v>953</v>
      </c>
      <c r="B62" s="614">
        <v>2550</v>
      </c>
      <c r="C62" s="466">
        <v>8835</v>
      </c>
      <c r="D62" s="466">
        <v>1435</v>
      </c>
      <c r="E62" s="466">
        <v>146</v>
      </c>
      <c r="F62" s="466">
        <v>1605</v>
      </c>
      <c r="G62" s="466"/>
      <c r="H62" s="466"/>
      <c r="I62" s="467"/>
      <c r="J62" s="467"/>
      <c r="K62" s="1672">
        <f t="shared" si="7"/>
        <v>12021</v>
      </c>
      <c r="L62" s="466">
        <v>11749</v>
      </c>
      <c r="M62" s="609"/>
      <c r="N62" s="609"/>
    </row>
    <row r="63" spans="1:14" s="609" customFormat="1" x14ac:dyDescent="0.2">
      <c r="A63" s="1504" t="s">
        <v>100</v>
      </c>
      <c r="B63" s="614">
        <v>2560</v>
      </c>
      <c r="C63" s="466">
        <v>229484</v>
      </c>
      <c r="D63" s="466">
        <v>13368</v>
      </c>
      <c r="E63" s="466">
        <v>355</v>
      </c>
      <c r="F63" s="466">
        <v>538656</v>
      </c>
      <c r="G63" s="466"/>
      <c r="H63" s="466"/>
      <c r="I63" s="467"/>
      <c r="J63" s="467"/>
      <c r="K63" s="1672">
        <f t="shared" si="7"/>
        <v>781863</v>
      </c>
      <c r="L63" s="466">
        <v>800502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734793</v>
      </c>
      <c r="D65" s="1670">
        <f t="shared" ref="D65:L65" si="8">SUM(D59:D64)</f>
        <v>88351</v>
      </c>
      <c r="E65" s="1670">
        <f t="shared" si="8"/>
        <v>567821</v>
      </c>
      <c r="F65" s="1670">
        <f t="shared" si="8"/>
        <v>541057</v>
      </c>
      <c r="G65" s="1670">
        <f t="shared" si="8"/>
        <v>0</v>
      </c>
      <c r="H65" s="1670">
        <f t="shared" si="8"/>
        <v>0</v>
      </c>
      <c r="I65" s="1670">
        <f t="shared" si="8"/>
        <v>0</v>
      </c>
      <c r="J65" s="1670">
        <f t="shared" si="8"/>
        <v>0</v>
      </c>
      <c r="K65" s="1670">
        <f t="shared" si="8"/>
        <v>1932022</v>
      </c>
      <c r="L65" s="1670">
        <f t="shared" si="8"/>
        <v>1863121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1264</v>
      </c>
      <c r="G73" s="573"/>
      <c r="H73" s="573"/>
      <c r="I73" s="531"/>
      <c r="J73" s="531"/>
      <c r="K73" s="1670">
        <f>SUM(C73:J73)</f>
        <v>1264</v>
      </c>
      <c r="L73" s="576"/>
      <c r="M73" s="609"/>
      <c r="N73" s="609"/>
    </row>
    <row r="74" spans="1:14" ht="12.75" customHeight="1" thickTop="1" thickBot="1" x14ac:dyDescent="0.25">
      <c r="A74" s="1668" t="s">
        <v>811</v>
      </c>
      <c r="B74" s="1676">
        <v>2000</v>
      </c>
      <c r="C74" s="1677">
        <f>SUM(C42,C47,C53,C57,C65,C72,C73)</f>
        <v>1823252</v>
      </c>
      <c r="D74" s="1677">
        <f t="shared" ref="D74:K74" si="10">SUM(D42,D47,D53,D57,D65,D72,D73)</f>
        <v>185476</v>
      </c>
      <c r="E74" s="1677">
        <f t="shared" si="10"/>
        <v>729658</v>
      </c>
      <c r="F74" s="1677">
        <f t="shared" si="10"/>
        <v>592541</v>
      </c>
      <c r="G74" s="1677">
        <f t="shared" si="10"/>
        <v>5695</v>
      </c>
      <c r="H74" s="1677">
        <f t="shared" si="10"/>
        <v>7028</v>
      </c>
      <c r="I74" s="1677">
        <f t="shared" si="10"/>
        <v>0</v>
      </c>
      <c r="J74" s="1677">
        <f t="shared" si="10"/>
        <v>0</v>
      </c>
      <c r="K74" s="1677">
        <f t="shared" si="10"/>
        <v>3343650</v>
      </c>
      <c r="L74" s="1677">
        <f>SUM(L42,L47,L53,L57,L65,L72,L73)</f>
        <v>3442888</v>
      </c>
    </row>
    <row r="75" spans="1:14" s="259" customFormat="1" ht="15.75" customHeight="1" thickTop="1" thickBot="1" x14ac:dyDescent="0.25">
      <c r="A75" s="1610" t="s">
        <v>47</v>
      </c>
      <c r="B75" s="1611" t="s">
        <v>575</v>
      </c>
      <c r="C75" s="573">
        <v>256094</v>
      </c>
      <c r="D75" s="573">
        <v>16156</v>
      </c>
      <c r="E75" s="573">
        <v>4482</v>
      </c>
      <c r="F75" s="573">
        <v>23342</v>
      </c>
      <c r="G75" s="573"/>
      <c r="H75" s="573"/>
      <c r="I75" s="531"/>
      <c r="J75" s="531"/>
      <c r="K75" s="1670">
        <f>SUM(C75:J75)</f>
        <v>300074</v>
      </c>
      <c r="L75" s="576">
        <v>315687</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623263</v>
      </c>
      <c r="I79" s="477"/>
      <c r="J79" s="477"/>
      <c r="K79" s="1671">
        <f t="shared" si="11"/>
        <v>623263</v>
      </c>
      <c r="L79" s="466">
        <v>720000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22487</v>
      </c>
      <c r="I83" s="477"/>
      <c r="J83" s="477"/>
      <c r="K83" s="1671">
        <f t="shared" si="11"/>
        <v>22487</v>
      </c>
      <c r="L83" s="466"/>
    </row>
    <row r="84" spans="1:12" ht="13.5" thickBot="1" x14ac:dyDescent="0.25">
      <c r="A84" s="1668" t="s">
        <v>1485</v>
      </c>
      <c r="B84" s="1678">
        <v>4100</v>
      </c>
      <c r="C84" s="616"/>
      <c r="D84" s="616"/>
      <c r="E84" s="1670">
        <f>SUM(E78:E83)</f>
        <v>0</v>
      </c>
      <c r="F84" s="616"/>
      <c r="G84" s="616"/>
      <c r="H84" s="1670">
        <f>SUM(H78:H83)</f>
        <v>645750</v>
      </c>
      <c r="I84" s="477"/>
      <c r="J84" s="477"/>
      <c r="K84" s="1670">
        <f>SUM(K78:K83)</f>
        <v>645750</v>
      </c>
      <c r="L84" s="1670">
        <f>SUM(L78:L83)</f>
        <v>720000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645750</v>
      </c>
      <c r="I102" s="477"/>
      <c r="J102" s="477"/>
      <c r="K102" s="1677">
        <f>SUM(K84,K92,K100,K101)</f>
        <v>645750</v>
      </c>
      <c r="L102" s="1677">
        <f>SUM(L84,L92,L100,L101)</f>
        <v>720000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1354</v>
      </c>
      <c r="I111" s="468"/>
      <c r="J111" s="468"/>
      <c r="K111" s="1683">
        <f>H111</f>
        <v>1354</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1354</v>
      </c>
      <c r="I112" s="468"/>
      <c r="J112" s="468"/>
      <c r="K112" s="1670">
        <f>SUM(K110:K111)</f>
        <v>1354</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8044476</v>
      </c>
      <c r="D114" s="1670">
        <f t="shared" ref="D114:K114" si="13">SUM(D33,D74,D75,D102,D112,D113)</f>
        <v>913584</v>
      </c>
      <c r="E114" s="1670">
        <f t="shared" si="13"/>
        <v>1034585</v>
      </c>
      <c r="F114" s="1670">
        <f t="shared" si="13"/>
        <v>1405153</v>
      </c>
      <c r="G114" s="1670">
        <f t="shared" si="13"/>
        <v>147614</v>
      </c>
      <c r="H114" s="1670">
        <f>SUM(H33,H74,H75,H102,H112,H113)</f>
        <v>654723</v>
      </c>
      <c r="I114" s="1670">
        <f t="shared" si="13"/>
        <v>0</v>
      </c>
      <c r="J114" s="1670">
        <f t="shared" si="13"/>
        <v>0</v>
      </c>
      <c r="K114" s="1670">
        <f t="shared" si="13"/>
        <v>12200135</v>
      </c>
      <c r="L114" s="1670">
        <f>SUM(L33,L74,L75,L102,L112,L113)</f>
        <v>12515346</v>
      </c>
    </row>
    <row r="115" spans="1:14" ht="13.5" thickTop="1" x14ac:dyDescent="0.2">
      <c r="A115" s="2158" t="s">
        <v>996</v>
      </c>
      <c r="B115" s="2159"/>
      <c r="C115" s="618"/>
      <c r="D115" s="618"/>
      <c r="E115" s="618"/>
      <c r="F115" s="618"/>
      <c r="G115" s="618"/>
      <c r="H115" s="618"/>
      <c r="I115" s="618"/>
      <c r="J115" s="618"/>
      <c r="K115" s="1684">
        <f>'Revenues 9-14'!C268-'Expenditures 15-22'!K114</f>
        <v>1589876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v>309389</v>
      </c>
      <c r="F124" s="466">
        <v>94068</v>
      </c>
      <c r="G124" s="466">
        <v>128487</v>
      </c>
      <c r="H124" s="466"/>
      <c r="I124" s="467"/>
      <c r="J124" s="467"/>
      <c r="K124" s="1670">
        <f>SUM(C124:J124)</f>
        <v>531944</v>
      </c>
      <c r="L124" s="466">
        <v>766500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309389</v>
      </c>
      <c r="F127" s="1670">
        <f t="shared" si="14"/>
        <v>94068</v>
      </c>
      <c r="G127" s="1670">
        <f t="shared" si="14"/>
        <v>128487</v>
      </c>
      <c r="H127" s="1670">
        <f t="shared" si="14"/>
        <v>0</v>
      </c>
      <c r="I127" s="1670">
        <f t="shared" si="14"/>
        <v>0</v>
      </c>
      <c r="J127" s="1670">
        <f t="shared" si="14"/>
        <v>0</v>
      </c>
      <c r="K127" s="1670">
        <f t="shared" si="14"/>
        <v>531944</v>
      </c>
      <c r="L127" s="1670">
        <f t="shared" si="14"/>
        <v>766500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309389</v>
      </c>
      <c r="F129" s="1677">
        <f t="shared" si="15"/>
        <v>94068</v>
      </c>
      <c r="G129" s="1677">
        <f t="shared" si="15"/>
        <v>128487</v>
      </c>
      <c r="H129" s="1677">
        <f t="shared" si="15"/>
        <v>0</v>
      </c>
      <c r="I129" s="1677">
        <f t="shared" si="15"/>
        <v>0</v>
      </c>
      <c r="J129" s="1677">
        <f t="shared" si="15"/>
        <v>0</v>
      </c>
      <c r="K129" s="1677">
        <f t="shared" si="15"/>
        <v>531944</v>
      </c>
      <c r="L129" s="1677">
        <f t="shared" si="15"/>
        <v>766500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0</v>
      </c>
      <c r="D151" s="1670">
        <f t="shared" ref="D151:K151" si="16">SUM(D129,D130,D139,D149,D150)</f>
        <v>0</v>
      </c>
      <c r="E151" s="1670">
        <f t="shared" si="16"/>
        <v>309389</v>
      </c>
      <c r="F151" s="1670">
        <f t="shared" si="16"/>
        <v>94068</v>
      </c>
      <c r="G151" s="1670">
        <f t="shared" si="16"/>
        <v>128487</v>
      </c>
      <c r="H151" s="1670">
        <f t="shared" si="16"/>
        <v>0</v>
      </c>
      <c r="I151" s="1670">
        <f t="shared" si="16"/>
        <v>0</v>
      </c>
      <c r="J151" s="1670">
        <f t="shared" si="16"/>
        <v>0</v>
      </c>
      <c r="K151" s="1670">
        <f t="shared" si="16"/>
        <v>531944</v>
      </c>
      <c r="L151" s="1670">
        <f>SUM(L129,L130,L139,L149,L150)</f>
        <v>766500</v>
      </c>
    </row>
    <row r="152" spans="1:14" ht="12.75" customHeight="1" thickTop="1" x14ac:dyDescent="0.2">
      <c r="A152" s="2178" t="s">
        <v>1178</v>
      </c>
      <c r="B152" s="2179"/>
      <c r="C152" s="618"/>
      <c r="D152" s="618"/>
      <c r="E152" s="618"/>
      <c r="F152" s="618"/>
      <c r="G152" s="618"/>
      <c r="H152" s="618"/>
      <c r="I152" s="618"/>
      <c r="J152" s="616"/>
      <c r="K152" s="1684">
        <f>'Revenues 9-14'!D268-'Expenditures 15-22'!K151</f>
        <v>74971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40575</v>
      </c>
      <c r="I169" s="616"/>
      <c r="J169" s="616"/>
      <c r="K169" s="1671">
        <f>SUM(C169:H169)</f>
        <v>40575</v>
      </c>
      <c r="L169" s="656">
        <v>200000</v>
      </c>
    </row>
    <row r="170" spans="1:14" ht="33.75" customHeight="1" x14ac:dyDescent="0.2">
      <c r="A170" s="669" t="s">
        <v>1670</v>
      </c>
      <c r="B170" s="671" t="s">
        <v>31</v>
      </c>
      <c r="C170" s="616"/>
      <c r="D170" s="616"/>
      <c r="E170" s="616"/>
      <c r="F170" s="616"/>
      <c r="G170" s="616"/>
      <c r="H170" s="569">
        <v>854810</v>
      </c>
      <c r="I170" s="616"/>
      <c r="J170" s="616"/>
      <c r="K170" s="1671">
        <f>SUM(C170:J170)</f>
        <v>854810</v>
      </c>
      <c r="L170" s="569">
        <v>500000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895385</v>
      </c>
      <c r="I172" s="638"/>
      <c r="J172" s="616"/>
      <c r="K172" s="1677">
        <f>SUM(K168,K169,K170,K171)</f>
        <v>895385</v>
      </c>
      <c r="L172" s="1677">
        <f>SUM(L168,L169,L170,L171)</f>
        <v>700000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895385</v>
      </c>
      <c r="I174" s="638"/>
      <c r="J174" s="616"/>
      <c r="K174" s="1677">
        <f>SUM(K160,K172,K173)</f>
        <v>895385</v>
      </c>
      <c r="L174" s="1677">
        <f>SUM(L160,L172,L173)</f>
        <v>700000</v>
      </c>
    </row>
    <row r="175" spans="1:14" ht="13.5" thickTop="1" x14ac:dyDescent="0.2">
      <c r="A175" s="2158" t="s">
        <v>996</v>
      </c>
      <c r="B175" s="2159"/>
      <c r="C175" s="616"/>
      <c r="D175" s="616"/>
      <c r="E175" s="616"/>
      <c r="F175" s="616"/>
      <c r="G175" s="616"/>
      <c r="H175" s="618"/>
      <c r="I175" s="616"/>
      <c r="J175" s="616"/>
      <c r="K175" s="1684">
        <f>'Revenues 9-14'!E268-'Expenditures 15-22'!K174</f>
        <v>-357026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v>16405</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179146</v>
      </c>
      <c r="D182" s="466">
        <v>210</v>
      </c>
      <c r="E182" s="466">
        <v>33886</v>
      </c>
      <c r="F182" s="466">
        <v>43084</v>
      </c>
      <c r="G182" s="466">
        <v>25750</v>
      </c>
      <c r="H182" s="466"/>
      <c r="I182" s="467"/>
      <c r="J182" s="467"/>
      <c r="K182" s="1671">
        <f>SUM(C182:J182)</f>
        <v>282076</v>
      </c>
      <c r="L182" s="466">
        <v>466814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179146</v>
      </c>
      <c r="D184" s="1677">
        <f t="shared" ref="D184:J184" si="17">SUM(D180,D182,D183)</f>
        <v>210</v>
      </c>
      <c r="E184" s="1677">
        <f t="shared" si="17"/>
        <v>33886</v>
      </c>
      <c r="F184" s="1677">
        <f t="shared" si="17"/>
        <v>43084</v>
      </c>
      <c r="G184" s="1677">
        <f t="shared" si="17"/>
        <v>25750</v>
      </c>
      <c r="H184" s="1677">
        <f t="shared" si="17"/>
        <v>0</v>
      </c>
      <c r="I184" s="1677">
        <f t="shared" si="17"/>
        <v>0</v>
      </c>
      <c r="J184" s="1677">
        <f t="shared" si="17"/>
        <v>0</v>
      </c>
      <c r="K184" s="1677">
        <f>SUM(K180,K182,K183)</f>
        <v>282076</v>
      </c>
      <c r="L184" s="1677">
        <f>SUM(L180, L182:L183)</f>
        <v>483219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7667</v>
      </c>
      <c r="I205" s="616"/>
      <c r="J205" s="616"/>
      <c r="K205" s="1685">
        <f>SUM(H205)</f>
        <v>7667</v>
      </c>
      <c r="L205" s="535"/>
    </row>
    <row r="206" spans="1:14" ht="30" customHeight="1" x14ac:dyDescent="0.2">
      <c r="A206" s="681" t="s">
        <v>1671</v>
      </c>
      <c r="B206" s="672" t="s">
        <v>31</v>
      </c>
      <c r="C206" s="616"/>
      <c r="D206" s="616"/>
      <c r="E206" s="616"/>
      <c r="F206" s="616"/>
      <c r="G206" s="616"/>
      <c r="H206" s="466">
        <v>60551</v>
      </c>
      <c r="I206" s="616"/>
      <c r="J206" s="616"/>
      <c r="K206" s="1671">
        <f>SUM(H206)</f>
        <v>60551</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68218</v>
      </c>
      <c r="I208" s="616"/>
      <c r="J208" s="616"/>
      <c r="K208" s="1677">
        <f>SUM(K204,K205,K206,K207)</f>
        <v>68218</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179146</v>
      </c>
      <c r="D210" s="1670">
        <f>SUM(D184,D185)</f>
        <v>210</v>
      </c>
      <c r="E210" s="1670">
        <f>SUM(E184,E185,E196)</f>
        <v>33886</v>
      </c>
      <c r="F210" s="1670">
        <f>SUM(F184,F185)</f>
        <v>43084</v>
      </c>
      <c r="G210" s="1670">
        <f>SUM(G184,G185)</f>
        <v>25750</v>
      </c>
      <c r="H210" s="1670">
        <f>SUM(H184,H185,H196,H208,H209)</f>
        <v>68218</v>
      </c>
      <c r="I210" s="1670">
        <f>SUM(I184,I185)</f>
        <v>0</v>
      </c>
      <c r="J210" s="1670">
        <f>SUM(J184,J185)</f>
        <v>0</v>
      </c>
      <c r="K210" s="1671">
        <f>SUM(K184,K185,K196,K208,K209)</f>
        <v>350294</v>
      </c>
      <c r="L210" s="1670">
        <f>SUM(L184,L185,L196,L208,L209)</f>
        <v>483219</v>
      </c>
    </row>
    <row r="211" spans="1:14" ht="13.5" thickTop="1" x14ac:dyDescent="0.2">
      <c r="A211" s="2158" t="s">
        <v>996</v>
      </c>
      <c r="B211" s="2159"/>
      <c r="C211" s="618"/>
      <c r="D211" s="618"/>
      <c r="E211" s="618"/>
      <c r="F211" s="618"/>
      <c r="G211" s="618"/>
      <c r="H211" s="618"/>
      <c r="I211" s="616"/>
      <c r="J211" s="616"/>
      <c r="K211" s="1684">
        <f>'Revenues 9-14'!F268-'Expenditures 15-22'!K210</f>
        <v>117334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83077</v>
      </c>
      <c r="E215" s="616"/>
      <c r="F215" s="616"/>
      <c r="G215" s="616"/>
      <c r="H215" s="616"/>
      <c r="I215" s="616"/>
      <c r="J215" s="616"/>
      <c r="K215" s="1671">
        <f>D215</f>
        <v>83077</v>
      </c>
      <c r="L215" s="466">
        <v>87526</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94590</v>
      </c>
      <c r="E217" s="616"/>
      <c r="F217" s="616"/>
      <c r="G217" s="616"/>
      <c r="H217" s="616"/>
      <c r="I217" s="616"/>
      <c r="J217" s="616"/>
      <c r="K217" s="1671">
        <f t="shared" si="19"/>
        <v>94590</v>
      </c>
      <c r="L217" s="466">
        <v>93370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8203</v>
      </c>
      <c r="E219" s="616"/>
      <c r="F219" s="616"/>
      <c r="G219" s="616"/>
      <c r="H219" s="616"/>
      <c r="I219" s="616"/>
      <c r="J219" s="616"/>
      <c r="K219" s="1671">
        <f t="shared" si="19"/>
        <v>8203</v>
      </c>
      <c r="L219" s="466">
        <v>3897</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2205</v>
      </c>
      <c r="E222" s="616"/>
      <c r="F222" s="616"/>
      <c r="G222" s="616"/>
      <c r="H222" s="616"/>
      <c r="I222" s="616"/>
      <c r="J222" s="616"/>
      <c r="K222" s="1671">
        <f t="shared" si="19"/>
        <v>2205</v>
      </c>
      <c r="L222" s="466">
        <v>2162</v>
      </c>
    </row>
    <row r="223" spans="1:14" x14ac:dyDescent="0.2">
      <c r="A223" s="1504" t="s">
        <v>963</v>
      </c>
      <c r="B223" s="614">
        <v>1500</v>
      </c>
      <c r="C223" s="616"/>
      <c r="D223" s="466">
        <v>3751</v>
      </c>
      <c r="E223" s="616"/>
      <c r="F223" s="616"/>
      <c r="G223" s="616"/>
      <c r="H223" s="616"/>
      <c r="I223" s="616"/>
      <c r="J223" s="616"/>
      <c r="K223" s="1671">
        <f t="shared" si="19"/>
        <v>3751</v>
      </c>
      <c r="L223" s="466">
        <v>3773</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191826</v>
      </c>
      <c r="E229" s="616"/>
      <c r="F229" s="616"/>
      <c r="G229" s="616"/>
      <c r="H229" s="616"/>
      <c r="I229" s="616"/>
      <c r="J229" s="616"/>
      <c r="K229" s="1670">
        <f>SUM(K215:K228)</f>
        <v>191826</v>
      </c>
      <c r="L229" s="1670">
        <f>SUM(L215:L228)</f>
        <v>190728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4770</v>
      </c>
      <c r="E232" s="616"/>
      <c r="F232" s="616"/>
      <c r="G232" s="616"/>
      <c r="H232" s="616"/>
      <c r="I232" s="616"/>
      <c r="J232" s="616"/>
      <c r="K232" s="1671">
        <f t="shared" ref="K232:K237" si="20">D232</f>
        <v>4770</v>
      </c>
      <c r="L232" s="466">
        <v>5708</v>
      </c>
    </row>
    <row r="233" spans="1:12" x14ac:dyDescent="0.2">
      <c r="A233" s="1504" t="s">
        <v>1090</v>
      </c>
      <c r="B233" s="614">
        <v>2120</v>
      </c>
      <c r="C233" s="616"/>
      <c r="D233" s="466">
        <v>1154</v>
      </c>
      <c r="E233" s="616"/>
      <c r="F233" s="616"/>
      <c r="G233" s="616"/>
      <c r="H233" s="616"/>
      <c r="I233" s="616"/>
      <c r="J233" s="616"/>
      <c r="K233" s="1671">
        <f t="shared" si="20"/>
        <v>1154</v>
      </c>
      <c r="L233" s="466">
        <v>10628</v>
      </c>
    </row>
    <row r="234" spans="1:12" x14ac:dyDescent="0.2">
      <c r="A234" s="1504" t="s">
        <v>198</v>
      </c>
      <c r="B234" s="614">
        <v>2130</v>
      </c>
      <c r="C234" s="616"/>
      <c r="D234" s="466">
        <v>10317</v>
      </c>
      <c r="E234" s="616"/>
      <c r="F234" s="616"/>
      <c r="G234" s="616"/>
      <c r="H234" s="616"/>
      <c r="I234" s="616"/>
      <c r="J234" s="616"/>
      <c r="K234" s="1671">
        <f t="shared" si="20"/>
        <v>10317</v>
      </c>
      <c r="L234" s="466">
        <v>84508</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16241</v>
      </c>
      <c r="E238" s="616"/>
      <c r="F238" s="616"/>
      <c r="G238" s="616"/>
      <c r="H238" s="616"/>
      <c r="I238" s="616"/>
      <c r="J238" s="616"/>
      <c r="K238" s="1670">
        <f>SUM(K232:K237)</f>
        <v>16241</v>
      </c>
      <c r="L238" s="1670">
        <f>SUM(L232:L237)</f>
        <v>100844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256</v>
      </c>
      <c r="E240" s="616"/>
      <c r="F240" s="616"/>
      <c r="G240" s="616"/>
      <c r="H240" s="616"/>
      <c r="I240" s="616"/>
      <c r="J240" s="616"/>
      <c r="K240" s="1672">
        <f>D240</f>
        <v>256</v>
      </c>
      <c r="L240" s="481">
        <v>42</v>
      </c>
    </row>
    <row r="241" spans="1:12" x14ac:dyDescent="0.2">
      <c r="A241" s="1504" t="s">
        <v>815</v>
      </c>
      <c r="B241" s="614">
        <v>2220</v>
      </c>
      <c r="C241" s="616"/>
      <c r="D241" s="466">
        <v>5646</v>
      </c>
      <c r="E241" s="616"/>
      <c r="F241" s="616"/>
      <c r="G241" s="616"/>
      <c r="H241" s="616"/>
      <c r="I241" s="616"/>
      <c r="J241" s="616"/>
      <c r="K241" s="1672">
        <f>D241</f>
        <v>5646</v>
      </c>
      <c r="L241" s="466">
        <v>5913</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5902</v>
      </c>
      <c r="E243" s="616"/>
      <c r="F243" s="616"/>
      <c r="G243" s="616"/>
      <c r="H243" s="616"/>
      <c r="I243" s="616"/>
      <c r="J243" s="616"/>
      <c r="K243" s="1670">
        <f>SUM(K240:K242)</f>
        <v>5902</v>
      </c>
      <c r="L243" s="1670">
        <f>SUM(L240:L242)</f>
        <v>5955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746</v>
      </c>
      <c r="E245" s="616"/>
      <c r="F245" s="616"/>
      <c r="G245" s="616"/>
      <c r="H245" s="616"/>
      <c r="I245" s="616"/>
      <c r="J245" s="616"/>
      <c r="K245" s="1672">
        <f>D245</f>
        <v>746</v>
      </c>
      <c r="L245" s="481">
        <v>723</v>
      </c>
    </row>
    <row r="246" spans="1:12" x14ac:dyDescent="0.2">
      <c r="A246" s="1504" t="s">
        <v>818</v>
      </c>
      <c r="B246" s="614">
        <v>2320</v>
      </c>
      <c r="C246" s="616"/>
      <c r="D246" s="466">
        <v>1892</v>
      </c>
      <c r="E246" s="616"/>
      <c r="F246" s="616"/>
      <c r="G246" s="616"/>
      <c r="H246" s="616"/>
      <c r="I246" s="616"/>
      <c r="J246" s="616"/>
      <c r="K246" s="1672">
        <f t="shared" ref="K246:K256" si="21">D246</f>
        <v>1892</v>
      </c>
      <c r="L246" s="466">
        <v>1933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2638</v>
      </c>
      <c r="E257" s="616"/>
      <c r="F257" s="616"/>
      <c r="G257" s="616"/>
      <c r="H257" s="616"/>
      <c r="I257" s="616"/>
      <c r="J257" s="616"/>
      <c r="K257" s="1670">
        <f>SUM(K245:K256)</f>
        <v>2638</v>
      </c>
      <c r="L257" s="1670">
        <f>SUM(L245:L256)</f>
        <v>2656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32197</v>
      </c>
      <c r="E259" s="616"/>
      <c r="F259" s="616"/>
      <c r="G259" s="616"/>
      <c r="H259" s="616"/>
      <c r="I259" s="616"/>
      <c r="J259" s="616"/>
      <c r="K259" s="1672">
        <f>D259</f>
        <v>32197</v>
      </c>
      <c r="L259" s="481">
        <v>30310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32197</v>
      </c>
      <c r="E261" s="616"/>
      <c r="F261" s="616"/>
      <c r="G261" s="616"/>
      <c r="H261" s="616"/>
      <c r="I261" s="616"/>
      <c r="J261" s="616"/>
      <c r="K261" s="1670">
        <f>SUM(K259:K260)</f>
        <v>32197</v>
      </c>
      <c r="L261" s="1670">
        <f>SUM(L259:L260)</f>
        <v>30310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18698</v>
      </c>
      <c r="E264" s="616"/>
      <c r="F264" s="616"/>
      <c r="G264" s="616"/>
      <c r="H264" s="616"/>
      <c r="I264" s="616"/>
      <c r="J264" s="616"/>
      <c r="K264" s="1672">
        <f t="shared" ref="K264:K269" si="22">D264</f>
        <v>18698</v>
      </c>
      <c r="L264" s="466">
        <v>18833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66968</v>
      </c>
      <c r="E266" s="616"/>
      <c r="F266" s="616"/>
      <c r="G266" s="616"/>
      <c r="H266" s="616"/>
      <c r="I266" s="616"/>
      <c r="J266" s="616"/>
      <c r="K266" s="1672">
        <f t="shared" si="22"/>
        <v>66968</v>
      </c>
      <c r="L266" s="466">
        <v>67257</v>
      </c>
    </row>
    <row r="267" spans="1:14" x14ac:dyDescent="0.2">
      <c r="A267" s="1504" t="s">
        <v>953</v>
      </c>
      <c r="B267" s="614">
        <v>2550</v>
      </c>
      <c r="C267" s="616"/>
      <c r="D267" s="466">
        <v>30892</v>
      </c>
      <c r="E267" s="616"/>
      <c r="F267" s="616"/>
      <c r="G267" s="616"/>
      <c r="H267" s="616"/>
      <c r="I267" s="616"/>
      <c r="J267" s="616"/>
      <c r="K267" s="1672">
        <f t="shared" si="22"/>
        <v>30892</v>
      </c>
      <c r="L267" s="466">
        <v>34675</v>
      </c>
    </row>
    <row r="268" spans="1:14" x14ac:dyDescent="0.2">
      <c r="A268" s="1504" t="s">
        <v>100</v>
      </c>
      <c r="B268" s="614">
        <v>2560</v>
      </c>
      <c r="C268" s="616"/>
      <c r="D268" s="466">
        <v>34998</v>
      </c>
      <c r="E268" s="616"/>
      <c r="F268" s="616"/>
      <c r="G268" s="616"/>
      <c r="H268" s="616"/>
      <c r="I268" s="616"/>
      <c r="J268" s="616"/>
      <c r="K268" s="1672">
        <f t="shared" si="22"/>
        <v>34998</v>
      </c>
      <c r="L268" s="466">
        <v>36862</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151556</v>
      </c>
      <c r="E270" s="616"/>
      <c r="F270" s="616"/>
      <c r="G270" s="616"/>
      <c r="H270" s="616"/>
      <c r="I270" s="616"/>
      <c r="J270" s="616"/>
      <c r="K270" s="1670">
        <f>SUM(K263:K269)</f>
        <v>151556</v>
      </c>
      <c r="L270" s="1670">
        <f>SUM(L263:L269)</f>
        <v>157627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208534</v>
      </c>
      <c r="E279" s="616"/>
      <c r="F279" s="616"/>
      <c r="G279" s="616"/>
      <c r="H279" s="616"/>
      <c r="I279" s="616"/>
      <c r="J279" s="616"/>
      <c r="K279" s="1677">
        <f>SUM(K238,K243,K257,K261,K270,K277,K278)</f>
        <v>208534</v>
      </c>
      <c r="L279" s="1677">
        <f>SUM(L238,L243,L257,L261,L270,L277,L278)</f>
        <v>297392</v>
      </c>
    </row>
    <row r="280" spans="1:12" ht="15.75" customHeight="1" thickTop="1" thickBot="1" x14ac:dyDescent="0.25">
      <c r="A280" s="1624" t="s">
        <v>875</v>
      </c>
      <c r="B280" s="1613">
        <v>3000</v>
      </c>
      <c r="C280" s="616"/>
      <c r="D280" s="576">
        <v>32344</v>
      </c>
      <c r="E280" s="616"/>
      <c r="F280" s="616"/>
      <c r="G280" s="616"/>
      <c r="H280" s="616"/>
      <c r="I280" s="616"/>
      <c r="J280" s="616"/>
      <c r="K280" s="1679">
        <f>D280</f>
        <v>32344</v>
      </c>
      <c r="L280" s="576">
        <v>26958</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432704</v>
      </c>
      <c r="E295" s="616"/>
      <c r="F295" s="616"/>
      <c r="G295" s="616"/>
      <c r="H295" s="1670">
        <f>H293</f>
        <v>0</v>
      </c>
      <c r="I295" s="616"/>
      <c r="J295" s="616"/>
      <c r="K295" s="1670">
        <f>SUM(K229,K279,K280,K285,K293,K294)</f>
        <v>432704</v>
      </c>
      <c r="L295" s="1670">
        <f>SUM(L229,L279,L280,L285,L293,L294)</f>
        <v>515078</v>
      </c>
    </row>
    <row r="296" spans="1:14" ht="13.5" thickTop="1" x14ac:dyDescent="0.2">
      <c r="A296" s="2158" t="s">
        <v>996</v>
      </c>
      <c r="B296" s="2159"/>
      <c r="C296" s="616"/>
      <c r="D296" s="618"/>
      <c r="E296" s="616"/>
      <c r="F296" s="616"/>
      <c r="G296" s="616"/>
      <c r="H296" s="687"/>
      <c r="I296" s="616"/>
      <c r="J296" s="616"/>
      <c r="K296" s="1684">
        <f>'Revenues 9-14'!G268-'Expenditures 15-22'!K295</f>
        <v>-34305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332903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95317</v>
      </c>
      <c r="F322" s="467"/>
      <c r="G322" s="467"/>
      <c r="H322" s="467"/>
      <c r="I322" s="467"/>
      <c r="J322" s="467"/>
      <c r="K322" s="1671">
        <f t="shared" si="24"/>
        <v>95317</v>
      </c>
      <c r="L322" s="467">
        <v>220000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153647</v>
      </c>
      <c r="D325" s="467"/>
      <c r="E325" s="467">
        <v>30971</v>
      </c>
      <c r="F325" s="467"/>
      <c r="G325" s="467"/>
      <c r="H325" s="467"/>
      <c r="I325" s="467"/>
      <c r="J325" s="467"/>
      <c r="K325" s="1671">
        <f t="shared" si="24"/>
        <v>184618</v>
      </c>
      <c r="L325" s="467">
        <v>153734</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51440</v>
      </c>
      <c r="F327" s="467"/>
      <c r="G327" s="467"/>
      <c r="H327" s="467"/>
      <c r="I327" s="467"/>
      <c r="J327" s="467"/>
      <c r="K327" s="1671">
        <f t="shared" si="24"/>
        <v>51440</v>
      </c>
      <c r="L327" s="467">
        <v>52000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153647</v>
      </c>
      <c r="D330" s="1670">
        <f t="shared" ref="D330:J330" si="25">SUM(D319:D329)</f>
        <v>0</v>
      </c>
      <c r="E330" s="1670">
        <f t="shared" si="25"/>
        <v>177728</v>
      </c>
      <c r="F330" s="1670">
        <f t="shared" si="25"/>
        <v>0</v>
      </c>
      <c r="G330" s="1670">
        <f t="shared" si="25"/>
        <v>0</v>
      </c>
      <c r="H330" s="1670">
        <f t="shared" si="25"/>
        <v>0</v>
      </c>
      <c r="I330" s="1670">
        <f t="shared" si="25"/>
        <v>0</v>
      </c>
      <c r="J330" s="1670">
        <f t="shared" si="25"/>
        <v>0</v>
      </c>
      <c r="K330" s="1670">
        <f>SUM(K319:K329)</f>
        <v>331375</v>
      </c>
      <c r="L330" s="1670">
        <f>SUM(L319:L329)</f>
        <v>425734</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153647</v>
      </c>
      <c r="D342" s="1670">
        <f>SUM(D330)</f>
        <v>0</v>
      </c>
      <c r="E342" s="1670">
        <f>SUM(E330)</f>
        <v>177728</v>
      </c>
      <c r="F342" s="1670">
        <f>SUM(F330)</f>
        <v>0</v>
      </c>
      <c r="G342" s="1670">
        <f>SUM(G330)</f>
        <v>0</v>
      </c>
      <c r="H342" s="1670">
        <f>SUM(H330,H334,H340)</f>
        <v>0</v>
      </c>
      <c r="I342" s="1670">
        <f>SUM(I330)</f>
        <v>0</v>
      </c>
      <c r="J342" s="1670">
        <f>SUM(J330)</f>
        <v>0</v>
      </c>
      <c r="K342" s="1670">
        <f>SUM(K330,K334,K340)</f>
        <v>331375</v>
      </c>
      <c r="L342" s="1677">
        <f>SUM(L330,L340,L341)</f>
        <v>425734</v>
      </c>
    </row>
    <row r="343" spans="1:14" ht="12.75" customHeight="1" thickTop="1" x14ac:dyDescent="0.2">
      <c r="A343" s="2171" t="s">
        <v>996</v>
      </c>
      <c r="B343" s="2172"/>
      <c r="C343" s="616"/>
      <c r="D343" s="616"/>
      <c r="E343" s="616"/>
      <c r="F343" s="616"/>
      <c r="G343" s="616"/>
      <c r="H343" s="616"/>
      <c r="I343" s="616"/>
      <c r="J343" s="616"/>
      <c r="K343" s="1684">
        <f>'Revenues 9-14'!J268-'Expenditures 15-22'!K342</f>
        <v>13362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8" t="s">
        <v>996</v>
      </c>
      <c r="B368" s="2159"/>
      <c r="C368" s="654"/>
      <c r="D368" s="654"/>
      <c r="E368" s="626"/>
      <c r="F368" s="626"/>
      <c r="G368" s="626"/>
      <c r="H368" s="626"/>
      <c r="I368" s="626"/>
      <c r="J368" s="623"/>
      <c r="K368" s="1671">
        <f>'Revenues 9-14'!K268-'Expenditures 15-22'!K367</f>
        <v>7964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http://schemas.microsoft.com/sharepoint/v3"/>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www.w3.org/XML/1998/namespace"/>
    <ds:schemaRef ds:uri="4d435f69-8686-490b-bd6d-b153bf22ab50"/>
    <ds:schemaRef ds:uri="d21dc803-237d-4c68-8692-8d731fd2911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22</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SF&amp;QC Sec-3 (2)</vt:lpstr>
      <vt:lpstr>SF&amp;QC Sec-3 (3)</vt:lpstr>
      <vt:lpstr>SF&amp;QC Sec-3 (4)</vt:lpstr>
      <vt:lpstr>SF&amp;QC Sec-3 (5)</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'SF&amp;QC Sec-3 (3)'!Print_Area</vt:lpstr>
      <vt:lpstr>'SF&amp;QC Sec-3 (4)'!Print_Area</vt:lpstr>
      <vt:lpstr>'SF&amp;QC Sec-3 (5)'!Print_Area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2019-10-23T15:07:05Z</cp:lastPrinted>
  <dcterms:created xsi:type="dcterms:W3CDTF">2003-10-29T19:06:34Z</dcterms:created>
  <dcterms:modified xsi:type="dcterms:W3CDTF">2019-12-31T15:32:29Z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