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C27CD61-A8F6-4838-81A9-DA29CBB4AC2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8" i="108" l="1"/>
  <c r="C9" i="4" l="1"/>
  <c r="M19"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E27" i="108"/>
  <c r="G27" i="108"/>
  <c r="F28" i="108"/>
  <c r="F31"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D24" i="37" l="1"/>
  <c r="B4270" i="106" s="1"/>
  <c r="D4270" i="106" s="1"/>
  <c r="B6995" i="106"/>
  <c r="D6995" i="106" s="1"/>
  <c r="B2836" i="106"/>
  <c r="D2836" i="106" s="1"/>
  <c r="H28" i="118"/>
  <c r="D68" i="36"/>
  <c r="D69" i="36"/>
  <c r="F56" i="34"/>
  <c r="D14" i="4"/>
  <c r="B2570" i="106" s="1"/>
  <c r="D2570" i="106" s="1"/>
  <c r="F37" i="34"/>
  <c r="G39" i="108"/>
  <c r="D54" i="36"/>
  <c r="L5" i="11"/>
  <c r="B2056" i="106" s="1"/>
  <c r="D2056" i="106" s="1"/>
  <c r="G26" i="108"/>
  <c r="B1274" i="106"/>
  <c r="D1274" i="106" s="1"/>
  <c r="F67" i="34"/>
  <c r="B7047" i="106"/>
  <c r="D7047" i="106" s="1"/>
  <c r="F38" i="34"/>
  <c r="F46" i="34"/>
  <c r="F34" i="34"/>
  <c r="B6289" i="106"/>
  <c r="D6289" i="106" s="1"/>
  <c r="H112" i="29"/>
  <c r="B7018" i="106" s="1"/>
  <c r="D7018" i="106" s="1"/>
  <c r="F36" i="34"/>
  <c r="L22" i="37"/>
  <c r="G29" i="108"/>
  <c r="E34" i="108"/>
  <c r="E33" i="108"/>
  <c r="C129" i="29"/>
  <c r="B1225" i="106" s="1"/>
  <c r="D1225" i="106" s="1"/>
  <c r="H76" i="4"/>
  <c r="B3298" i="106" s="1"/>
  <c r="D3298" i="106" s="1"/>
  <c r="J22" i="37"/>
  <c r="J129" i="29"/>
  <c r="B7038" i="106" s="1"/>
  <c r="D7038" i="106" s="1"/>
  <c r="D6103" i="106"/>
  <c r="I129" i="29"/>
  <c r="B7037" i="106" s="1"/>
  <c r="D7037" i="106" s="1"/>
  <c r="H33" i="118"/>
  <c r="D27" i="108"/>
  <c r="E38" i="108"/>
  <c r="F36" i="108"/>
  <c r="F72" i="34"/>
  <c r="G30" i="108"/>
  <c r="C352" i="29"/>
  <c r="C367" i="29" s="1"/>
  <c r="B3622" i="106" s="1"/>
  <c r="D3622" i="106" s="1"/>
  <c r="B7076" i="106"/>
  <c r="D7076" i="106" s="1"/>
  <c r="I210" i="29"/>
  <c r="B7071" i="106" s="1"/>
  <c r="D7071" i="106" s="1"/>
  <c r="J41" i="3"/>
  <c r="B6216" i="106" s="1"/>
  <c r="D6216" i="106" s="1"/>
  <c r="C342" i="29"/>
  <c r="B7216" i="106" s="1"/>
  <c r="D7216" i="106" s="1"/>
  <c r="F77" i="4"/>
  <c r="B3255" i="106" s="1"/>
  <c r="D3255" i="106" s="1"/>
  <c r="J77" i="4"/>
  <c r="B6262" i="106" s="1"/>
  <c r="D6262" i="106" s="1"/>
  <c r="K76" i="4"/>
  <c r="B3586" i="106" s="1"/>
  <c r="D3586" i="106" s="1"/>
  <c r="H342" i="29"/>
  <c r="B7221" i="106" s="1"/>
  <c r="D7221" i="106" s="1"/>
  <c r="K184" i="29"/>
  <c r="F13" i="4" s="1"/>
  <c r="B2596" i="106" s="1"/>
  <c r="D2596" i="106" s="1"/>
  <c r="J352" i="29"/>
  <c r="J367" i="29" s="1"/>
  <c r="B7245" i="106" s="1"/>
  <c r="D7245" i="106" s="1"/>
  <c r="L13" i="11"/>
  <c r="B2060" i="106" s="1"/>
  <c r="D2060" i="106" s="1"/>
  <c r="B3647" i="106"/>
  <c r="D3647" i="106" s="1"/>
  <c r="G210" i="29"/>
  <c r="J210" i="29"/>
  <c r="B7072" i="106" s="1"/>
  <c r="D7072" i="106" s="1"/>
  <c r="F19" i="7"/>
  <c r="B1807" i="106" s="1"/>
  <c r="D1807" i="106" s="1"/>
  <c r="F42" i="34"/>
  <c r="E29" i="108"/>
  <c r="G15" i="145"/>
  <c r="L367" i="29"/>
  <c r="F50" i="34"/>
  <c r="H365" i="29"/>
  <c r="B7242" i="106" s="1"/>
  <c r="D7242"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235" i="106" l="1"/>
  <c r="D7235" i="106" s="1"/>
  <c r="B3621" i="106"/>
  <c r="D3621" i="106" s="1"/>
  <c r="K28" i="118"/>
  <c r="O27" i="118" s="1"/>
  <c r="O29" i="118" s="1"/>
  <c r="C151" i="29"/>
  <c r="B1226" i="106" s="1"/>
  <c r="D1226" i="106" s="1"/>
  <c r="I151" i="29"/>
  <c r="F59" i="34" s="1"/>
  <c r="H77" i="4"/>
  <c r="B3299" i="106" s="1"/>
  <c r="D3299" i="106" s="1"/>
  <c r="J151" i="29"/>
  <c r="B7052" i="106" s="1"/>
  <c r="D7052" i="106" s="1"/>
  <c r="D7250" i="106"/>
  <c r="F66" i="34"/>
  <c r="D7254" i="106"/>
  <c r="D7251" i="106"/>
  <c r="D7256" i="106"/>
  <c r="D44" i="36"/>
  <c r="H151" i="29"/>
  <c r="B1273" i="106" s="1"/>
  <c r="D1273" i="106" s="1"/>
  <c r="G6" i="4"/>
  <c r="B2604" i="106" s="1"/>
  <c r="D2604" i="106" s="1"/>
  <c r="K365" i="29"/>
  <c r="B7243" i="106" s="1"/>
  <c r="D7243" i="106" s="1"/>
  <c r="D51" i="36"/>
  <c r="K77" i="4"/>
  <c r="B3587" i="106" s="1"/>
  <c r="D3587" i="106" s="1"/>
  <c r="B5770" i="106"/>
  <c r="D5770" i="106" s="1"/>
  <c r="B1381" i="106"/>
  <c r="D1381" i="106" s="1"/>
  <c r="D41" i="108"/>
  <c r="E43" i="108" s="1"/>
  <c r="B4435" i="106"/>
  <c r="D4435" i="106" s="1"/>
  <c r="F41" i="108"/>
  <c r="G43" i="108" s="1"/>
  <c r="J16" i="4"/>
  <c r="B6226" i="106" s="1"/>
  <c r="D6226" i="106" s="1"/>
  <c r="B1365" i="106"/>
  <c r="D1365" i="106" s="1"/>
  <c r="F65" i="34"/>
  <c r="B5527" i="106"/>
  <c r="D5527" i="106" s="1"/>
  <c r="N23" i="3"/>
  <c r="B284" i="106" s="1"/>
  <c r="D284" i="106" s="1"/>
  <c r="C114" i="29"/>
  <c r="B757" i="106" s="1"/>
  <c r="D757" i="106" s="1"/>
  <c r="L16" i="11"/>
  <c r="B2061" i="106" s="1"/>
  <c r="D2061" i="106" s="1"/>
  <c r="B1328" i="106"/>
  <c r="D1328" i="106" s="1"/>
  <c r="L114" i="29"/>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1145" i="106"/>
  <c r="D1145" i="106" s="1"/>
  <c r="F24" i="37"/>
  <c r="K367" i="29"/>
  <c r="B3678" i="106" s="1"/>
  <c r="D3678"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F8" i="4"/>
  <c r="F10" i="4" s="1"/>
  <c r="B4125" i="106" s="1"/>
  <c r="D4125" i="106" s="1"/>
  <c r="B6227" i="106"/>
  <c r="D6227" i="106" s="1"/>
  <c r="J20" i="4"/>
  <c r="B6230" i="106" s="1"/>
  <c r="D6230"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F175" i="34" l="1"/>
  <c r="F79" i="34"/>
  <c r="J81" i="4"/>
  <c r="F8" i="146"/>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D81" i="4"/>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<sst xmlns="http://schemas.openxmlformats.org/spreadsheetml/2006/main" count="5082" uniqueCount="2096">
  <si>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</si>
  <si>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</si>
  <si>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</si>
  <si>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</si>
  <si>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</si>
  <si>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</si>
  <si>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</si>
  <si>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</si>
  <si>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</si>
  <si>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</si>
  <si>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</si>
  <si>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</si>
  <si>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</si>
  <si>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</si>
  <si>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</si>
  <si>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</si>
  <si>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</si>
  <si>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</si>
  <si>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</si>
  <si>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</si>
  <si>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</si>
  <si>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</si>
  <si>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</si>
  <si>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</si>
  <si>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</si>
  <si>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</si>
  <si>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</si>
  <si>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</si>
  <si>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</si>
  <si>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</si>
  <si>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</si>
  <si>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</si>
  <si>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</si>
  <si>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</si>
  <si>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</si>
  <si>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</si>
  <si>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</si>
  <si>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</si>
  <si>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</si>
  <si>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</si>
  <si>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</si>
  <si>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</si>
  <si>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</si>
  <si>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</si>
  <si>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</si>
  <si>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</si>
  <si>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</si>
  <si>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</si>
  <si>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</si>
  <si>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</si>
  <si>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</si>
  <si>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</si>
  <si>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</si>
  <si>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</si>
  <si>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</si>
  <si>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</si>
  <si>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</si>
  <si>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</si>
  <si>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</si>
  <si>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</si>
  <si>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</si>
  <si>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</si>
  <si>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</si>
  <si>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</si>
  <si>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</si>
  <si>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</si>
  <si>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</si>
  <si>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</si>
  <si>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</si>
  <si>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</si>
  <si>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</si>
  <si>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</si>
  <si>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</si>
  <si>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</si>
  <si>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</si>
  <si>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</si>
  <si>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</si>
  <si>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</si>
  <si>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</si>
  <si>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</si>
  <si>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</si>
  <si>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</si>
  <si>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</si>
  <si>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</si>
  <si>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</si>
  <si>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</si>
  <si>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</si>
  <si>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</si>
  <si>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</si>
  <si>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</si>
  <si>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</si>
  <si>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</si>
  <si>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</si>
  <si>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</si>
  <si>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</si>
  <si>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</si>
  <si>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</si>
  <si>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</si>
  <si>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</si>
  <si>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</si>
  <si>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</si>
  <si>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</si>
  <si>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</si>
  <si>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</si>
  <si>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</si>
  <si>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</si>
  <si>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</si>
  <si>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</si>
  <si>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</si>
  <si>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</si>
  <si>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</si>
  <si>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</si>
  <si>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</si>
  <si>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</si>
  <si>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</si>
  <si>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</si>
  <si>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</si>
  <si>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</si>
  <si>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</si>
  <si>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</si>
  <si>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</si>
  <si>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</si>
  <si>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</si>
  <si>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</si>
  <si>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</si>
  <si>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</si>
  <si>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</si>
  <si>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</si>
  <si>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</si>
  <si>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</si>
  <si>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</si>
  <si>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</si>
  <si>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</si>
  <si>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</si>
  <si>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</si>
  <si>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</si>
  <si>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</si>
  <si>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</si>
  <si>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</si>
  <si>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</si>
  <si>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</si>
  <si>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</si>
  <si>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</si>
  <si>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</si>
  <si>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</si>
  <si>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</si>
  <si>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</si>
  <si>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</si>
  <si>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</si>
  <si>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</si>
  <si>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</si>
  <si>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</si>
  <si>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</si>
  <si>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</si>
  <si>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</si>
  <si>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</si>
  <si>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</si>
  <si>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</si>
  <si>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</si>
  <si>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</si>
  <si>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</si>
  <si>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</si>
  <si>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</si>
  <si>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</si>
  <si>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</si>
  <si>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</si>
  <si>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</si>
  <si>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</si>
  <si>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</si>
  <si>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</si>
  <si>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</si>
  <si>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</si>
  <si>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</si>
  <si>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</si>
  <si>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</si>
  <si>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</si>
  <si>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</si>
  <si>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</si>
  <si>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</si>
  <si>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</si>
  <si>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</si>
  <si>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</si>
  <si>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</si>
  <si>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</si>
  <si>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</si>
  <si>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</si>
  <si>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</si>
  <si>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</si>
  <si>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</si>
  <si>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</si>
  <si>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</si>
  <si>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</si>
  <si>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</si>
  <si>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</si>
  <si>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</si>
  <si>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</si>
  <si>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</si>
  <si>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</si>
  <si>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</si>
  <si>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</si>
  <si>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</si>
  <si>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</si>
  <si>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</si>
  <si>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</si>
  <si>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</si>
  <si>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</si>
  <si>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</si>
  <si>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</si>
  <si>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</si>
  <si>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</si>
  <si>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</si>
  <si>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</si>
  <si>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</si>
  <si>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</si>
  <si>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</si>
  <si>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</si>
  <si>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</si>
  <si>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</si>
  <si>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</si>
  <si>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</si>
  <si>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</si>
  <si>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</si>
  <si>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</si>
  <si>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</si>
  <si>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</si>
  <si>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</si>
  <si>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</si>
  <si>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</si>
  <si>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</si>
  <si>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</si>
  <si>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</si>
  <si>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</si>
  <si>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</si>
  <si>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</si>
  <si>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</si>
  <si>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</si>
  <si>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</si>
  <si>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</si>
  <si>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</si>
  <si>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</si>
  <si>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</si>
  <si>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</si>
  <si>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</si>
  <si>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</si>
  <si>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</si>
  <si>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</si>
  <si>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</si>
  <si>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</si>
  <si>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</si>
  <si>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</si>
  <si>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</si>
  <si>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</si>
  <si>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</si>
  <si>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</si>
  <si>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</si>
  <si>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</si>
  <si>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</si>
  <si>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</si>
  <si>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</si>
  <si>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</si>
  <si>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</si>
  <si>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</si>
  <si>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</si>
  <si>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</si>
  <si>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</si>
  <si>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</si>
  <si>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</si>
  <si>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</si>
  <si>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</si>
  <si>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</si>
  <si>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</si>
  <si>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</si>
  <si>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</si>
  <si>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</si>
  <si>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</si>
  <si>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</si>
  <si>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</si>
  <si>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</si>
  <si>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</si>
  <si>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</si>
  <si>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</si>
  <si>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</si>
  <si>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</si>
  <si>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</si>
  <si>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</si>
  <si>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</si>
  <si>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</si>
  <si>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</si>
  <si>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</si>
  <si>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</si>
  <si>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</si>
  <si>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</si>
  <si>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</si>
  <si>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</si>
  <si>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</si>
  <si>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</si>
  <si>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</si>
  <si>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</si>
  <si>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</si>
  <si>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</si>
  <si>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</si>
  <si>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</si>
  <si>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</si>
  <si>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</si>
  <si>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</si>
  <si>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</si>
  <si>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</si>
  <si>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</si>
  <si>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</si>
  <si>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</si>
  <si>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</si>
  <si>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</si>
  <si>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</si>
  <si>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</si>
  <si>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</si>
  <si>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</si>
  <si>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</si>
  <si>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</si>
  <si>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</si>
  <si>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</si>
  <si>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</si>
  <si>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</si>
  <si>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</si>
  <si>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</si>
  <si>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</si>
  <si>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</si>
  <si>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</si>
  <si>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</si>
  <si>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</si>
  <si>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</si>
  <si>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</si>
  <si>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</si>
  <si>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</si>
  <si>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</si>
  <si>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</si>
  <si>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</si>
  <si>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</si>
  <si>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</si>
  <si>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</si>
  <si>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</si>
  <si>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</si>
  <si>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</si>
  <si>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</si>
  <si>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</si>
  <si>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</si>
  <si>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</si>
  <si>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</si>
  <si>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</si>
  <si>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</si>
  <si>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</si>
  <si>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</si>
  <si>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</si>
  <si>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</si>
  <si>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</si>
  <si>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</si>
  <si>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</si>
  <si>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</si>
  <si>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</si>
  <si>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</si>
  <si>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</si>
  <si>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</si>
  <si>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</si>
  <si>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</si>
  <si>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</si>
  <si>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</si>
  <si>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</si>
  <si>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</si>
  <si>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</si>
  <si>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</si>
  <si>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</si>
  <si>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</si>
  <si>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</si>
  <si>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</si>
  <si>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</si>
  <si>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</si>
  <si>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</si>
  <si>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</si>
  <si>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</si>
  <si>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</si>
  <si>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</si>
  <si>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</si>
  <si>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</si>
  <si>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</si>
  <si>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</si>
  <si>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</si>
  <si>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</si>
  <si>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</si>
  <si>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</si>
  <si>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</si>
  <si>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</si>
  <si>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</si>
  <si>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</si>
  <si>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</si>
  <si>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</si>
  <si>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</si>
  <si>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</si>
  <si>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</si>
  <si>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</si>
  <si>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</si>
  <si>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</si>
  <si>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</si>
  <si>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</si>
  <si>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</si>
  <si>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</si>
  <si>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</si>
  <si>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</si>
  <si>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</si>
  <si>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</si>
  <si>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</si>
  <si>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</si>
  <si>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</si>
  <si>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</si>
  <si>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</si>
  <si>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</si>
  <si>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</si>
  <si>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</si>
  <si>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</si>
  <si>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</si>
  <si>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</si>
  <si>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</si>
  <si>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</si>
  <si>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</si>
  <si>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</si>
  <si>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</si>
  <si>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</si>
  <si>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</si>
  <si>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</si>
  <si>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</si>
  <si>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</si>
  <si>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</si>
  <si>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</si>
  <si>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</si>
  <si>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</si>
  <si>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</si>
  <si>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</si>
  <si>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</si>
  <si>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</si>
  <si>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</si>
  <si>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</si>
  <si>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</si>
  <si>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</si>
  <si>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</si>
  <si>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</si>
  <si>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</si>
  <si>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</si>
  <si>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</si>
  <si>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</si>
  <si>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</si>
  <si>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</si>
  <si>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</si>
  <si>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</si>
  <si>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</si>
  <si>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</si>
  <si>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</si>
  <si>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</si>
  <si>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</si>
  <si>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</si>
  <si>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</si>
  <si>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</si>
  <si>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</si>
  <si>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</si>
  <si>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</si>
  <si>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</si>
  <si>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</si>
  <si>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</si>
  <si>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</si>
  <si>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</si>
  <si>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</si>
  <si>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</si>
  <si>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</si>
  <si>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</si>
  <si>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</si>
  <si>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</si>
  <si>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</si>
  <si>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</si>
  <si>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</si>
  <si>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</si>
  <si>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</si>
  <si>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</si>
  <si>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</si>
  <si>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</si>
  <si>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</si>
  <si>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</si>
  <si>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</si>
  <si>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</si>
  <si>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</si>
  <si>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</si>
  <si>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</si>
  <si>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</si>
  <si>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</si>
  <si>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</si>
  <si>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</si>
  <si>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</si>
  <si>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</si>
  <si>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</si>
  <si>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</si>
  <si>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</si>
  <si>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</si>
  <si>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</si>
  <si>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</si>
  <si>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</si>
  <si>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</si>
  <si>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</si>
  <si>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</si>
  <si>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</si>
  <si>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</si>
  <si>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</si>
  <si>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</si>
  <si>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</si>
  <si>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</si>
  <si>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</si>
  <si>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</si>
  <si>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</si>
  <si>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</si>
  <si>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</si>
  <si>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</si>
  <si>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</si>
  <si>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</si>
  <si>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</si>
  <si>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</si>
  <si>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</si>
  <si>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</si>
  <si>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</si>
  <si>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</si>
  <si>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</si>
  <si>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</si>
  <si>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</si>
  <si>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</si>
  <si>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</si>
  <si>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</si>
  <si>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</si>
  <si>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</si>
  <si>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</si>
  <si>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</si>
  <si>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</si>
  <si>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</si>
  <si>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</si>
  <si>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</si>
  <si>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</si>
  <si>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</si>
  <si>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</si>
  <si>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</si>
  <si>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</si>
  <si>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</si>
  <si>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</si>
  <si>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</si>
  <si>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</si>
  <si>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</si>
  <si>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</si>
  <si>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</si>
  <si>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</si>
  <si>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</si>
  <si>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</si>
  <si>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</si>
  <si>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</si>
  <si>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</si>
  <si>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</si>
  <si>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</si>
  <si>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</si>
  <si>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</si>
  <si>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</si>
  <si>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</si>
  <si>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</si>
  <si>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</si>
  <si>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</si>
  <si>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</si>
  <si>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</si>
  <si>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</si>
  <si>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</si>
  <si>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</si>
  <si>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</si>
  <si>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</si>
  <si>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</si>
  <si>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</si>
  <si>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</si>
  <si>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</si>
  <si>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</si>
  <si>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</si>
  <si>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</si>
  <si>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</si>
  <si>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</si>
  <si>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</si>
  <si>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</si>
  <si>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</si>
  <si>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</si>
  <si>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</si>
  <si>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</si>
  <si>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</si>
  <si>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</si>
  <si>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</si>
  <si>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</si>
  <si>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</si>
  <si>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</si>
  <si>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</si>
  <si>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</si>
  <si>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</si>
  <si>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</si>
  <si>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</si>
  <si>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</si>
  <si>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</si>
  <si>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</si>
  <si>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</si>
  <si>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</si>
  <si>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</si>
  <si>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</si>
  <si>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</si>
  <si>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</si>
  <si>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</si>
  <si>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</si>
  <si>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</si>
  <si>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</si>
  <si>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</si>
  <si>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</si>
  <si>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</si>
  <si>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</si>
  <si>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</si>
  <si>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</si>
  <si>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</si>
  <si>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</si>
  <si>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</si>
  <si>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</si>
  <si>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</si>
  <si>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</si>
  <si>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</si>
  <si>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</si>
  <si>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</si>
  <si>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</si>
  <si>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</si>
  <si>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</si>
  <si>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</si>
  <si>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</si>
  <si>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</si>
  <si>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</si>
  <si>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</si>
  <si>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</si>
  <si>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</si>
  <si>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</si>
  <si>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</si>
  <si>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</si>
  <si>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</si>
  <si>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</si>
  <si>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</si>
  <si>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</si>
  <si>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</si>
  <si>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</si>
  <si>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</si>
  <si>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</si>
  <si>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</si>
  <si>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</si>
  <si>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</si>
  <si>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</si>
  <si>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</si>
  <si>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</si>
  <si>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</si>
  <si>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</si>
  <si>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</si>
  <si>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</si>
  <si>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</si>
  <si>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</si>
  <si>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</si>
  <si>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</si>
  <si>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</si>
  <si>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</si>
  <si>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</si>
  <si>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</si>
  <si>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</si>
  <si>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</si>
  <si>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</si>
  <si>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</si>
  <si>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</si>
  <si>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</si>
  <si>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</si>
  <si>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</si>
  <si>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</si>
  <si>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</si>
  <si>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</si>
  <si>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</si>
  <si>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</si>
  <si>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</si>
  <si>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</si>
  <si>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</si>
  <si>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</si>
  <si>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</si>
  <si>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</si>
  <si>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</si>
  <si>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</si>
  <si>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</si>
  <si>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</si>
  <si>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</si>
  <si>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</si>
  <si>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</si>
  <si>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</si>
  <si>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</si>
  <si>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</si>
  <si>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</si>
  <si>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</si>
  <si>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</si>
  <si>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</si>
  <si>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</si>
  <si>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</si>
  <si>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</si>
  <si>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</si>
  <si>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</si>
  <si>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</si>
  <si>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</si>
  <si>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</si>
  <si>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</si>
  <si>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</si>
  <si>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</si>
  <si>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</si>
  <si>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</si>
  <si>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</si>
  <si>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</si>
  <si>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</si>
  <si>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</si>
  <si>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</si>
  <si>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</si>
  <si>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</si>
  <si>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</si>
  <si>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</si>
  <si>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</si>
  <si>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</si>
  <si>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</si>
  <si>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</si>
  <si>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</si>
  <si>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</si>
  <si>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</si>
  <si>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</si>
  <si>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</si>
  <si>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</si>
  <si>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</si>
  <si>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</si>
  <si>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</si>
  <si>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</si>
  <si>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</si>
  <si>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</si>
  <si>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</si>
  <si>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</si>
  <si>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</si>
  <si>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</si>
  <si>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</si>
  <si>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</si>
  <si>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</si>
  <si>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</si>
  <si>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</si>
  <si>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</si>
  <si>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</si>
  <si>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</si>
  <si>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</si>
  <si>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</si>
  <si>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</si>
  <si>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</si>
  <si>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</si>
  <si>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</si>
  <si>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</si>
  <si>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</si>
  <si>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</si>
  <si>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</si>
  <si>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</si>
  <si>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</si>
  <si>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</si>
  <si>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</si>
  <si>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</si>
  <si>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</si>
  <si>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</si>
  <si>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</si>
  <si>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</si>
  <si>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</si>
  <si>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</si>
  <si>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</si>
  <si>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</si>
  <si>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</si>
  <si>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</si>
  <si>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</si>
  <si>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</si>
  <si>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</si>
  <si>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</si>
  <si>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</si>
  <si>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</si>
  <si>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</si>
  <si>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</si>
  <si>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</si>
  <si>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</si>
  <si>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</si>
  <si>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</si>
  <si>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</si>
  <si>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</si>
  <si>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</si>
  <si>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</si>
  <si>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</si>
  <si>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</si>
  <si>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</si>
  <si>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</si>
  <si>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</si>
  <si>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</si>
  <si>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</si>
  <si>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</si>
  <si>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</si>
  <si>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</si>
  <si>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</si>
  <si>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</si>
  <si>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</si>
  <si>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</si>
  <si>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</si>
  <si>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</si>
  <si>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</si>
  <si>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</si>
  <si>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</si>
  <si>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</si>
  <si>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</si>
  <si>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</si>
  <si>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</si>
  <si>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</si>
  <si>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</si>
  <si>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</si>
  <si>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</si>
  <si>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</si>
  <si>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</si>
  <si>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</si>
  <si>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</si>
  <si>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</si>
  <si>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</si>
  <si>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</si>
  <si>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</si>
  <si>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</si>
  <si>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</si>
  <si>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</si>
  <si>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</si>
  <si>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</si>
  <si>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</si>
  <si>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</si>
  <si>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</si>
  <si>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</si>
  <si>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</si>
  <si>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</si>
  <si>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</si>
  <si>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</si>
  <si>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</si>
  <si>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</si>
  <si>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</si>
  <si>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</si>
  <si>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</si>
  <si>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</si>
  <si>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</si>
  <si>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</si>
  <si>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</si>
  <si>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</si>
  <si>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</si>
  <si>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</si>
  <si>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</si>
  <si>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</si>
  <si>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</si>
  <si>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</si>
  <si>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</si>
  <si>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</si>
  <si>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</si>
  <si>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</si>
  <si>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</si>
  <si>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</si>
  <si>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</si>
  <si>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</si>
  <si>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</si>
  <si>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</si>
  <si>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</si>
  <si>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</si>
  <si>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</si>
  <si>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</si>
  <si>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</si>
  <si>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</si>
  <si>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</si>
  <si>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</si>
  <si>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</si>
  <si>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</si>
  <si>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</si>
  <si>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</si>
  <si>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</si>
  <si>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</si>
  <si>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</si>
  <si>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</si>
  <si>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</si>
  <si>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</si>
  <si>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</si>
  <si>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</si>
  <si>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</si>
  <si>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</si>
  <si>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</si>
  <si>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</si>
  <si>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</si>
  <si>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</si>
  <si>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</si>
  <si>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</si>
  <si>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</si>
  <si>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</si>
  <si>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</si>
  <si>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</si>
  <si>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</si>
  <si>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</si>
  <si>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</si>
  <si>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</si>
  <si>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</si>
  <si>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</si>
  <si>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</si>
  <si>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</si>
  <si>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</si>
  <si>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</si>
  <si>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</si>
  <si>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</si>
  <si>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</si>
  <si>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</si>
  <si>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</si>
  <si>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</si>
  <si>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</si>
  <si>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</si>
  <si>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</si>
  <si>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</si>
  <si>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</si>
  <si>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</si>
  <si>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</si>
  <si>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</si>
  <si>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</si>
  <si>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</si>
  <si>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</si>
  <si>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</si>
  <si>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</si>
  <si>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</si>
  <si>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</si>
  <si>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</si>
  <si>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</si>
  <si>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</si>
  <si>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</si>
  <si>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</si>
  <si>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</si>
  <si>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</si>
  <si>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</si>
  <si>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</si>
  <si>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</si>
  <si>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</si>
  <si>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</si>
  <si>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</si>
  <si>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</si>
  <si>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</si>
  <si>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</si>
  <si>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</si>
  <si>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</si>
  <si>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</si>
  <si>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</si>
  <si>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</si>
  <si>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</si>
  <si>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</si>
  <si>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</si>
  <si>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</si>
  <si>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</si>
  <si>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</si>
  <si>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</si>
  <si>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</si>
  <si>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</si>
  <si>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</si>
  <si>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</si>
  <si>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</si>
  <si>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</si>
  <si>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</si>
  <si>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</si>
  <si>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</si>
  <si>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</si>
  <si>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</si>
  <si>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</si>
  <si>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</si>
  <si>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</si>
  <si>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</si>
  <si>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</si>
  <si>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</si>
  <si>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</si>
  <si>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</si>
  <si>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</si>
  <si>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</si>
  <si>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</si>
  <si>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</si>
  <si>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</si>
  <si>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</si>
  <si>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</si>
  <si>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</si>
  <si>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</si>
  <si>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</si>
  <si>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</si>
  <si>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</si>
  <si>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</si>
  <si>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</si>
  <si>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</si>
  <si>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</si>
  <si>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</si>
  <si>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</si>
  <si>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</si>
  <si>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</si>
  <si>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</si>
  <si>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</si>
  <si>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</si>
  <si>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</si>
  <si>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</si>
  <si>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</si>
  <si>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</si>
  <si>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</si>
  <si>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</si>
  <si>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</si>
  <si>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</si>
  <si>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</si>
  <si>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</si>
  <si>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</si>
  <si>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</si>
  <si>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</si>
  <si>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</si>
  <si>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</si>
  <si>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</si>
  <si>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</si>
  <si>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</si>
  <si>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</si>
  <si>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</si>
  <si>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</si>
  <si>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</si>
  <si>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</si>
  <si>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</si>
  <si>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</si>
  <si>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</si>
  <si>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</si>
  <si>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</si>
  <si>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</si>
  <si>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</si>
  <si>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</si>
  <si>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</si>
  <si>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</si>
  <si>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</si>
  <si>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</si>
  <si>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</si>
  <si>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</si>
  <si>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</si>
  <si>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</si>
  <si>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</si>
  <si>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</si>
  <si>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</si>
  <si>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</si>
  <si>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</si>
  <si>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</si>
  <si>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</si>
  <si>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</si>
  <si>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</si>
  <si>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</si>
  <si>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</si>
  <si>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</si>
  <si>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</si>
  <si>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</si>
  <si>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</si>
  <si>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</si>
  <si>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</si>
  <si>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</si>
  <si>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</si>
  <si>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</si>
  <si>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</si>
  <si>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</si>
  <si>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</si>
  <si>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</si>
  <si>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</si>
  <si>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</si>
  <si>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</si>
  <si>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</si>
  <si>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</si>
  <si>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</si>
  <si>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</si>
  <si>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</si>
  <si>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</si>
  <si>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</si>
  <si>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</si>
  <si>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</si>
  <si>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</si>
  <si>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</si>
  <si>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</si>
  <si>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</si>
  <si>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</si>
  <si>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</si>
  <si>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</si>
  <si>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</si>
  <si>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</si>
  <si>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</si>
  <si>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</si>
  <si>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</si>
  <si>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</si>
  <si>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</si>
  <si>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</si>
  <si>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</si>
  <si>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</si>
  <si>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</si>
  <si>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</si>
  <si>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</si>
  <si>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</si>
  <si>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</si>
  <si>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</si>
  <si>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</si>
  <si>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</si>
  <si>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</si>
  <si>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</si>
  <si>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</si>
  <si>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</si>
  <si>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</si>
  <si>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</si>
  <si>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</si>
  <si>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</si>
  <si>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</si>
  <si>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</si>
  <si>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</si>
  <si>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</si>
  <si>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</si>
  <si>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</si>
  <si>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</si>
  <si>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</si>
  <si>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</si>
  <si>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</si>
  <si>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</si>
  <si>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</si>
  <si>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</si>
  <si>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</si>
  <si>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</si>
  <si>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</si>
  <si>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</si>
  <si>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</si>
  <si>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</si>
  <si>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</si>
  <si>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</si>
  <si>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</si>
  <si>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</si>
  <si>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</si>
  <si>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</si>
  <si>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</si>
  <si>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</si>
  <si>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</si>
  <si>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</si>
  <si>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</si>
  <si>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</si>
  <si>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</si>
  <si>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</si>
  <si>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</si>
  <si>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</si>
  <si>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</si>
  <si>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</si>
  <si>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</si>
  <si>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</si>
  <si>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</si>
  <si>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</si>
  <si>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</si>
  <si>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</si>
  <si>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</si>
  <si>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</si>
  <si>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</si>
  <si>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</si>
  <si>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</si>
  <si>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</si>
  <si>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</si>
  <si>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</si>
  <si>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</si>
  <si>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</si>
  <si>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</si>
  <si>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</si>
  <si>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</si>
  <si>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</si>
  <si>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</si>
  <si>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</si>
  <si>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</si>
  <si>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</si>
  <si>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</si>
  <si>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</si>
  <si>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</si>
  <si>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</si>
  <si>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</si>
  <si>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</si>
  <si>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</si>
  <si>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</si>
  <si>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</si>
  <si>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</si>
  <si>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</si>
  <si>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</si>
  <si>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</si>
  <si>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</si>
  <si>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</si>
  <si>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</si>
  <si>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</si>
  <si>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</si>
  <si>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</si>
  <si>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</si>
  <si>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</si>
  <si>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</si>
  <si>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</si>
  <si>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</si>
  <si>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</si>
  <si>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</si>
  <si>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</si>
  <si>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</si>
  <si>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</si>
  <si>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</si>
  <si>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</si>
  <si>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</si>
  <si>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</si>
  <si>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</si>
  <si>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</si>
  <si>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</si>
  <si>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</si>
  <si>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</si>
  <si>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</si>
  <si>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</si>
  <si>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</si>
  <si>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</si>
  <si>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</si>
  <si>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</si>
  <si>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</si>
  <si>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</si>
  <si>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</si>
  <si>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</si>
  <si>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</si>
  <si>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</si>
  <si>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</si>
  <si>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</si>
  <si>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</si>
  <si>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</si>
  <si>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</si>
  <si>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</si>
  <si>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</si>
  <si>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</si>
  <si>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</si>
  <si>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</si>
  <si>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</si>
  <si>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</si>
  <si>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</si>
  <si>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</si>
  <si>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</si>
  <si>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</si>
  <si>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</si>
  <si>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</si>
  <si>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</si>
  <si>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</si>
  <si>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</si>
  <si>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</si>
  <si>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</si>
  <si>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</si>
  <si>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</si>
  <si>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</si>
  <si>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</si>
  <si>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</si>
  <si>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</si>
  <si>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</si>
  <si>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</si>
  <si>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</si>
  <si>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</si>
  <si>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</si>
  <si>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</si>
  <si>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</si>
  <si>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</si>
  <si>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</si>
  <si>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</si>
  <si>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</si>
  <si>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</si>
  <si>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</si>
  <si>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</si>
  <si>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</si>
  <si>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</si>
  <si>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</si>
  <si>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</si>
  <si>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</si>
  <si>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</si>
  <si>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</si>
  <si>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</si>
  <si>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</si>
  <si>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</si>
  <si>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</si>
  <si>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</si>
  <si>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</si>
  <si>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</si>
  <si>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</si>
  <si>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</si>
  <si>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</si>
  <si>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</si>
  <si>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</si>
  <si>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</si>
  <si>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</si>
  <si>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</si>
  <si>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</si>
  <si>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</si>
  <si>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</si>
  <si>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</si>
  <si>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</si>
  <si>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</si>
  <si>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</si>
  <si>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</si>
  <si>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</si>
  <si>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</si>
  <si>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</si>
  <si>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</si>
  <si>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</si>
  <si>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</si>
  <si>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</si>
  <si>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</si>
  <si>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</si>
  <si>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</si>
  <si>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</si>
  <si>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</si>
  <si>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</si>
  <si>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</si>
  <si>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</si>
  <si>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</si>
  <si>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</si>
  <si>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</si>
  <si>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</si>
  <si>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</si>
  <si>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</si>
  <si>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</si>
  <si>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</si>
  <si>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</si>
  <si>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</si>
  <si>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</si>
  <si>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</si>
  <si>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</si>
  <si>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</si>
  <si>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</si>
  <si>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</si>
  <si>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</si>
  <si>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</si>
  <si>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</si>
  <si>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</si>
  <si>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</si>
  <si>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</si>
  <si>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</si>
  <si>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</si>
  <si>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</si>
  <si>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</si>
  <si>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</si>
  <si>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</si>
  <si>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</si>
  <si>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</si>
  <si>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</si>
  <si>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</si>
  <si>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</si>
  <si>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</si>
  <si>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</si>
  <si>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</si>
  <si>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</si>
  <si>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</si>
  <si>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</si>
  <si>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</si>
  <si>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</si>
  <si>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</si>
  <si>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</si>
  <si>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</si>
  <si>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</si>
  <si>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</si>
  <si>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</si>
  <si>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</si>
  <si>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</si>
  <si>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</si>
  <si>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</si>
  <si>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</si>
  <si>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</si>
  <si>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</si>
  <si>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</si>
  <si>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</si>
  <si>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</si>
  <si>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</si>
  <si>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</si>
  <si>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</si>
  <si>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</si>
  <si>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</si>
  <si>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</si>
  <si>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</si>
  <si>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</si>
  <si>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</si>
  <si>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</si>
  <si>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</si>
  <si>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</si>
  <si>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</si>
  <si>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</si>
  <si>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</si>
  <si>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</si>
  <si>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</si>
  <si>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</si>
  <si>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</si>
  <si>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</si>
  <si>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</si>
  <si>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</si>
  <si>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</si>
  <si>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</si>
  <si>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</si>
  <si>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</si>
  <si>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</si>
  <si>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</si>
  <si>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</si>
  <si>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</si>
  <si>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</si>
  <si>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</si>
  <si>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</si>
  <si>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</si>
  <si>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</si>
  <si>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</si>
  <si>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</si>
  <si>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</si>
  <si>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</si>
  <si>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</si>
  <si>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</si>
  <si>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</si>
  <si>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</si>
  <si>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</si>
  <si>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</si>
  <si>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</si>
  <si>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</si>
  <si>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</si>
  <si>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</si>
  <si>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</si>
  <si>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</si>
  <si>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</si>
  <si>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</si>
  <si>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</si>
  <si>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</si>
  <si>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</si>
  <si>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</si>
  <si>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</si>
  <si>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</si>
  <si>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</si>
  <si>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</si>
  <si>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</si>
  <si>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</si>
  <si>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</si>
  <si>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</si>
  <si>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</si>
  <si>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</si>
  <si>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</si>
  <si>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</si>
  <si>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</si>
  <si>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</si>
  <si>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</si>
  <si>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</si>
  <si>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</si>
  <si>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</si>
  <si>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</si>
  <si>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</si>
  <si>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</si>
  <si>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</si>
  <si>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</si>
  <si>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</si>
  <si>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</si>
  <si>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</si>
  <si>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</si>
  <si>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</si>
  <si>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</si>
  <si>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</si>
  <si>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</si>
  <si>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</si>
  <si>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</si>
  <si>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</si>
  <si>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</si>
  <si>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</si>
  <si>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</si>
  <si>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</si>
  <si>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</si>
  <si>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</si>
  <si>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</si>
  <si>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</si>
  <si>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</si>
  <si>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</si>
  <si>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</si>
  <si>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</si>
  <si>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</si>
  <si>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</si>
  <si>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</si>
  <si>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</si>
  <si>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</si>
  <si>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</si>
  <si>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</si>
  <si>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</si>
  <si>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</si>
  <si>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</si>
  <si>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</si>
  <si>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</si>
  <si>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</si>
  <si>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</si>
  <si>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</si>
  <si>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</si>
  <si>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</si>
  <si>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</si>
  <si>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</si>
  <si>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</si>
  <si>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</si>
  <si>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</si>
  <si>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</si>
  <si>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</si>
  <si>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</si>
  <si>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</si>
  <si>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</si>
  <si>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</si>
  <si>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</si>
  <si>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</si>
  <si>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</si>
  <si>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</si>
  <si>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</si>
  <si>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</si>
  <si>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</si>
  <si>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</si>
  <si>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</si>
  <si>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</si>
  <si>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</si>
  <si>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</si>
  <si>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</si>
  <si>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</si>
  <si>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</si>
  <si>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</si>
  <si>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</si>
  <si>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</si>
  <si>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</si>
  <si>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</si>
  <si>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</si>
  <si>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</si>
  <si>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</si>
  <si>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</si>
  <si>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</si>
  <si>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</si>
  <si>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</si>
  <si>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</si>
  <si>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</si>
  <si>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</si>
  <si>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</si>
  <si>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</si>
  <si>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</si>
  <si>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</si>
  <si>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</si>
  <si>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</si>
  <si>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</si>
  <si>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</si>
  <si>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</si>
  <si>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</si>
  <si>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</si>
  <si>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</si>
  <si>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</si>
  <si>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</si>
  <si>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</si>
  <si>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</si>
  <si>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</si>
  <si>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</si>
  <si>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</si>
  <si>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</si>
  <si>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</si>
  <si>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</si>
  <si>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</si>
  <si>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</si>
  <si>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</si>
  <si>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</si>
  <si>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</si>
  <si>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</si>
  <si>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</si>
  <si>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</si>
  <si>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</si>
  <si>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</si>
  <si>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</si>
  <si>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</si>
  <si>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</si>
  <si>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</si>
  <si>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</si>
  <si>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</si>
  <si>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</si>
  <si>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</si>
  <si>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</si>
  <si>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</si>
  <si>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</si>
  <si>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</si>
  <si>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</si>
  <si>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</si>
  <si>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</si>
  <si>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</si>
  <si>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</si>
  <si>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</si>
  <si>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</si>
  <si>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</si>
  <si>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</si>
  <si>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</si>
  <si>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</si>
  <si>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</si>
  <si>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</si>
  <si>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</si>
  <si>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</si>
  <si>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</si>
  <si>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</si>
  <si>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</si>
  <si>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</si>
  <si>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</si>
  <si>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</si>
  <si>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</si>
  <si>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</si>
  <si>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</si>
  <si>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</si>
  <si>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</si>
  <si>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</si>
  <si>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</si>
  <si>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</si>
  <si>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</si>
  <si>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</si>
  <si>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</si>
  <si>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</si>
  <si>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</si>
  <si>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</si>
  <si>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</si>
  <si>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</si>
  <si>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</si>
  <si>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</si>
  <si>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</si>
  <si>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</si>
  <si>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</si>
  <si>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</si>
  <si>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</si>
  <si>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</si>
  <si>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</si>
  <si>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</si>
  <si>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</si>
  <si>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</si>
  <si>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</si>
  <si>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</si>
  <si>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</si>
  <si>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</si>
  <si>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</si>
  <si>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</si>
  <si>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</si>
  <si>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</si>
  <si>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</si>
  <si>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</si>
  <si>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</si>
  <si>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</si>
  <si>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</si>
  <si>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</si>
  <si>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</si>
  <si>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</si>
  <si>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</si>
  <si>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</si>
  <si>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</si>
  <si>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</si>
  <si>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</si>
  <si>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</si>
  <si>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</si>
  <si>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</si>
  <si>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</si>
  <si>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</si>
  <si>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</si>
  <si>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</si>
  <si>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</si>
  <si>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</si>
  <si>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</si>
  <si>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</si>
  <si>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</si>
  <si>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</si>
  <si>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</si>
  <si>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</si>
  <si>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</si>
  <si>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</si>
  <si>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</si>
  <si>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</si>
  <si>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</si>
  <si>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</si>
  <si>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</si>
  <si>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</si>
  <si>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</si>
  <si>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</si>
  <si>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</si>
  <si>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</si>
  <si>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</si>
  <si>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</si>
  <si>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</si>
  <si>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</si>
  <si>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</si>
  <si>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</si>
  <si>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</si>
  <si>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</si>
  <si>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</si>
  <si>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</si>
  <si>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</si>
  <si>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</si>
  <si>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</si>
  <si>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</si>
  <si>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</si>
  <si>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</si>
  <si>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</si>
  <si>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</si>
  <si>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</si>
  <si>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</si>
  <si>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</si>
  <si>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</si>
  <si>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</si>
  <si>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</si>
  <si>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</si>
  <si>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</si>
  <si>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</si>
  <si>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</si>
  <si>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</si>
  <si>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</si>
  <si>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</si>
  <si>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</si>
  <si>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</si>
  <si>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</si>
  <si>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</si>
  <si>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</si>
  <si>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</si>
  <si>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</si>
  <si>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</si>
  <si>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</si>
  <si>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</si>
  <si>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</si>
  <si>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</si>
  <si>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</si>
  <si>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</si>
  <si>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</si>
  <si>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</si>
  <si>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</si>
  <si>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</si>
  <si>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</si>
  <si>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</si>
  <si>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</si>
  <si>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</si>
  <si>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</si>
  <si>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</si>
  <si>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</si>
  <si>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</si>
  <si>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</si>
  <si>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</si>
  <si>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</si>
  <si>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</si>
  <si>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</si>
  <si>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</si>
  <si>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</si>
  <si>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</si>
  <si>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</si>
  <si>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</si>
  <si>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</si>
  <si>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</si>
  <si>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</si>
  <si>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</si>
  <si>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</si>
  <si>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</si>
  <si>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</si>
  <si>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</si>
  <si>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</si>
  <si>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</si>
  <si>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</si>
  <si>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</si>
  <si>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</si>
  <si>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</si>
  <si>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</si>
  <si>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</si>
  <si>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</si>
  <si>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</si>
  <si>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</si>
  <si>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</si>
  <si>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</si>
  <si>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</si>
  <si>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</si>
  <si>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</si>
  <si>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</si>
  <si>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</si>
  <si>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</si>
  <si>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</si>
  <si>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</si>
  <si>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</si>
  <si>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</si>
  <si>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</si>
  <si>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</si>
  <si>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</si>
  <si>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</si>
  <si>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</si>
  <si>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</si>
  <si>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</si>
  <si>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</si>
  <si>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</si>
  <si>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</si>
  <si>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</si>
  <si>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</si>
  <si>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</si>
  <si>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</si>
  <si>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</si>
  <si>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</si>
  <si>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</si>
  <si>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</si>
  <si>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</si>
  <si>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</si>
  <si>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</si>
  <si>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</si>
  <si>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</si>
  <si>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</si>
  <si>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</si>
  <si>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</si>
  <si>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</si>
  <si>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</si>
  <si>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</si>
  <si>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</si>
  <si>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</si>
  <si>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</si>
  <si>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</si>
  <si>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</si>
  <si>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</si>
  <si>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</si>
  <si>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</si>
  <si>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</si>
  <si>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</si>
  <si>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</si>
  <si>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</si>
  <si>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</si>
  <si>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</si>
  <si>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</si>
  <si>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</si>
  <si>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</si>
  <si>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</si>
  <si>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</si>
  <si>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</si>
  <si>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</si>
  <si>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</si>
  <si>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</si>
  <si>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</si>
  <si>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</si>
  <si>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</si>
  <si>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</si>
  <si>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</si>
  <si>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</si>
  <si>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</si>
  <si>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</si>
  <si>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</si>
  <si>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</si>
  <si>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</si>
  <si>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</si>
  <si>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</si>
  <si>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</si>
  <si>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</si>
  <si>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</si>
  <si>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</si>
  <si>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</si>
  <si>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</si>
  <si>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</si>
  <si>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</si>
  <si>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</si>
  <si>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</si>
  <si>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</si>
  <si>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</si>
  <si>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</si>
  <si>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</si>
  <si>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</si>
  <si>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</si>
  <si>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</si>
  <si>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</si>
  <si>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</si>
  <si>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</si>
  <si>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</si>
  <si>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</si>
  <si>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</si>
  <si>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</si>
  <si>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</si>
  <si>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</si>
  <si>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</si>
  <si>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</si>
  <si>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</si>
  <si>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</si>
  <si>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</si>
  <si>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</si>
  <si>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</si>
  <si>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</si>
  <si>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</si>
  <si>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</si>
  <si>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</si>
  <si>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</si>
  <si>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</si>
  <si>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</si>
  <si>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</si>
  <si>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</si>
  <si>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</si>
  <si>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</si>
  <si>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</si>
  <si>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</si>
  <si>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</si>
  <si>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</si>
  <si>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</si>
  <si>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</si>
  <si>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</si>
  <si>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</si>
  <si>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</si>
  <si>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</si>
  <si>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</si>
  <si>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</si>
  <si>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</si>
  <si>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</si>
  <si>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</si>
  <si>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</si>
  <si>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</si>
  <si>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</si>
  <si>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</si>
  <si>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</si>
  <si>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</si>
  <si>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</si>
  <si>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</si>
  <si>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</si>
  <si>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</si>
  <si>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</si>
  <si>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</si>
  <si>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</si>
  <si>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</si>
  <si>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</si>
  <si>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</si>
  <si>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</si>
  <si>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</si>
  <si>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</si>
  <si>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</si>
  <si>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</si>
  <si>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</si>
  <si>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</si>
  <si>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</si>
  <si>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</si>
  <si>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</si>
  <si>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</si>
  <si>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</si>
  <si>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</si>
  <si>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</si>
  <si>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</si>
  <si>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</si>
  <si>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</si>
  <si>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</si>
  <si>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</si>
  <si>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</si>
  <si>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</si>
  <si>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</si>
  <si>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</si>
  <si>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</si>
  <si>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</si>
  <si>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</si>
  <si>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</si>
  <si>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</si>
  <si>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</si>
  <si>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</si>
  <si>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</si>
  <si>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</si>
  <si>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</si>
  <si>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</si>
  <si>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</si>
  <si>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</si>
  <si>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</si>
  <si>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</si>
  <si>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</si>
  <si>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</si>
  <si>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</si>
  <si>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</si>
  <si>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</si>
  <si>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</si>
  <si>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</si>
  <si>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</si>
  <si>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</si>
  <si>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</si>
  <si>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</si>
  <si>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</si>
  <si>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</si>
  <si>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</si>
  <si>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</si>
  <si>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</si>
  <si>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</si>
  <si>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</si>
  <si>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</si>
  <si>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</si>
  <si>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</si>
  <si>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</si>
  <si>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</si>
  <si>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</si>
  <si>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</si>
  <si>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</si>
  <si>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</si>
  <si>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</si>
  <si>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</si>
  <si>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</si>
  <si>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</si>
  <si>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</si>
  <si>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</si>
  <si>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</si>
  <si>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</si>
  <si>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</si>
  <si>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</si>
  <si>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</si>
  <si>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</si>
  <si>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</si>
  <si>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</si>
  <si>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</si>
  <si>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</si>
  <si>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</si>
  <si>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</si>
  <si>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</si>
  <si>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</si>
  <si>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</si>
  <si>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</si>
  <si>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</si>
  <si>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</si>
  <si>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</si>
  <si>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</si>
  <si>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</si>
  <si>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</si>
  <si>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</si>
  <si>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</si>
  <si>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</si>
  <si>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</si>
  <si>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</si>
  <si>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</si>
  <si>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</si>
  <si>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</si>
  <si>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</si>
  <si>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</si>
  <si>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</si>
  <si>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</si>
  <si>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</si>
  <si>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</si>
  <si>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</si>
  <si>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</si>
  <si>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</si>
  <si>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</si>
  <si>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</si>
  <si>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</si>
  <si>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</si>
  <si>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</si>
  <si>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</si>
  <si>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</si>
  <si>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</si>
  <si>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</si>
  <si>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</si>
  <si>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</si>
  <si>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</si>
  <si>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</si>
  <si>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</si>
  <si>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</si>
  <si>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</si>
  <si>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</si>
  <si>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</si>
  <si>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</si>
  <si>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</si>
  <si>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</si>
  <si>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</si>
  <si>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</si>
  <si>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</si>
  <si>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</si>
  <si>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</si>
  <si>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</si>
  <si>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</si>
  <si>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</si>
  <si>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</si>
  <si>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</si>
  <si>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</si>
  <si>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</si>
  <si>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</si>
  <si>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</si>
  <si>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</si>
  <si>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</si>
  <si>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</si>
  <si>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</si>
  <si>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</si>
  <si>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</si>
  <si>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</si>
  <si>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</si>
  <si>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</si>
  <si>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</si>
  <si>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</si>
  <si>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</si>
  <si>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</si>
  <si>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</si>
  <si>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</si>
  <si>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</si>
  <si>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</si>
  <si>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</si>
  <si>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</si>
  <si>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ED-Instruction-Purchase Service</t>
  </si>
  <si>
    <t>10-1000-300</t>
  </si>
  <si>
    <t>Neopost USA Inc</t>
  </si>
  <si>
    <t>Wells Fargo Vendor</t>
  </si>
  <si>
    <t>X</t>
  </si>
  <si>
    <t>Western Area Insurance Plan</t>
  </si>
  <si>
    <t>Prairie State Insurance Co-op</t>
  </si>
  <si>
    <t>Special Education Association of Adams County</t>
  </si>
  <si>
    <t>Quincy Area Vocational Technical Center</t>
  </si>
  <si>
    <t>Sports Co-op Southeastern High School</t>
  </si>
  <si>
    <t>Adams</t>
  </si>
  <si>
    <t>2110 Hwy 94 N</t>
  </si>
  <si>
    <t>Camp Point, Illinois</t>
  </si>
  <si>
    <t>esmith@cusd3.com</t>
  </si>
  <si>
    <t>Erica Smith</t>
  </si>
  <si>
    <t>217-593-7116</t>
  </si>
  <si>
    <t>217-593-7026</t>
  </si>
  <si>
    <t>Zumbahlen, Eyth, Surratt, Foote &amp; Flynn, Ltd.</t>
  </si>
  <si>
    <t>Valerie L. Flynn</t>
  </si>
  <si>
    <t>1395 Lincoln Ave</t>
  </si>
  <si>
    <t>Jacksonville</t>
  </si>
  <si>
    <t>IL</t>
  </si>
  <si>
    <t>217-245-5121</t>
  </si>
  <si>
    <t>217-243-3356</t>
  </si>
  <si>
    <t>060-004993</t>
  </si>
  <si>
    <t>vflynn@zescpa.com</t>
  </si>
  <si>
    <t>Page 10, Line 107 - Other Local Revenues - Educational $66,299 refunds, reimbursements and convenience fees</t>
  </si>
  <si>
    <t xml:space="preserve">   Transportation $206 refunds and reimbursements</t>
  </si>
  <si>
    <t>Page 12, Line 168 - Other Restricted Revenue from State Sources - Educational $1,354 other state revenue; $750 Library Grant</t>
  </si>
  <si>
    <t>Page 18, Line 180 - Other Support Services - Pupils $6,000 Superintendent salary; $2,165 Superintendent benefits</t>
  </si>
  <si>
    <t>Page 19, Line 237 - Other Support Services - Pupils $115 Superintendent benefits</t>
  </si>
  <si>
    <t>Central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</si>
</sst>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1540452</xdr:colOff>
          <xdr:row>2</xdr:row>
          <xdr:rowOff>52820</xdr:rowOff>
        </xdr:from>
        <xdr:to>
          <xdr:col>1</xdr:col>
          <xdr:colOff>2454852</xdr:colOff>
          <xdr:row>6</xdr:row>
          <xdr:rowOff>101311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216477</xdr:colOff>
          <xdr:row>2</xdr:row>
          <xdr:rowOff>62345</xdr:rowOff>
        </xdr:from>
        <xdr:to>
          <xdr:col>1</xdr:col>
          <xdr:colOff>1130877</xdr:colOff>
          <xdr:row>6</xdr:row>
          <xdr:rowOff>110836</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5" t="s">
        <v>405</v>
      </c>
      <c r="J1" s="2016"/>
      <c r="K1" s="2016"/>
      <c r="L1" s="2016"/>
      <c r="M1" s="2016"/>
      <c r="N1" s="2016"/>
      <c r="O1" s="2016"/>
      <c r="P1" s="2016"/>
      <c r="Q1" s="2016"/>
      <c r="R1" s="2016"/>
      <c r="S1" s="2016"/>
    </row>
    <row r="2" spans="1:28" ht="12" customHeight="1" x14ac:dyDescent="0.2">
      <c r="A2" s="47" t="s">
        <v>1993</v>
      </c>
      <c r="D2" s="48"/>
      <c r="I2" s="2017" t="s">
        <v>979</v>
      </c>
      <c r="J2" s="2016"/>
      <c r="K2" s="2016"/>
      <c r="L2" s="2016"/>
      <c r="M2" s="2016"/>
      <c r="N2" s="2016"/>
      <c r="O2" s="2016"/>
      <c r="P2" s="2016"/>
      <c r="Q2" s="2016"/>
      <c r="R2" s="2016"/>
      <c r="S2" s="2016"/>
    </row>
    <row r="3" spans="1:28" ht="12" customHeight="1" x14ac:dyDescent="0.2">
      <c r="A3" s="155" t="s">
        <v>1945</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2068</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2068</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1001003026</v>
      </c>
      <c r="B13" s="1986"/>
      <c r="C13" s="1986"/>
      <c r="D13" s="1986"/>
      <c r="E13" s="1986"/>
      <c r="F13" s="1986"/>
      <c r="G13" s="1986"/>
      <c r="H13" s="1987"/>
      <c r="I13" s="31"/>
      <c r="J13" s="30"/>
      <c r="K13" s="28"/>
      <c r="L13" s="30"/>
      <c r="M13" s="30"/>
      <c r="N13" s="30"/>
      <c r="O13" s="30"/>
      <c r="P13" s="30"/>
      <c r="Q13" s="30"/>
      <c r="R13" s="30"/>
      <c r="S13" s="30"/>
      <c r="T13" s="1990" t="s">
        <v>2081</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2074</v>
      </c>
      <c r="B15" s="1988"/>
      <c r="C15" s="1988"/>
      <c r="D15" s="1988"/>
      <c r="E15" s="1988"/>
      <c r="F15" s="1988"/>
      <c r="G15" s="1988"/>
      <c r="H15" s="1989"/>
      <c r="T15" s="1951" t="s">
        <v>2082</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2095</v>
      </c>
      <c r="B17" s="2013"/>
      <c r="C17" s="2013"/>
      <c r="D17" s="2013"/>
      <c r="E17" s="2013"/>
      <c r="F17" s="2013"/>
      <c r="G17" s="2013"/>
      <c r="H17" s="2014"/>
      <c r="T17" s="2000" t="s">
        <v>2083</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2075</v>
      </c>
      <c r="B19" s="1984"/>
      <c r="C19" s="1984"/>
      <c r="D19" s="1984"/>
      <c r="E19" s="1984"/>
      <c r="F19" s="1984"/>
      <c r="G19" s="1984"/>
      <c r="H19" s="1982"/>
      <c r="I19" s="30"/>
      <c r="J19" s="99"/>
      <c r="K19" s="40"/>
      <c r="L19" s="38"/>
      <c r="M19" s="112" t="s">
        <v>315</v>
      </c>
      <c r="P19" s="27"/>
      <c r="Q19" s="27"/>
      <c r="R19" s="27"/>
      <c r="S19" s="31"/>
      <c r="T19" s="1983" t="s">
        <v>2084</v>
      </c>
      <c r="U19" s="1981"/>
      <c r="V19" s="1981"/>
      <c r="W19" s="1982"/>
      <c r="X19" s="1998" t="s">
        <v>2085</v>
      </c>
      <c r="Y19" s="1999"/>
      <c r="Z19" s="1996">
        <v>62650</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2076</v>
      </c>
      <c r="B21" s="1981"/>
      <c r="C21" s="1981"/>
      <c r="D21" s="1981"/>
      <c r="E21" s="1981"/>
      <c r="F21" s="1981"/>
      <c r="G21" s="1981"/>
      <c r="H21" s="1982"/>
      <c r="I21" s="2006" t="s">
        <v>678</v>
      </c>
      <c r="J21" s="1969"/>
      <c r="K21" s="1969"/>
      <c r="L21" s="1969"/>
      <c r="M21" s="1969"/>
      <c r="N21" s="1969"/>
      <c r="O21" s="1969"/>
      <c r="P21" s="1969"/>
      <c r="Q21" s="1969"/>
      <c r="R21" s="1969"/>
      <c r="S21" s="1970"/>
      <c r="T21" s="1948" t="s">
        <v>2086</v>
      </c>
      <c r="U21" s="1949"/>
      <c r="V21" s="1949"/>
      <c r="W21" s="1949"/>
      <c r="X21" s="1962" t="s">
        <v>2087</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2077</v>
      </c>
      <c r="B23" s="2004"/>
      <c r="C23" s="2004"/>
      <c r="D23" s="2004"/>
      <c r="E23" s="2004"/>
      <c r="F23" s="2004"/>
      <c r="G23" s="2004"/>
      <c r="H23" s="2005"/>
      <c r="T23" s="1943" t="s">
        <v>2088</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62320</v>
      </c>
      <c r="B25" s="1981"/>
      <c r="C25" s="1981"/>
      <c r="D25" s="1981"/>
      <c r="E25" s="1981"/>
      <c r="F25" s="1981"/>
      <c r="G25" s="1981"/>
      <c r="H25" s="1982"/>
      <c r="I25" s="113"/>
      <c r="J25" s="2047"/>
      <c r="K25" s="2047"/>
      <c r="L25" s="2047"/>
      <c r="M25" s="2047"/>
      <c r="N25" s="2047"/>
      <c r="O25" s="2047"/>
      <c r="P25" s="2047"/>
      <c r="Q25" s="2047"/>
      <c r="R25" s="2047"/>
      <c r="S25" s="2048"/>
      <c r="T25" s="1940" t="s">
        <v>2089</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2078</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2077</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2079</v>
      </c>
      <c r="B42" s="2030"/>
      <c r="C42" s="2031"/>
      <c r="D42" s="2044" t="s">
        <v>2080</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1747987</v>
      </c>
      <c r="C4" s="1524"/>
      <c r="D4" s="1752">
        <f>B4-C4</f>
        <v>1747987</v>
      </c>
      <c r="E4" s="1524">
        <v>1833646</v>
      </c>
      <c r="F4" s="1752">
        <f>E4-C4</f>
        <v>1833646</v>
      </c>
    </row>
    <row r="5" spans="1:6" ht="13.7" customHeight="1" x14ac:dyDescent="0.2">
      <c r="A5" s="715" t="s">
        <v>870</v>
      </c>
      <c r="B5" s="1750">
        <f>'Revenues 9-14'!D5</f>
        <v>474997</v>
      </c>
      <c r="C5" s="585"/>
      <c r="D5" s="1753">
        <f t="shared" ref="D5:D18" si="0">B5-C5</f>
        <v>474997</v>
      </c>
      <c r="E5" s="585">
        <v>498278</v>
      </c>
      <c r="F5" s="1753">
        <f>E5-C5</f>
        <v>498278</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190000</v>
      </c>
      <c r="C7" s="585"/>
      <c r="D7" s="1753">
        <f t="shared" si="0"/>
        <v>190000</v>
      </c>
      <c r="E7" s="585">
        <v>202281</v>
      </c>
      <c r="F7" s="1753">
        <f t="shared" si="1"/>
        <v>202281</v>
      </c>
    </row>
    <row r="8" spans="1:6" ht="13.7" customHeight="1" x14ac:dyDescent="0.2">
      <c r="A8" s="715" t="s">
        <v>1179</v>
      </c>
      <c r="B8" s="1750">
        <f>'Revenues 9-14'!G5</f>
        <v>150147</v>
      </c>
      <c r="C8" s="585"/>
      <c r="D8" s="1753">
        <f t="shared" si="0"/>
        <v>150147</v>
      </c>
      <c r="E8" s="585">
        <v>155817</v>
      </c>
      <c r="F8" s="1753">
        <f t="shared" si="1"/>
        <v>155817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47500</v>
      </c>
      <c r="C10" s="585"/>
      <c r="D10" s="1753">
        <f t="shared" si="0"/>
        <v>47500</v>
      </c>
      <c r="E10" s="585">
        <v>49832</v>
      </c>
      <c r="F10" s="1753">
        <f t="shared" si="1"/>
        <v>49832</v>
      </c>
    </row>
    <row r="11" spans="1:6" x14ac:dyDescent="0.2">
      <c r="A11" s="715" t="s">
        <v>409</v>
      </c>
      <c r="B11" s="1750">
        <f>'Revenues 9-14'!J5</f>
        <v>590563</v>
      </c>
      <c r="C11" s="585"/>
      <c r="D11" s="1753">
        <f t="shared" si="0"/>
        <v>590563</v>
      </c>
      <c r="E11" s="585">
        <v>613751</v>
      </c>
      <c r="F11" s="1753">
        <f t="shared" si="1"/>
        <v>613751</v>
      </c>
    </row>
    <row r="12" spans="1:6" ht="13.7" customHeight="1" x14ac:dyDescent="0.2">
      <c r="A12" s="715" t="s">
        <v>157</v>
      </c>
      <c r="B12" s="1750">
        <f>'Revenues 9-14'!K5</f>
        <v>47500</v>
      </c>
      <c r="C12" s="585"/>
      <c r="D12" s="1753">
        <f t="shared" si="0"/>
        <v>47500</v>
      </c>
      <c r="E12" s="585">
        <v>49832</v>
      </c>
      <c r="F12" s="1753">
        <f t="shared" si="1"/>
        <v>49832</v>
      </c>
    </row>
    <row r="13" spans="1:6" ht="13.7" customHeight="1" x14ac:dyDescent="0.2">
      <c r="A13" s="715" t="s">
        <v>936</v>
      </c>
      <c r="B13" s="1750">
        <f>SUM('Revenues 9-14'!C6:D6)</f>
        <v>25005</v>
      </c>
      <c r="C13" s="585"/>
      <c r="D13" s="1753">
        <f t="shared" si="0"/>
        <v>25005</v>
      </c>
      <c r="E13" s="585">
        <v>26236</v>
      </c>
      <c r="F13" s="1753">
        <f t="shared" si="1"/>
        <v>26236</v>
      </c>
    </row>
    <row r="14" spans="1:6" ht="13.7" customHeight="1" x14ac:dyDescent="0.2">
      <c r="A14" s="715" t="s">
        <v>410</v>
      </c>
      <c r="B14" s="1750">
        <f>SUM('Revenues 9-14'!C7:D7,'Revenues 9-14'!F7:H7)</f>
        <v>38001</v>
      </c>
      <c r="C14" s="585"/>
      <c r="D14" s="1753">
        <f t="shared" si="0"/>
        <v>38001</v>
      </c>
      <c r="E14" s="585">
        <v>39869</v>
      </c>
      <c r="F14" s="1753">
        <f t="shared" si="1"/>
        <v>39869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150147</v>
      </c>
      <c r="C16" s="585"/>
      <c r="D16" s="1753">
        <f t="shared" si="0"/>
        <v>150147</v>
      </c>
      <c r="E16" s="585">
        <v>155817</v>
      </c>
      <c r="F16" s="1753">
        <f t="shared" si="1"/>
        <v>155817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3461847</v>
      </c>
      <c r="C19" s="1751">
        <f>SUM(C4:C18)</f>
        <v>0</v>
      </c>
      <c r="D19" s="1751">
        <f>SUM(D4:D18)</f>
        <v>3461847</v>
      </c>
      <c r="E19" s="1751">
        <f>SUM(E4:E18)</f>
        <v>3625359</v>
      </c>
      <c r="F19" s="1751">
        <f>SUM(F4:F18)</f>
        <v>3625359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1956</v>
      </c>
      <c r="D2" s="723" t="s">
        <v>1957</v>
      </c>
      <c r="E2" s="723" t="s">
        <v>1958</v>
      </c>
      <c r="F2" s="1884" t="s">
        <v>1959</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1964</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38001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7973</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12046</v>
      </c>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38001</v>
      </c>
      <c r="I12" s="1758">
        <f>SUM(I5:I11)</f>
        <v>0</v>
      </c>
      <c r="J12" s="1758">
        <f>SUM(J5:J11)</f>
        <v>0</v>
      </c>
      <c r="K12" s="1758">
        <f>SUM(K5:K11)</f>
        <v>20019</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38001</v>
      </c>
      <c r="I14" s="771"/>
      <c r="J14" s="773"/>
      <c r="K14" s="765">
        <v>20019</v>
      </c>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38001</v>
      </c>
      <c r="I23" s="1758">
        <f>SUM(I14:I16,I21,I22)</f>
        <v>0</v>
      </c>
      <c r="J23" s="1758">
        <f>SUM(J14:J16,J21,J22)</f>
        <v>0</v>
      </c>
      <c r="K23" s="1758">
        <f>SUM(K14:K16,K21,K22)</f>
        <v>20019</v>
      </c>
    </row>
    <row r="24" spans="1:11" ht="14.25" thickTop="1" thickBot="1" x14ac:dyDescent="0.25">
      <c r="A24" s="2234" t="s">
        <v>1965</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29802</v>
      </c>
      <c r="D5" s="841"/>
      <c r="E5" s="841"/>
      <c r="F5" s="1760">
        <f>(C5+D5)-E5</f>
        <v>29802</v>
      </c>
      <c r="G5" s="837"/>
      <c r="H5" s="842"/>
      <c r="I5" s="842"/>
      <c r="J5" s="842"/>
      <c r="K5" s="793"/>
      <c r="L5" s="1769">
        <f>F5-K5</f>
        <v>29802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9945486</v>
      </c>
      <c r="D8" s="844">
        <v>37464</v>
      </c>
      <c r="E8" s="844"/>
      <c r="F8" s="1760">
        <f>(C8+D8)-E8</f>
        <v>9982950</v>
      </c>
      <c r="G8" s="843">
        <v>50</v>
      </c>
      <c r="H8" s="765">
        <v>4991942</v>
      </c>
      <c r="I8" s="765">
        <v>199284</v>
      </c>
      <c r="J8" s="765"/>
      <c r="K8" s="1769">
        <f>(H8+I8)-J8</f>
        <v>5191226</v>
      </c>
      <c r="L8" s="1769">
        <f>F8-K8</f>
        <v>4791724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1159873</v>
      </c>
      <c r="D10" s="846">
        <v>24500</v>
      </c>
      <c r="E10" s="846">
        <v>9360</v>
      </c>
      <c r="F10" s="1764">
        <f>(C10+D10)-E10</f>
        <v>1175013</v>
      </c>
      <c r="G10" s="843">
        <v>20</v>
      </c>
      <c r="H10" s="847">
        <v>617480</v>
      </c>
      <c r="I10" s="847">
        <v>57968</v>
      </c>
      <c r="J10" s="847">
        <v>9360</v>
      </c>
      <c r="K10" s="1769">
        <f>(H10+I10)-J10</f>
        <v>666088</v>
      </c>
      <c r="L10" s="1769">
        <f>F10-K10</f>
        <v>508925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727846</v>
      </c>
      <c r="D12" s="844">
        <v>173076</v>
      </c>
      <c r="E12" s="844">
        <v>67384</v>
      </c>
      <c r="F12" s="1760">
        <f>(C12+D12)-E12</f>
        <v>833538</v>
      </c>
      <c r="G12" s="843">
        <v>10</v>
      </c>
      <c r="H12" s="765">
        <v>485543</v>
      </c>
      <c r="I12" s="765">
        <v>74700</v>
      </c>
      <c r="J12" s="765">
        <v>67384</v>
      </c>
      <c r="K12" s="1769">
        <f>(H12+I12)-J12</f>
        <v>492859</v>
      </c>
      <c r="L12" s="1769">
        <f>F12-K12</f>
        <v>340679</v>
      </c>
    </row>
    <row r="13" spans="1:14" ht="14.25" thickTop="1" thickBot="1" x14ac:dyDescent="0.25">
      <c r="A13" s="848" t="s">
        <v>1122</v>
      </c>
      <c r="B13" s="840">
        <v>252</v>
      </c>
      <c r="C13" s="844">
        <v>815625</v>
      </c>
      <c r="D13" s="844">
        <v>17484</v>
      </c>
      <c r="E13" s="844">
        <v>159578</v>
      </c>
      <c r="F13" s="1760">
        <f>(C13+D13)-E13</f>
        <v>673531</v>
      </c>
      <c r="G13" s="843">
        <v>5</v>
      </c>
      <c r="H13" s="765">
        <v>678850</v>
      </c>
      <c r="I13" s="765">
        <v>53573</v>
      </c>
      <c r="J13" s="765">
        <v>159578</v>
      </c>
      <c r="K13" s="1769">
        <f>(H13+I13)-J13</f>
        <v>572845</v>
      </c>
      <c r="L13" s="1769">
        <f>F13-K13</f>
        <v>100686</v>
      </c>
    </row>
    <row r="14" spans="1:14" ht="14.25" thickTop="1" thickBot="1" x14ac:dyDescent="0.25">
      <c r="A14" s="848" t="s">
        <v>1123</v>
      </c>
      <c r="B14" s="840">
        <v>253</v>
      </c>
      <c r="C14" s="765">
        <v>7595</v>
      </c>
      <c r="D14" s="765"/>
      <c r="E14" s="765"/>
      <c r="F14" s="1760">
        <f>(C14+D14)-E14</f>
        <v>7595</v>
      </c>
      <c r="G14" s="843">
        <v>3</v>
      </c>
      <c r="H14" s="765">
        <v>6330</v>
      </c>
      <c r="I14" s="765">
        <v>1265</v>
      </c>
      <c r="J14" s="765"/>
      <c r="K14" s="1769">
        <f>(H14+I14)-J14</f>
        <v>7595</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12686227</v>
      </c>
      <c r="D16" s="1760">
        <f>SUM(D3,D5:D6,D8:D10,D12:D15)</f>
        <v>252524</v>
      </c>
      <c r="E16" s="1760">
        <f>SUM(E3,E5:E6,E8:E10,E12:E15)</f>
        <v>236322</v>
      </c>
      <c r="F16" s="1760">
        <f>SUM(F3,F5:F6,F8:F10,F12:F15)</f>
        <v>12702429</v>
      </c>
      <c r="G16" s="843"/>
      <c r="H16" s="1760">
        <f>SUM(H3,H6,H8:H10,H12:H14,)</f>
        <v>6780145</v>
      </c>
      <c r="I16" s="1760">
        <f>SUM(I3,I6,I8:I10,I12:I14,)</f>
        <v>386790</v>
      </c>
      <c r="J16" s="1760">
        <f>SUM(J3,J6,J8:J10,J12:J14,)</f>
        <v>236322</v>
      </c>
      <c r="K16" s="1760">
        <f>(H16+I16)-J16</f>
        <v>6930613</v>
      </c>
      <c r="L16" s="1760">
        <f>F16-K16</f>
        <v>5771816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386790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57"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6240447</v>
      </c>
      <c r="G8" s="865"/>
    </row>
    <row r="9" spans="1:7" x14ac:dyDescent="0.2">
      <c r="A9" s="869" t="s">
        <v>460</v>
      </c>
      <c r="B9" s="870" t="s">
        <v>1877</v>
      </c>
      <c r="C9" s="871"/>
      <c r="D9" s="869" t="s">
        <v>501</v>
      </c>
      <c r="E9" s="868"/>
      <c r="F9" s="1909">
        <f>'Expenditures 15-22'!K151</f>
        <v>589393</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512313</v>
      </c>
      <c r="G11" s="872"/>
    </row>
    <row r="12" spans="1:7" x14ac:dyDescent="0.2">
      <c r="A12" s="869" t="s">
        <v>462</v>
      </c>
      <c r="B12" s="870" t="s">
        <v>1880</v>
      </c>
      <c r="C12" s="871"/>
      <c r="D12" s="869" t="s">
        <v>501</v>
      </c>
      <c r="E12" s="868"/>
      <c r="F12" s="1909">
        <f>'Expenditures 15-22'!K295</f>
        <v>234410</v>
      </c>
      <c r="G12" s="872"/>
    </row>
    <row r="13" spans="1:7" x14ac:dyDescent="0.2">
      <c r="A13" s="869" t="s">
        <v>106</v>
      </c>
      <c r="B13" s="870" t="s">
        <v>1881</v>
      </c>
      <c r="C13" s="871"/>
      <c r="D13" s="869" t="s">
        <v>501</v>
      </c>
      <c r="E13" s="868"/>
      <c r="F13" s="1909">
        <f>'Expenditures 15-22'!K342</f>
        <v>576970</v>
      </c>
      <c r="G13" s="873"/>
    </row>
    <row r="14" spans="1:7" ht="12" customHeight="1" thickBot="1" x14ac:dyDescent="0.25">
      <c r="A14" s="1770"/>
      <c r="B14" s="1771"/>
      <c r="C14" s="1772"/>
      <c r="D14" s="1773" t="s">
        <v>501</v>
      </c>
      <c r="E14" s="1774" t="s">
        <v>958</v>
      </c>
      <c r="F14" s="1775">
        <f>SUM(F8:F13)</f>
        <v>8153533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10423</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378666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75080</v>
      </c>
      <c r="G53" s="865"/>
    </row>
    <row r="54" spans="1:7" x14ac:dyDescent="0.2">
      <c r="A54" s="869" t="s">
        <v>459</v>
      </c>
      <c r="B54" s="869" t="s">
        <v>1476</v>
      </c>
      <c r="C54" s="889" t="s">
        <v>982</v>
      </c>
      <c r="D54" s="885" t="s">
        <v>1095</v>
      </c>
      <c r="E54" s="868"/>
      <c r="F54" s="1913">
        <f>'Expenditures 15-22'!G114</f>
        <v>3807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158342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17484</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1956</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645758</v>
      </c>
      <c r="G76" s="865"/>
    </row>
    <row r="77" spans="1:8" s="893" customFormat="1" ht="12" customHeight="1" thickTop="1" thickBot="1" x14ac:dyDescent="0.25">
      <c r="A77" s="1779"/>
      <c r="B77" s="1776"/>
      <c r="C77" s="1772"/>
      <c r="D77" s="1777" t="s">
        <v>1900</v>
      </c>
      <c r="E77" s="1774"/>
      <c r="F77" s="1780">
        <f>(F14-F76)</f>
        <v>7507775</v>
      </c>
      <c r="G77" s="869"/>
    </row>
    <row r="78" spans="1:8" s="893" customFormat="1" ht="12" customHeight="1" thickTop="1" x14ac:dyDescent="0.2">
      <c r="A78" s="1781"/>
      <c r="B78" s="1776"/>
      <c r="C78" s="1772"/>
      <c r="D78" s="1777" t="s">
        <v>2062</v>
      </c>
      <c r="E78" s="1774"/>
      <c r="F78" s="898">
        <v>781.2</v>
      </c>
      <c r="G78" s="899"/>
      <c r="H78" s="869"/>
    </row>
    <row r="79" spans="1:8" s="893" customFormat="1" ht="12" customHeight="1" thickBot="1" x14ac:dyDescent="0.25">
      <c r="A79" s="1782"/>
      <c r="B79" s="1776"/>
      <c r="C79" s="1772"/>
      <c r="D79" s="1777" t="s">
        <v>1901</v>
      </c>
      <c r="E79" s="1774" t="s">
        <v>958</v>
      </c>
      <c r="F79" s="1783">
        <f>IF(F78&gt;0,F77/F78," Complete Line 78")</f>
        <v>9610.5670762928821</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147786</v>
      </c>
      <c r="G94" s="912"/>
    </row>
    <row r="95" spans="1:7" x14ac:dyDescent="0.2">
      <c r="A95" s="908" t="s">
        <v>140</v>
      </c>
      <c r="B95" s="908" t="s">
        <v>175</v>
      </c>
      <c r="C95" s="910">
        <v>1700</v>
      </c>
      <c r="D95" s="918" t="str">
        <f>'Revenues 9-14'!A82</f>
        <v>Total District/School Activity Income</v>
      </c>
      <c r="E95" s="906"/>
      <c r="F95" s="1789">
        <f>SUM('Revenues 9-14'!C82,'Revenues 9-14'!D82)</f>
        <v>62928</v>
      </c>
      <c r="G95" s="912"/>
    </row>
    <row r="96" spans="1:7" x14ac:dyDescent="0.2">
      <c r="A96" s="908" t="s">
        <v>459</v>
      </c>
      <c r="B96" s="908" t="s">
        <v>176</v>
      </c>
      <c r="C96" s="910">
        <f>'Revenues 9-14'!B84</f>
        <v>1811</v>
      </c>
      <c r="D96" s="911" t="str">
        <f>'Revenues 9-14'!A84</f>
        <v>Rentals - Regular Textbooks</v>
      </c>
      <c r="E96" s="906"/>
      <c r="F96" s="1789">
        <f>'Revenues 9-14'!C84</f>
        <v>33950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124960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20837</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3473</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12046</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273747</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2104</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213951</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246178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207977</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8548</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12160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46549</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232196</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1649390</v>
      </c>
    </row>
    <row r="175" spans="1:7" ht="12" customHeight="1" x14ac:dyDescent="0.2">
      <c r="A175" s="1770"/>
      <c r="B175" s="1784"/>
      <c r="C175" s="1785"/>
      <c r="D175" s="1786" t="s">
        <v>2057</v>
      </c>
      <c r="E175" s="1787"/>
      <c r="F175" s="1789">
        <f>'PCTC-OEPP 27-28'!F77-F174</f>
        <v>5858385</v>
      </c>
    </row>
    <row r="176" spans="1:7" ht="12" customHeight="1" x14ac:dyDescent="0.2">
      <c r="A176" s="1770"/>
      <c r="B176" s="1784"/>
      <c r="C176" s="1785"/>
      <c r="D176" s="1786" t="s">
        <v>1817</v>
      </c>
      <c r="E176" s="1787"/>
      <c r="F176" s="1789">
        <f>'Cap Outlay Deprec 26'!I18</f>
        <v>386790</v>
      </c>
    </row>
    <row r="177" spans="1:7" ht="12" customHeight="1" x14ac:dyDescent="0.2">
      <c r="A177" s="1770"/>
      <c r="B177" s="1784"/>
      <c r="C177" s="1785"/>
      <c r="D177" s="1786" t="s">
        <v>2058</v>
      </c>
      <c r="E177" s="1787"/>
      <c r="F177" s="1789">
        <f>F175+F176</f>
        <v>6245175</v>
      </c>
    </row>
    <row r="178" spans="1:7" ht="12" customHeight="1" x14ac:dyDescent="0.2">
      <c r="A178" s="1770"/>
      <c r="B178" s="1790"/>
      <c r="C178" s="1785"/>
      <c r="D178" s="1786" t="str">
        <f>D78</f>
        <v>9 Month ADA from District Average Daily Attendance/Prior General State Aid Inquiry 2018-2019</v>
      </c>
      <c r="E178" s="1787"/>
      <c r="F178" s="1791">
        <f>'PCTC-OEPP 27-28'!F78</f>
        <v>781.2</v>
      </c>
      <c r="G178" s="930"/>
    </row>
    <row r="179" spans="1:7" ht="12" customHeight="1" thickBot="1" x14ac:dyDescent="0.25">
      <c r="A179" s="1770"/>
      <c r="B179" s="1790"/>
      <c r="C179" s="1785"/>
      <c r="D179" s="1786" t="s">
        <v>2059</v>
      </c>
      <c r="E179" s="1787" t="s">
        <v>1545</v>
      </c>
      <c r="F179" s="1792">
        <f>F177/F178</f>
        <v>7994.3356374807981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D19" sqref="D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2064</v>
      </c>
      <c r="B17" s="1938" t="s">
        <v>2065</v>
      </c>
      <c r="C17" s="1939" t="s">
        <v>2066</v>
      </c>
      <c r="D17" s="1844">
        <v>884</v>
      </c>
      <c r="E17" s="1540">
        <f t="shared" ref="E17:E141" si="0">IF(D17&lt;=25000,D17,IF(D17&gt;25000,25000,0))</f>
        <v>884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884</v>
      </c>
      <c r="G17" s="1793">
        <f>IF(F17=0,0,D17-F17)</f>
        <v>0</v>
      </c>
      <c r="H17" s="1647"/>
    </row>
    <row r="18" spans="1:8" x14ac:dyDescent="0.25">
      <c r="A18" s="1937" t="s">
        <v>2064</v>
      </c>
      <c r="B18" s="1938" t="s">
        <v>2065</v>
      </c>
      <c r="C18" s="1939" t="s">
        <v>2067</v>
      </c>
      <c r="D18" s="1844">
        <v>19100</v>
      </c>
      <c r="E18" s="1540">
        <f t="shared" ref="E18:E140" si="2">IF(D18&lt;=25000,D18,IF(D18&gt;25000,25000,0))</f>
        <v>19100</v>
      </c>
      <c r="F18" s="1932">
        <f t="shared" si="1"/>
        <v>19100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19984</v>
      </c>
      <c r="E141" s="1541">
        <f t="shared" si="0"/>
        <v>19984</v>
      </c>
      <c r="F141" s="1933">
        <f>SUM(F17:F140)</f>
        <v>19984</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22" colorId="8" zoomScale="110" zoomScaleNormal="110" workbookViewId="0">
      <selection activeCell="E8" sqref="E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f>17704+2077+9+6910+223+1581</f>
        <v>28504</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199344</v>
      </c>
      <c r="F10" s="974"/>
      <c r="G10" s="975"/>
      <c r="H10" s="162"/>
      <c r="I10" s="162"/>
    </row>
    <row r="11" spans="1:9" s="668" customFormat="1" ht="22.5" customHeight="1" x14ac:dyDescent="0.2">
      <c r="A11" s="2286" t="s">
        <v>1977</v>
      </c>
      <c r="B11" s="2287"/>
      <c r="C11" s="2287"/>
      <c r="D11" s="2288"/>
      <c r="E11" s="977">
        <v>29045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4563380</v>
      </c>
      <c r="F19" s="1799"/>
      <c r="G19" s="1801">
        <f>'Expenditures 15-22'!K33-SUM('Expenditures 15-22'!G33,'Expenditures 15-22'!I33)+'Expenditures 15-22'!D229</f>
        <v>4563380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197895</v>
      </c>
      <c r="F21" s="1802"/>
      <c r="G21" s="1805">
        <f>'Expenditures 15-22'!K42-SUM('Expenditures 15-22'!G42,'Expenditures 15-22'!I42)+'Expenditures 15-22'!K120-SUM('Expenditures 15-22'!G120,'Expenditures 15-22'!I120)+'Expenditures 15-22'!K180-SUM('Expenditures 15-22'!G180,'Expenditures 15-22'!I180)+'Expenditures 15-22'!D238</f>
        <v>197895</v>
      </c>
      <c r="H21" s="987"/>
      <c r="I21" s="162"/>
    </row>
    <row r="22" spans="1:9" s="668" customFormat="1" ht="12" customHeight="1" x14ac:dyDescent="0.2">
      <c r="A22" s="994" t="s">
        <v>564</v>
      </c>
      <c r="B22" s="995"/>
      <c r="C22" s="993">
        <v>2200</v>
      </c>
      <c r="D22" s="1802"/>
      <c r="E22" s="1804">
        <f>'Expenditures 15-22'!K47-SUM('Expenditures 15-22'!G47,'Expenditures 15-22'!I47)+'Expenditures 15-22'!D243</f>
        <v>39108</v>
      </c>
      <c r="F22" s="1802"/>
      <c r="G22" s="1805">
        <f>'Expenditures 15-22'!K47-SUM('Expenditures 15-22'!G47,'Expenditures 15-22'!I47)+'Expenditures 15-22'!D243</f>
        <v>39108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850148</v>
      </c>
      <c r="F23" s="1802"/>
      <c r="G23" s="1804">
        <f>'Expenditures 15-22'!K53-SUM('Expenditures 15-22'!G53,'Expenditures 15-22'!I53)+'Expenditures 15-22'!D257+'Expenditures 15-22'!K330-SUM('Expenditures 15-22'!G330,'Expenditures 15-22'!I330)</f>
        <v>850148</v>
      </c>
      <c r="H23" s="987"/>
      <c r="I23" s="162"/>
    </row>
    <row r="24" spans="1:9" s="668" customFormat="1" ht="12" customHeight="1" x14ac:dyDescent="0.2">
      <c r="A24" s="994" t="s">
        <v>566</v>
      </c>
      <c r="B24" s="995"/>
      <c r="C24" s="993">
        <v>2400</v>
      </c>
      <c r="D24" s="1802"/>
      <c r="E24" s="1804">
        <f>'Expenditures 15-22'!K57-SUM('Expenditures 15-22'!G57,'Expenditures 15-22'!I57)+'Expenditures 15-22'!D261</f>
        <v>441128</v>
      </c>
      <c r="F24" s="1802"/>
      <c r="G24" s="1805">
        <f>'Expenditures 15-22'!K57-SUM('Expenditures 15-22'!G57,'Expenditures 15-22'!I57)+'Expenditures 15-22'!D261</f>
        <v>441128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32158</v>
      </c>
      <c r="E27" s="1804">
        <f>E8</f>
        <v>28504</v>
      </c>
      <c r="F27" s="1804">
        <f>'Expenditures 15-22'!K60-SUM('Expenditures 15-22'!G60,'Expenditures 15-22'!I60)+'Expenditures 15-22'!D264-E8</f>
        <v>32158</v>
      </c>
      <c r="G27" s="1805">
        <f>E8</f>
        <v>28504</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736222</v>
      </c>
      <c r="F28" s="1806">
        <f>'Expenditures 15-22'!K61-SUM('Expenditures 15-22'!G61,'Expenditures 15-22'!I61)+'Expenditures 15-22'!K124-SUM('Expenditures 15-22'!G124,'Expenditures 15-22'!I124)+'Expenditures 15-22'!D266-E9</f>
        <v>736222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538899</v>
      </c>
      <c r="F29" s="1802"/>
      <c r="G29" s="1805">
        <f>'Expenditures 15-22'!K62-SUM('Expenditures 15-22'!G62,'Expenditures 15-22'!I62)+'Expenditures 15-22'!K125-SUM('Expenditures 15-22'!G125,'Expenditures 15-22'!I125)+'Expenditures 15-22'!K182-SUM('Expenditures 15-22'!G182,'Expenditures 15-22'!I182)+'Expenditures 15-22'!D267</f>
        <v>538899</v>
      </c>
      <c r="H29" s="985"/>
    </row>
    <row r="30" spans="1:9" ht="12" customHeight="1" x14ac:dyDescent="0.2">
      <c r="A30" s="994" t="s">
        <v>100</v>
      </c>
      <c r="B30" s="997"/>
      <c r="C30" s="993">
        <v>2560</v>
      </c>
      <c r="D30" s="1802"/>
      <c r="E30" s="1804">
        <f>'Expenditures 15-22'!K63-SUM('Expenditures 15-22'!G63,'Expenditures 15-22'!I63)+'Expenditures 15-22'!D268-E10</f>
        <v>147585</v>
      </c>
      <c r="F30" s="1802"/>
      <c r="G30" s="1804">
        <f>'Expenditures 15-22'!K63-SUM('Expenditures 15-22'!G63,'Expenditures 15-22'!I63)+'Expenditures 15-22'!D268-E10</f>
        <v>147585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124449</v>
      </c>
      <c r="E37" s="1804">
        <f>E14</f>
        <v>0</v>
      </c>
      <c r="F37" s="1804">
        <f>'Expenditures 15-22'!K71-SUM('Expenditures 15-22'!G71,'Expenditures 15-22'!I71)+'Expenditures 15-22'!D276-E14</f>
        <v>124449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156607</v>
      </c>
      <c r="E41" s="1806">
        <f>SUM(E19:E40)</f>
        <v>7542869</v>
      </c>
      <c r="F41" s="1806">
        <f>SUM(F19:F39)</f>
        <v>892829</v>
      </c>
      <c r="G41" s="1806">
        <f>SUM(G19:G40)</f>
        <v>6806647</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156607</v>
      </c>
      <c r="F43" s="1807" t="s">
        <v>473</v>
      </c>
      <c r="G43" s="1808">
        <f>F41</f>
        <v>892829</v>
      </c>
    </row>
    <row r="44" spans="1:7" ht="12" customHeight="1" x14ac:dyDescent="0.2">
      <c r="A44" s="987"/>
      <c r="B44" s="162"/>
      <c r="C44" s="1001"/>
      <c r="D44" s="1807" t="s">
        <v>474</v>
      </c>
      <c r="E44" s="1808">
        <f>E41</f>
        <v>7542869</v>
      </c>
      <c r="F44" s="1807" t="s">
        <v>474</v>
      </c>
      <c r="G44" s="1808">
        <f>G41</f>
        <v>6806647</v>
      </c>
    </row>
    <row r="45" spans="1:7" ht="12" customHeight="1" x14ac:dyDescent="0.2">
      <c r="A45" s="987"/>
      <c r="B45" s="162"/>
      <c r="C45" s="162"/>
      <c r="D45" s="1809" t="s">
        <v>1006</v>
      </c>
      <c r="E45" s="1810">
        <f>(E43/E44)</f>
        <v>2.0762259029024632E-2</v>
      </c>
      <c r="F45" s="1809" t="s">
        <v>1006</v>
      </c>
      <c r="G45" s="1810">
        <f>(G43/G44)</f>
        <v>0.13117016351810223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view="pageBreakPreview" zoomScale="60" zoomScaleNormal="110" workbookViewId="0">
      <pane ySplit="4" topLeftCell="A5" activePane="bottomLeft" state="frozen"/>
      <selection activeCell="A47" sqref="A47"/>
      <selection pane="bottomLeft" activeCell="A43" sqref="A1: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10" width="3.42578125"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Central CUSD 3</v>
      </c>
      <c r="D6" s="2296"/>
      <c r="E6" s="2296"/>
      <c r="F6" s="1852"/>
    </row>
    <row r="7" spans="1:10" ht="11.25" customHeight="1" thickBot="1" x14ac:dyDescent="0.3">
      <c r="A7" s="1850"/>
      <c r="B7" s="1851"/>
      <c r="C7" s="2297">
        <f>COVER!A13</f>
        <v>1001003026</v>
      </c>
      <c r="D7" s="2297"/>
      <c r="E7" s="229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2068</v>
      </c>
      <c r="D14" s="1865" t="s">
        <v>2068</v>
      </c>
      <c r="E14" s="1868" t="s">
        <v>2068</v>
      </c>
      <c r="F14" s="1867" t="s">
        <v>2069</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2068</v>
      </c>
      <c r="D19" s="1865" t="s">
        <v>2068</v>
      </c>
      <c r="E19" s="1868" t="s">
        <v>2068</v>
      </c>
      <c r="F19" s="1867" t="s">
        <v>2070</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2068</v>
      </c>
      <c r="D26" s="1865" t="s">
        <v>2068</v>
      </c>
      <c r="E26" s="1868" t="s">
        <v>2068</v>
      </c>
      <c r="F26" s="1867" t="s">
        <v>2071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2068</v>
      </c>
      <c r="D31" s="1865" t="s">
        <v>2068</v>
      </c>
      <c r="E31" s="1868" t="s">
        <v>2068</v>
      </c>
      <c r="F31" s="1867" t="s">
        <v>2072</v>
      </c>
      <c r="H31" s="1878">
        <f t="shared" si="0"/>
        <v>5</v>
      </c>
      <c r="I31" s="1878">
        <f t="shared" si="1"/>
        <v>5</v>
      </c>
      <c r="J31" s="1878">
        <f t="shared" si="2"/>
        <v>5</v>
      </c>
      <c r="L31" s="1869"/>
    </row>
    <row r="32" spans="1:12" ht="12" customHeight="1" x14ac:dyDescent="0.2">
      <c r="A32" s="1863" t="s">
        <v>1540</v>
      </c>
      <c r="B32" s="1864"/>
      <c r="C32" s="1865" t="s">
        <v>2068</v>
      </c>
      <c r="D32" s="1865" t="s">
        <v>2068</v>
      </c>
      <c r="E32" s="1868" t="s">
        <v>2068</v>
      </c>
      <c r="F32" s="1867" t="s">
        <v>2073</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Central CUSD 3</v>
      </c>
      <c r="J6" s="2317"/>
      <c r="Q6" s="1664"/>
    </row>
    <row r="7" spans="1:17" x14ac:dyDescent="0.2">
      <c r="A7" s="2318" t="s">
        <v>869</v>
      </c>
      <c r="B7" s="2319"/>
      <c r="C7" s="2319"/>
      <c r="D7" s="2319"/>
      <c r="E7" s="2320"/>
      <c r="F7" s="1017"/>
      <c r="G7" s="1009"/>
      <c r="H7" s="1016" t="s">
        <v>372</v>
      </c>
      <c r="I7" s="2321">
        <f>COVER!A13</f>
        <v>1001003026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188087</v>
      </c>
      <c r="F12" s="1039"/>
      <c r="G12" s="1811">
        <f t="shared" ref="G12:G18" si="0">SUM(E12:F12)</f>
        <v>188087</v>
      </c>
      <c r="H12" s="1040">
        <v>153900</v>
      </c>
      <c r="I12" s="1039"/>
      <c r="J12" s="1811">
        <f t="shared" ref="J12:J18" si="1">SUM(H12:I12)</f>
        <v>153900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188087</v>
      </c>
      <c r="F19" s="1813">
        <f t="shared" si="2"/>
        <v>0</v>
      </c>
      <c r="G19" s="1813">
        <f t="shared" si="2"/>
        <v>188087</v>
      </c>
      <c r="H19" s="1813">
        <f t="shared" si="2"/>
        <v>153900</v>
      </c>
      <c r="I19" s="1813">
        <f t="shared" si="2"/>
        <v>0</v>
      </c>
      <c r="J19" s="1813">
        <f t="shared" si="2"/>
        <v>153900</v>
      </c>
    </row>
    <row r="20" spans="1:10" ht="13.5" thickTop="1" x14ac:dyDescent="0.2">
      <c r="A20" s="1035">
        <v>9</v>
      </c>
      <c r="B20" s="2328" t="s">
        <v>1981</v>
      </c>
      <c r="C20" s="2328"/>
      <c r="D20" s="2329"/>
      <c r="E20" s="1046"/>
      <c r="F20" s="1046"/>
      <c r="G20" s="1046"/>
      <c r="H20" s="1046"/>
      <c r="I20" s="1046"/>
      <c r="J20" s="1814">
        <f>IF(AND(G19&gt;0,J19&gt;0),(((J19-G19)/G19)),"Enter Budget Data")</f>
        <v>-0.18176163158538336</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t="s">
        <v>2078</v>
      </c>
      <c r="D28" s="2332"/>
      <c r="E28" s="1054"/>
      <c r="F28" s="2332" t="s">
        <v>2079</v>
      </c>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2090</v>
      </c>
    </row>
    <row r="6" spans="1:2" x14ac:dyDescent="0.2">
      <c r="A6" s="1068"/>
      <c r="B6" s="329" t="s">
        <v>2091</v>
      </c>
    </row>
    <row r="7" spans="1:2" x14ac:dyDescent="0.2">
      <c r="A7" s="1068">
        <v>2</v>
      </c>
      <c r="B7" s="329" t="s">
        <v>2092</v>
      </c>
    </row>
    <row r="8" spans="1:2" x14ac:dyDescent="0.2">
      <c r="A8" s="1068">
        <v>3</v>
      </c>
      <c r="B8" s="329" t="s">
        <v>2093</v>
      </c>
    </row>
    <row r="9" spans="1:2" x14ac:dyDescent="0.2">
      <c r="A9" s="1068">
        <v>4</v>
      </c>
      <c r="B9" s="329" t="s">
        <v>2094</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Central CUSD 3</v>
      </c>
    </row>
    <row r="65" spans="2:2" x14ac:dyDescent="0.2">
      <c r="B65" s="1070">
        <f>COVER!A13</f>
        <v>1001003026</v>
      </c>
    </row>
  </sheetData>
  <phoneticPr fontId="14"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41" sqref="A41:E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4" sqref="G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1543050</xdr:colOff>
                <xdr:row>2</xdr:row>
                <xdr:rowOff>47625</xdr:rowOff>
              </from>
              <to>
                <xdr:col>1</xdr:col>
                <xdr:colOff>2457450</xdr:colOff>
                <xdr:row>6</xdr:row>
                <xdr:rowOff>85725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5">
            <anchor moveWithCells="1">
              <from>
                <xdr:col>1</xdr:col>
                <xdr:colOff>219075</xdr:colOff>
                <xdr:row>2</xdr:row>
                <xdr:rowOff>57150</xdr:rowOff>
              </from>
              <to>
                <xdr:col>1</xdr:col>
                <xdr:colOff>1133475</xdr:colOff>
                <xdr:row>6</xdr:row>
                <xdr:rowOff>95250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6561247</v>
      </c>
      <c r="C8" s="1815">
        <f>'Acct Summary 7-8'!D8</f>
        <v>519959</v>
      </c>
      <c r="D8" s="1815">
        <f>'Acct Summary 7-8'!F8</f>
        <v>464481</v>
      </c>
      <c r="E8" s="1815">
        <f>'Acct Summary 7-8'!I8</f>
        <v>53601</v>
      </c>
      <c r="F8" s="1815">
        <f>SUM(B8:E8)</f>
        <v>7599288</v>
      </c>
    </row>
    <row r="9" spans="1:8" s="1079" customFormat="1" ht="14.25" customHeight="1" thickBot="1" x14ac:dyDescent="0.25">
      <c r="A9" s="1078" t="s">
        <v>1369</v>
      </c>
      <c r="B9" s="1816">
        <f>'Acct Summary 7-8'!C17</f>
        <v>6240447</v>
      </c>
      <c r="C9" s="1816">
        <f>'Acct Summary 7-8'!D17</f>
        <v>589393</v>
      </c>
      <c r="D9" s="1816">
        <f>'Acct Summary 7-8'!F17</f>
        <v>512313</v>
      </c>
      <c r="E9" s="1815"/>
      <c r="F9" s="1815">
        <f>SUM(B9:E9)</f>
        <v>7342153</v>
      </c>
    </row>
    <row r="10" spans="1:8" s="1079" customFormat="1" ht="14.25" thickTop="1" thickBot="1" x14ac:dyDescent="0.25">
      <c r="A10" s="1080" t="s">
        <v>1370</v>
      </c>
      <c r="B10" s="1817">
        <f>(B8-B9)</f>
        <v>320800</v>
      </c>
      <c r="C10" s="1817">
        <f>(C8-C9)</f>
        <v>-69434</v>
      </c>
      <c r="D10" s="1817">
        <f>(D8-D9)</f>
        <v>-47832</v>
      </c>
      <c r="E10" s="1816">
        <f>(E8-E9)</f>
        <v>53601</v>
      </c>
      <c r="F10" s="1818">
        <f>SUM(F8-F9)</f>
        <v>257135</v>
      </c>
    </row>
    <row r="11" spans="1:8" s="1079" customFormat="1" ht="14.25" thickTop="1" thickBot="1" x14ac:dyDescent="0.25">
      <c r="A11" s="1081" t="s">
        <v>1985</v>
      </c>
      <c r="B11" s="1819">
        <f>'Acct Summary 7-8'!C81</f>
        <v>2189146</v>
      </c>
      <c r="C11" s="1819">
        <f>'Acct Summary 7-8'!D81</f>
        <v>727035</v>
      </c>
      <c r="D11" s="1819">
        <f>'Acct Summary 7-8'!F81</f>
        <v>9608</v>
      </c>
      <c r="E11" s="1819">
        <f>'Acct Summary 7-8'!I81</f>
        <v>608436</v>
      </c>
      <c r="F11" s="1820">
        <f>SUM(B11:E11)</f>
        <v>3534225</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3"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1001003026</v>
      </c>
    </row>
    <row r="3" spans="1:2" x14ac:dyDescent="0.2">
      <c r="A3" t="s">
        <v>956</v>
      </c>
      <c r="B3" s="138" t="str">
        <f>COVER!A15</f>
        <v>Adams</v>
      </c>
    </row>
    <row r="4" spans="1:2" x14ac:dyDescent="0.2">
      <c r="A4" t="s">
        <v>1007</v>
      </c>
      <c r="B4" s="138" t="str">
        <f>COVER!A17</f>
        <v>Central CUSD 3</v>
      </c>
    </row>
    <row r="5" spans="1:2" x14ac:dyDescent="0.2">
      <c r="A5" t="s">
        <v>704</v>
      </c>
      <c r="B5" s="138" t="str">
        <f>COVER!A38</f>
        <v>Erica 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060-004993</v>
      </c>
    </row>
    <row r="16" spans="1:2" x14ac:dyDescent="0.2">
      <c r="A16" t="s">
        <v>422</v>
      </c>
      <c r="B16" s="138" t="str">
        <f>COVER!T13</f>
        <v>Zumbahlen, Eyth, Surratt, Foote &amp; Flynn, Ltd.</v>
      </c>
    </row>
    <row r="17" spans="1:2" x14ac:dyDescent="0.2">
      <c r="A17" t="s">
        <v>884</v>
      </c>
      <c r="B17" s="138" t="str">
        <f>COVER!T15</f>
        <v>Valerie L. Flynn</v>
      </c>
    </row>
    <row r="18" spans="1:2" x14ac:dyDescent="0.2">
      <c r="A18" t="s">
        <v>1150</v>
      </c>
      <c r="B18" s="138" t="str">
        <f>COVER!T17</f>
        <v>1395 Lincoln Ave</v>
      </c>
    </row>
    <row r="19" spans="1:2" x14ac:dyDescent="0.2">
      <c r="A19" t="s">
        <v>886</v>
      </c>
      <c r="B19" s="138" t="str">
        <f>COVER!T25</f>
        <v>vflynn@zescpa.com</v>
      </c>
    </row>
    <row r="20" spans="1:2" x14ac:dyDescent="0.2">
      <c r="A20" t="s">
        <v>887</v>
      </c>
      <c r="B20" s="138" t="str">
        <f>COVER!T19</f>
        <v>Jacksonville</v>
      </c>
    </row>
    <row r="21" spans="1:2" x14ac:dyDescent="0.2">
      <c r="A21" t="s">
        <v>479</v>
      </c>
      <c r="B21" s="138" t="str">
        <f>COVER!X19</f>
        <v>IL</v>
      </c>
    </row>
    <row r="22" spans="1:2" x14ac:dyDescent="0.2">
      <c r="A22" t="s">
        <v>888</v>
      </c>
      <c r="B22" s="138">
        <f>COVER!Z19</f>
        <v>62650</v>
      </c>
    </row>
    <row r="23" spans="1:2" x14ac:dyDescent="0.2">
      <c r="A23" t="s">
        <v>1152</v>
      </c>
      <c r="B23" s="138" t="str">
        <f>COVER!T21</f>
        <v>217-245-5121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2189146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2155527</v>
      </c>
      <c r="D92" s="2" t="str">
        <f t="shared" si="0"/>
        <v>Error?</v>
      </c>
    </row>
    <row r="93" spans="1:4" x14ac:dyDescent="0.2">
      <c r="A93" s="5">
        <v>32</v>
      </c>
      <c r="B93" s="138">
        <f>'Assets-Liab 5-6'!C41</f>
        <v>2189146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727035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581083</v>
      </c>
      <c r="D123" s="2" t="str">
        <f t="shared" si="0"/>
        <v>Error?</v>
      </c>
    </row>
    <row r="124" spans="1:4" x14ac:dyDescent="0.2">
      <c r="A124" s="5">
        <v>63</v>
      </c>
      <c r="B124" s="138">
        <f>'Assets-Liab 5-6'!D41</f>
        <v>727035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9608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9608</v>
      </c>
      <c r="D170" s="2" t="str">
        <f t="shared" si="1"/>
        <v>Error?</v>
      </c>
    </row>
    <row r="171" spans="1:4" x14ac:dyDescent="0.2">
      <c r="A171" s="5">
        <v>110</v>
      </c>
      <c r="B171" s="138">
        <f>'Assets-Liab 5-6'!F41</f>
        <v>9608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179853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131963</v>
      </c>
      <c r="D189" s="2" t="str">
        <f t="shared" si="1"/>
        <v>Error?</v>
      </c>
    </row>
    <row r="190" spans="1:4" x14ac:dyDescent="0.2">
      <c r="A190" s="5">
        <v>129</v>
      </c>
      <c r="B190" s="138">
        <f>'Assets-Liab 5-6'!G41</f>
        <v>179853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29802</v>
      </c>
      <c r="D273" s="2" t="str">
        <f t="shared" si="3"/>
        <v>Error?</v>
      </c>
    </row>
    <row r="274" spans="1:4" x14ac:dyDescent="0.2">
      <c r="A274" s="5">
        <v>213</v>
      </c>
      <c r="B274" s="138">
        <f>'Assets-Liab 5-6'!M17</f>
        <v>9982950</v>
      </c>
      <c r="D274" s="2" t="str">
        <f t="shared" si="3"/>
        <v>Error?</v>
      </c>
    </row>
    <row r="275" spans="1:4" x14ac:dyDescent="0.2">
      <c r="A275" s="5">
        <v>214</v>
      </c>
      <c r="B275" s="138">
        <f>'Assets-Liab 5-6'!M18</f>
        <v>1175013</v>
      </c>
      <c r="D275" s="2" t="str">
        <f t="shared" si="3"/>
        <v>Error?</v>
      </c>
    </row>
    <row r="276" spans="1:4" x14ac:dyDescent="0.2">
      <c r="A276" s="5">
        <v>215</v>
      </c>
      <c r="B276" s="138">
        <f>'Assets-Liab 5-6'!M19</f>
        <v>1514664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12702429</v>
      </c>
      <c r="C279" s="2" t="s">
        <v>573</v>
      </c>
      <c r="D279" s="2" t="str">
        <f t="shared" si="3"/>
        <v>Error?</v>
      </c>
    </row>
    <row r="280" spans="1:4" x14ac:dyDescent="0.2">
      <c r="A280" s="5">
        <v>219</v>
      </c>
      <c r="B280" s="138">
        <f>'Assets-Liab 5-6'!M40</f>
        <v>12702429</v>
      </c>
      <c r="D280" s="2" t="str">
        <f t="shared" si="3"/>
        <v>Error?</v>
      </c>
    </row>
    <row r="281" spans="1:4" x14ac:dyDescent="0.2">
      <c r="A281" s="5">
        <v>220</v>
      </c>
      <c r="B281" s="138">
        <f>'Assets-Liab 5-6'!M41</f>
        <v>12702429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2330908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6302</v>
      </c>
      <c r="D717" s="2" t="str">
        <f t="shared" si="10"/>
        <v>Error?</v>
      </c>
    </row>
    <row r="718" spans="1:4" x14ac:dyDescent="0.2">
      <c r="A718" s="5">
        <v>657</v>
      </c>
      <c r="B718" s="138">
        <f>'Expenditures 15-22'!C14</f>
        <v>195365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3384640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72595</v>
      </c>
      <c r="D722" s="2" t="str">
        <f t="shared" si="10"/>
        <v>Error?</v>
      </c>
    </row>
    <row r="723" spans="1:4" x14ac:dyDescent="0.2">
      <c r="A723" s="5">
        <v>662</v>
      </c>
      <c r="B723" s="138">
        <f>'Expenditures 15-22'!C38</f>
        <v>3492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65225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141312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13283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13283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133318</v>
      </c>
      <c r="D733" s="2" t="str">
        <f t="shared" si="10"/>
        <v>Error?</v>
      </c>
    </row>
    <row r="734" spans="1:4" x14ac:dyDescent="0.2">
      <c r="A734" s="5">
        <v>673</v>
      </c>
      <c r="B734" s="138">
        <f>'Expenditures 15-22'!C53</f>
        <v>133318</v>
      </c>
      <c r="C734" s="2" t="s">
        <v>573</v>
      </c>
      <c r="D734" s="2" t="str">
        <f t="shared" si="10"/>
        <v>Error?</v>
      </c>
    </row>
    <row r="735" spans="1:4" x14ac:dyDescent="0.2">
      <c r="A735" s="5">
        <v>674</v>
      </c>
      <c r="B735" s="138">
        <f>'Expenditures 15-22'!C55</f>
        <v>254151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254151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37581</v>
      </c>
      <c r="D739" s="2" t="str">
        <f t="shared" si="10"/>
        <v>Error?</v>
      </c>
    </row>
    <row r="740" spans="1:4" x14ac:dyDescent="0.2">
      <c r="A740" s="5">
        <v>679</v>
      </c>
      <c r="B740" s="138">
        <f>'Expenditures 15-22'!C61</f>
        <v>179891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102965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320437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47261</v>
      </c>
      <c r="D751" s="2" t="str">
        <f t="shared" si="10"/>
        <v>Error?</v>
      </c>
    </row>
    <row r="752" spans="1:4" x14ac:dyDescent="0.2">
      <c r="A752" s="10">
        <v>691</v>
      </c>
      <c r="D752" s="2" t="str">
        <f t="shared" si="10"/>
        <v>OK</v>
      </c>
    </row>
    <row r="753" spans="1:4" x14ac:dyDescent="0.2">
      <c r="A753" s="5">
        <v>692</v>
      </c>
      <c r="B753" s="138">
        <f>'Expenditures 15-22'!C72</f>
        <v>47261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909762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4294402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369223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5002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513449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14005</v>
      </c>
      <c r="D780" s="2" t="str">
        <f t="shared" si="11"/>
        <v>Error?</v>
      </c>
    </row>
    <row r="781" spans="1:4" x14ac:dyDescent="0.2">
      <c r="A781" s="5">
        <v>720</v>
      </c>
      <c r="B781" s="138">
        <f>'Expenditures 15-22'!D38</f>
        <v>6960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15681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36646</v>
      </c>
      <c r="C785" s="2" t="s">
        <v>573</v>
      </c>
      <c r="D785" s="2" t="str">
        <f t="shared" si="11"/>
        <v>Error?</v>
      </c>
    </row>
    <row r="786" spans="1:4" x14ac:dyDescent="0.2">
      <c r="A786" s="5">
        <v>725</v>
      </c>
      <c r="B786" s="138">
        <f>'Expenditures 15-22'!D44</f>
        <v>4000</v>
      </c>
      <c r="D786" s="2" t="str">
        <f t="shared" si="11"/>
        <v>Error?</v>
      </c>
    </row>
    <row r="787" spans="1:4" x14ac:dyDescent="0.2">
      <c r="A787" s="5">
        <v>726</v>
      </c>
      <c r="B787" s="138">
        <f>'Expenditures 15-22'!D45</f>
        <v>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4023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50196</v>
      </c>
      <c r="D791" s="2" t="str">
        <f t="shared" si="11"/>
        <v>Error?</v>
      </c>
    </row>
    <row r="792" spans="1:4" x14ac:dyDescent="0.2">
      <c r="A792" s="5">
        <v>731</v>
      </c>
      <c r="B792" s="138">
        <f>'Expenditures 15-22'!D53</f>
        <v>50196</v>
      </c>
      <c r="C792" s="2" t="s">
        <v>573</v>
      </c>
      <c r="D792" s="2" t="str">
        <f t="shared" si="11"/>
        <v>Error?</v>
      </c>
    </row>
    <row r="793" spans="1:4" x14ac:dyDescent="0.2">
      <c r="A793" s="5">
        <v>732</v>
      </c>
      <c r="B793" s="138">
        <f>'Expenditures 15-22'!D55</f>
        <v>109688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109688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16813</v>
      </c>
      <c r="D797" s="2" t="str">
        <f t="shared" si="11"/>
        <v>Error?</v>
      </c>
    </row>
    <row r="798" spans="1:4" x14ac:dyDescent="0.2">
      <c r="A798" s="5">
        <v>737</v>
      </c>
      <c r="B798" s="138">
        <f>'Expenditures 15-22'!D61</f>
        <v>29020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26100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71933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6849</v>
      </c>
      <c r="D809" s="2" t="str">
        <f t="shared" si="11"/>
        <v>Error?</v>
      </c>
    </row>
    <row r="810" spans="1:4" x14ac:dyDescent="0.2">
      <c r="A810" s="10">
        <v>749</v>
      </c>
      <c r="D810" s="2" t="str">
        <f t="shared" si="11"/>
        <v>OK</v>
      </c>
    </row>
    <row r="811" spans="1:4" x14ac:dyDescent="0.2">
      <c r="A811" s="5">
        <v>750</v>
      </c>
      <c r="B811" s="138">
        <f>'Expenditures 15-22'!D72</f>
        <v>6849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279335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792784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29396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65167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102609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544</v>
      </c>
      <c r="D838" s="2" t="str">
        <f t="shared" si="12"/>
        <v>Error?</v>
      </c>
    </row>
    <row r="839" spans="1:4" x14ac:dyDescent="0.2">
      <c r="A839" s="5">
        <v>778</v>
      </c>
      <c r="B839" s="138">
        <f>'Expenditures 15-22'!E38</f>
        <v>627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1433</v>
      </c>
      <c r="C843" s="2" t="s">
        <v>573</v>
      </c>
      <c r="D843" s="2" t="str">
        <f t="shared" si="12"/>
        <v>Error?</v>
      </c>
    </row>
    <row r="844" spans="1:4" x14ac:dyDescent="0.2">
      <c r="A844" s="5">
        <v>783</v>
      </c>
      <c r="B844" s="138">
        <f>'Expenditures 15-22'!E44</f>
        <v>10353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4938</v>
      </c>
      <c r="D846" s="2" t="str">
        <f t="shared" si="12"/>
        <v>Error?</v>
      </c>
    </row>
    <row r="847" spans="1:4" x14ac:dyDescent="0.2">
      <c r="A847" s="5">
        <v>786</v>
      </c>
      <c r="B847" s="138">
        <f>'Expenditures 15-22'!E47</f>
        <v>15291</v>
      </c>
      <c r="C847" s="2" t="s">
        <v>573</v>
      </c>
      <c r="D847" s="2" t="str">
        <f t="shared" si="12"/>
        <v>Error?</v>
      </c>
    </row>
    <row r="848" spans="1:4" x14ac:dyDescent="0.2">
      <c r="A848" s="5">
        <v>787</v>
      </c>
      <c r="B848" s="138">
        <f>'Expenditures 15-22'!E49</f>
        <v>34497</v>
      </c>
      <c r="D848" s="2" t="str">
        <f t="shared" si="12"/>
        <v>Error?</v>
      </c>
    </row>
    <row r="849" spans="1:4" x14ac:dyDescent="0.2">
      <c r="A849" s="5">
        <v>788</v>
      </c>
      <c r="B849" s="138">
        <f>'Expenditures 15-22'!E50</f>
        <v>3719</v>
      </c>
      <c r="D849" s="2" t="str">
        <f t="shared" si="12"/>
        <v>Error?</v>
      </c>
    </row>
    <row r="850" spans="1:4" x14ac:dyDescent="0.2">
      <c r="A850" s="5">
        <v>789</v>
      </c>
      <c r="B850" s="138">
        <f>'Expenditures 15-22'!E53</f>
        <v>38216</v>
      </c>
      <c r="C850" s="2" t="s">
        <v>573</v>
      </c>
      <c r="D850" s="2" t="str">
        <f t="shared" si="12"/>
        <v>Error?</v>
      </c>
    </row>
    <row r="851" spans="1:4" x14ac:dyDescent="0.2">
      <c r="A851" s="5">
        <v>790</v>
      </c>
      <c r="B851" s="138">
        <f>'Expenditures 15-22'!E55</f>
        <v>2248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2248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21727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22182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285</v>
      </c>
      <c r="D867" s="2" t="str">
        <f t="shared" si="12"/>
        <v>Error?</v>
      </c>
    </row>
    <row r="868" spans="1:4" x14ac:dyDescent="0.2">
      <c r="A868" s="10">
        <v>807</v>
      </c>
      <c r="D868" s="2" t="str">
        <f t="shared" si="12"/>
        <v>OK</v>
      </c>
    </row>
    <row r="869" spans="1:4" x14ac:dyDescent="0.2">
      <c r="A869" s="5">
        <v>808</v>
      </c>
      <c r="B869" s="138">
        <f>'Expenditures 15-22'!E72</f>
        <v>285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79655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213249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36123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3526</v>
      </c>
      <c r="D891" s="2" t="str">
        <f t="shared" si="12"/>
        <v>Error?</v>
      </c>
    </row>
    <row r="892" spans="1:4" x14ac:dyDescent="0.2">
      <c r="A892" s="5">
        <v>831</v>
      </c>
      <c r="B892" s="138">
        <f>'Expenditures 15-22'!F14</f>
        <v>22928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89364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1048</v>
      </c>
      <c r="D896" s="2" t="str">
        <f t="shared" si="13"/>
        <v>Error?</v>
      </c>
    </row>
    <row r="897" spans="1:4" x14ac:dyDescent="0.2">
      <c r="A897" s="5">
        <v>836</v>
      </c>
      <c r="B897" s="138">
        <f>'Expenditures 15-22'!F38</f>
        <v>694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1742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879</v>
      </c>
      <c r="C905" s="2" t="s">
        <v>573</v>
      </c>
      <c r="D905" s="2" t="str">
        <f t="shared" si="13"/>
        <v>Error?</v>
      </c>
    </row>
    <row r="906" spans="1:4" x14ac:dyDescent="0.2">
      <c r="A906" s="5">
        <v>845</v>
      </c>
      <c r="B906" s="138">
        <f>'Expenditures 15-22'!F49</f>
        <v>19555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19555</v>
      </c>
      <c r="C908" s="2" t="s">
        <v>573</v>
      </c>
      <c r="D908" s="2" t="str">
        <f t="shared" si="13"/>
        <v>Error?</v>
      </c>
    </row>
    <row r="909" spans="1:4" x14ac:dyDescent="0.2">
      <c r="A909" s="5">
        <v>848</v>
      </c>
      <c r="B909" s="138">
        <f>'Expenditures 15-22'!F55</f>
        <v>60245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60245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44085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199344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243429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47291</v>
      </c>
      <c r="D925" s="2" t="str">
        <f t="shared" si="13"/>
        <v>Error?</v>
      </c>
    </row>
    <row r="926" spans="1:4" x14ac:dyDescent="0.2">
      <c r="A926" s="10">
        <v>865</v>
      </c>
      <c r="D926" s="2" t="str">
        <f t="shared" si="13"/>
        <v>OK</v>
      </c>
    </row>
    <row r="927" spans="1:4" x14ac:dyDescent="0.2">
      <c r="A927" s="5">
        <v>866</v>
      </c>
      <c r="B927" s="138">
        <f>'Expenditures 15-22'!F72</f>
        <v>47291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373141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462505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1959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1959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1959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3807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9500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389881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379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379</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3123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3123</v>
      </c>
      <c r="C1021" s="2" t="s">
        <v>573</v>
      </c>
      <c r="D1021" s="2" t="str">
        <f t="shared" si="14"/>
        <v>Error?</v>
      </c>
    </row>
    <row r="1022" spans="1:4" x14ac:dyDescent="0.2">
      <c r="A1022" s="5">
        <v>961</v>
      </c>
      <c r="B1022" s="138">
        <f>'Expenditures 15-22'!H49</f>
        <v>20417</v>
      </c>
      <c r="D1022" s="2" t="str">
        <f t="shared" si="14"/>
        <v>Error?</v>
      </c>
    </row>
    <row r="1023" spans="1:4" x14ac:dyDescent="0.2">
      <c r="A1023" s="5">
        <v>962</v>
      </c>
      <c r="B1023" s="138">
        <f>'Expenditures 15-22'!H50</f>
        <v>854</v>
      </c>
      <c r="D1023" s="2" t="str">
        <f t="shared" ref="D1023:D1086" si="15">IF(ISBLANK(B1023),"OK",IF(A1023-B1023=0,"OK","Error?"))</f>
        <v>Error?</v>
      </c>
    </row>
    <row r="1024" spans="1:4" x14ac:dyDescent="0.2">
      <c r="A1024" s="5">
        <v>963</v>
      </c>
      <c r="B1024" s="138">
        <f>'Expenditures 15-22'!H53</f>
        <v>21271</v>
      </c>
      <c r="C1024" s="2" t="s">
        <v>573</v>
      </c>
      <c r="D1024" s="2" t="str">
        <f t="shared" si="15"/>
        <v>Error?</v>
      </c>
    </row>
    <row r="1025" spans="1:4" x14ac:dyDescent="0.2">
      <c r="A1025" s="5">
        <v>964</v>
      </c>
      <c r="B1025" s="138">
        <f>'Expenditures 15-22'!H55</f>
        <v>2193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2193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12758</v>
      </c>
      <c r="D1041" s="2" t="str">
        <f t="shared" si="15"/>
        <v>Error?</v>
      </c>
    </row>
    <row r="1042" spans="1:4" x14ac:dyDescent="0.2">
      <c r="A1042" s="10">
        <v>981</v>
      </c>
      <c r="D1042" s="2" t="str">
        <f t="shared" si="15"/>
        <v>OK</v>
      </c>
    </row>
    <row r="1043" spans="1:4" x14ac:dyDescent="0.2">
      <c r="A1043" s="5">
        <v>982</v>
      </c>
      <c r="B1043" s="138">
        <f>'Expenditures 15-22'!H72</f>
        <v>12758</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39724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44095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473700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2768628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10063</v>
      </c>
      <c r="C1105" s="2" t="s">
        <v>573</v>
      </c>
      <c r="D1105" s="2" t="str">
        <f t="shared" si="16"/>
        <v>Error?</v>
      </c>
    </row>
    <row r="1106" spans="1:4" x14ac:dyDescent="0.2">
      <c r="A1106" s="5">
        <v>1045</v>
      </c>
      <c r="B1106" s="138">
        <f>'Expenditures 15-22'!K14</f>
        <v>297962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4481791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88571</v>
      </c>
      <c r="C1110" s="2" t="s">
        <v>573</v>
      </c>
      <c r="D1110" s="2" t="str">
        <f t="shared" si="16"/>
        <v>Error?</v>
      </c>
    </row>
    <row r="1111" spans="1:4" x14ac:dyDescent="0.2">
      <c r="A1111" s="5">
        <v>1050</v>
      </c>
      <c r="B1111" s="138">
        <f>'Expenditures 15-22'!K38</f>
        <v>11773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81168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181512</v>
      </c>
      <c r="C1115" s="2" t="s">
        <v>573</v>
      </c>
      <c r="D1115" s="2" t="str">
        <f t="shared" si="16"/>
        <v>Error?</v>
      </c>
    </row>
    <row r="1116" spans="1:4" x14ac:dyDescent="0.2">
      <c r="A1116" s="5">
        <v>1055</v>
      </c>
      <c r="B1116" s="138">
        <f>'Expenditures 15-22'!K44</f>
        <v>14353</v>
      </c>
      <c r="C1116" s="2" t="s">
        <v>573</v>
      </c>
      <c r="D1116" s="2" t="str">
        <f t="shared" si="16"/>
        <v>Error?</v>
      </c>
    </row>
    <row r="1117" spans="1:4" x14ac:dyDescent="0.2">
      <c r="A1117" s="5">
        <v>1056</v>
      </c>
      <c r="B1117" s="138">
        <f>'Expenditures 15-22'!K45</f>
        <v>17308</v>
      </c>
      <c r="C1117" s="2" t="s">
        <v>573</v>
      </c>
      <c r="D1117" s="2" t="str">
        <f t="shared" si="16"/>
        <v>Error?</v>
      </c>
    </row>
    <row r="1118" spans="1:4" x14ac:dyDescent="0.2">
      <c r="A1118" s="5">
        <v>1057</v>
      </c>
      <c r="B1118" s="138">
        <f>'Expenditures 15-22'!K46</f>
        <v>4938</v>
      </c>
      <c r="C1118" s="2" t="s">
        <v>573</v>
      </c>
      <c r="D1118" s="2" t="str">
        <f t="shared" si="16"/>
        <v>Error?</v>
      </c>
    </row>
    <row r="1119" spans="1:4" x14ac:dyDescent="0.2">
      <c r="A1119" s="5">
        <v>1058</v>
      </c>
      <c r="B1119" s="138">
        <f>'Expenditures 15-22'!K47</f>
        <v>36599</v>
      </c>
      <c r="C1119" s="2" t="s">
        <v>573</v>
      </c>
      <c r="D1119" s="2" t="str">
        <f t="shared" si="16"/>
        <v>Error?</v>
      </c>
    </row>
    <row r="1120" spans="1:4" x14ac:dyDescent="0.2">
      <c r="A1120" s="5">
        <v>1059</v>
      </c>
      <c r="B1120" s="138">
        <f>'Expenditures 15-22'!K49</f>
        <v>74469</v>
      </c>
      <c r="C1120" s="2" t="s">
        <v>573</v>
      </c>
      <c r="D1120" s="2" t="str">
        <f t="shared" si="16"/>
        <v>Error?</v>
      </c>
    </row>
    <row r="1121" spans="1:4" x14ac:dyDescent="0.2">
      <c r="A1121" s="5">
        <v>1060</v>
      </c>
      <c r="B1121" s="138">
        <f>'Expenditures 15-22'!K50</f>
        <v>188087</v>
      </c>
      <c r="C1121" s="2" t="s">
        <v>573</v>
      </c>
      <c r="D1121" s="2" t="str">
        <f t="shared" si="16"/>
        <v>Error?</v>
      </c>
    </row>
    <row r="1122" spans="1:4" x14ac:dyDescent="0.2">
      <c r="A1122" s="5">
        <v>1061</v>
      </c>
      <c r="B1122" s="138">
        <f>'Expenditures 15-22'!K53</f>
        <v>262556</v>
      </c>
      <c r="C1122" s="2" t="s">
        <v>573</v>
      </c>
      <c r="D1122" s="2" t="str">
        <f t="shared" si="16"/>
        <v>Error?</v>
      </c>
    </row>
    <row r="1123" spans="1:4" x14ac:dyDescent="0.2">
      <c r="A1123" s="5">
        <v>1062</v>
      </c>
      <c r="B1123" s="138">
        <f>'Expenditures 15-22'!K55</f>
        <v>428525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428525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54394</v>
      </c>
      <c r="C1127" s="2" t="s">
        <v>573</v>
      </c>
      <c r="D1127" s="2" t="str">
        <f t="shared" si="16"/>
        <v>Error?</v>
      </c>
    </row>
    <row r="1128" spans="1:4" x14ac:dyDescent="0.2">
      <c r="A1128" s="5">
        <v>1067</v>
      </c>
      <c r="B1128" s="138">
        <f>'Expenditures 15-22'!K61</f>
        <v>274723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330823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659940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114444</v>
      </c>
      <c r="C1139" s="2" t="s">
        <v>573</v>
      </c>
      <c r="D1139" s="2" t="str">
        <f t="shared" si="16"/>
        <v>Error?</v>
      </c>
    </row>
    <row r="1140" spans="1:4" x14ac:dyDescent="0.2">
      <c r="A1140" s="10">
        <v>1079</v>
      </c>
      <c r="D1140" s="2" t="str">
        <f t="shared" si="16"/>
        <v>OK</v>
      </c>
    </row>
    <row r="1141" spans="1:4" x14ac:dyDescent="0.2">
      <c r="A1141" s="5">
        <v>1080</v>
      </c>
      <c r="B1141" s="138">
        <f>'Expenditures 15-22'!K72</f>
        <v>114444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1683576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75080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6240447</v>
      </c>
      <c r="C1152" s="2" t="s">
        <v>573</v>
      </c>
      <c r="D1152" s="2" t="str">
        <f t="shared" si="17"/>
        <v>Error?</v>
      </c>
    </row>
    <row r="1153" spans="1:4" x14ac:dyDescent="0.2">
      <c r="A1153" s="5">
        <v>1092</v>
      </c>
      <c r="B1153" s="138">
        <f>'Expenditures 15-22'!K115</f>
        <v>320800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162769</v>
      </c>
      <c r="D1237" s="2" t="str">
        <f t="shared" si="18"/>
        <v>Error?</v>
      </c>
    </row>
    <row r="1238" spans="1:4" x14ac:dyDescent="0.2">
      <c r="A1238" s="10">
        <v>1177</v>
      </c>
      <c r="D1238" s="2" t="str">
        <f t="shared" si="18"/>
        <v>OK</v>
      </c>
    </row>
    <row r="1239" spans="1:4" x14ac:dyDescent="0.2">
      <c r="A1239" s="5">
        <v>1178</v>
      </c>
      <c r="B1239" s="138">
        <f>'Expenditures 15-22'!E127</f>
        <v>162769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162769</v>
      </c>
      <c r="C1241" s="2" t="s">
        <v>573</v>
      </c>
      <c r="D1241" s="2" t="str">
        <f t="shared" si="18"/>
        <v>Error?</v>
      </c>
    </row>
    <row r="1242" spans="1:4" x14ac:dyDescent="0.2">
      <c r="A1242" s="5">
        <v>1181</v>
      </c>
      <c r="B1242" s="138">
        <f>'Expenditures 15-22'!E151</f>
        <v>162769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268282</v>
      </c>
      <c r="D1245" s="2" t="str">
        <f t="shared" si="18"/>
        <v>Error?</v>
      </c>
    </row>
    <row r="1246" spans="1:4" x14ac:dyDescent="0.2">
      <c r="A1246" s="10">
        <v>1185</v>
      </c>
      <c r="D1246" s="2" t="str">
        <f t="shared" si="18"/>
        <v>OK</v>
      </c>
    </row>
    <row r="1247" spans="1:4" x14ac:dyDescent="0.2">
      <c r="A1247" s="5">
        <v>1186</v>
      </c>
      <c r="B1247" s="138">
        <f>'Expenditures 15-22'!F127</f>
        <v>268282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268282</v>
      </c>
      <c r="C1249" s="2" t="s">
        <v>573</v>
      </c>
      <c r="D1249" s="2" t="str">
        <f t="shared" si="18"/>
        <v>Error?</v>
      </c>
    </row>
    <row r="1250" spans="1:4" x14ac:dyDescent="0.2">
      <c r="A1250" s="5">
        <v>1189</v>
      </c>
      <c r="B1250" s="138">
        <f>'Expenditures 15-22'!F151</f>
        <v>268282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120745</v>
      </c>
      <c r="D1252" s="2" t="str">
        <f t="shared" si="18"/>
        <v>Error?</v>
      </c>
    </row>
    <row r="1253" spans="1:4" x14ac:dyDescent="0.2">
      <c r="A1253" s="5">
        <v>1192</v>
      </c>
      <c r="B1253" s="138">
        <f>'Expenditures 15-22'!G124</f>
        <v>37597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158342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158342</v>
      </c>
      <c r="C1258" s="2" t="s">
        <v>573</v>
      </c>
      <c r="D1258" s="2" t="str">
        <f t="shared" si="18"/>
        <v>Error?</v>
      </c>
    </row>
    <row r="1259" spans="1:4" x14ac:dyDescent="0.2">
      <c r="A1259" s="5">
        <v>1198</v>
      </c>
      <c r="B1259" s="138">
        <f>'Expenditures 15-22'!G151</f>
        <v>158342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120745</v>
      </c>
      <c r="C1275" s="2" t="s">
        <v>573</v>
      </c>
      <c r="D1275" s="2" t="str">
        <f t="shared" si="18"/>
        <v>Error?</v>
      </c>
    </row>
    <row r="1276" spans="1:4" x14ac:dyDescent="0.2">
      <c r="A1276" s="5">
        <v>1215</v>
      </c>
      <c r="B1276" s="138">
        <f>'Expenditures 15-22'!K124</f>
        <v>468648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589393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589393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589393</v>
      </c>
      <c r="C1288" s="2" t="s">
        <v>573</v>
      </c>
      <c r="D1288" s="2" t="str">
        <f t="shared" si="19"/>
        <v>Error?</v>
      </c>
    </row>
    <row r="1289" spans="1:4" x14ac:dyDescent="0.2">
      <c r="A1289" s="5">
        <v>1228</v>
      </c>
      <c r="B1289" s="138">
        <f>'Expenditures 15-22'!K152</f>
        <v>-69434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247616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253616</v>
      </c>
      <c r="C1339" s="2" t="s">
        <v>573</v>
      </c>
      <c r="D1339" s="2" t="str">
        <f t="shared" si="19"/>
        <v>Error?</v>
      </c>
    </row>
    <row r="1340" spans="1:4" x14ac:dyDescent="0.2">
      <c r="A1340" s="5">
        <v>1279</v>
      </c>
      <c r="B1340" s="138">
        <f>'Expenditures 15-22'!C210</f>
        <v>253616</v>
      </c>
      <c r="C1340" s="2" t="s">
        <v>573</v>
      </c>
      <c r="D1340" s="2" t="str">
        <f t="shared" si="19"/>
        <v>Error?</v>
      </c>
    </row>
    <row r="1341" spans="1:4" x14ac:dyDescent="0.2">
      <c r="A1341" s="5">
        <v>1280</v>
      </c>
      <c r="B1341" s="138">
        <f>'Expenditures 15-22'!D182</f>
        <v>29359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31524</v>
      </c>
      <c r="C1345" s="2" t="s">
        <v>573</v>
      </c>
      <c r="D1345" s="2" t="str">
        <f t="shared" si="20"/>
        <v>Error?</v>
      </c>
    </row>
    <row r="1346" spans="1:4" x14ac:dyDescent="0.2">
      <c r="A1346" s="5">
        <v>1285</v>
      </c>
      <c r="B1346" s="138">
        <f>'Expenditures 15-22'!D210</f>
        <v>31524</v>
      </c>
      <c r="C1346" s="2" t="s">
        <v>573</v>
      </c>
      <c r="D1346" s="2" t="str">
        <f t="shared" si="20"/>
        <v>Error?</v>
      </c>
    </row>
    <row r="1347" spans="1:4" x14ac:dyDescent="0.2">
      <c r="A1347" s="5">
        <v>1286</v>
      </c>
      <c r="B1347" s="138">
        <f>'Expenditures 15-22'!E182</f>
        <v>89608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89608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89608</v>
      </c>
      <c r="C1353" s="2" t="s">
        <v>573</v>
      </c>
      <c r="D1353" s="2" t="str">
        <f t="shared" si="20"/>
        <v>Error?</v>
      </c>
    </row>
    <row r="1354" spans="1:4" x14ac:dyDescent="0.2">
      <c r="A1354" s="5">
        <v>1293</v>
      </c>
      <c r="B1354" s="138">
        <f>'Expenditures 15-22'!F182</f>
        <v>119670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119670</v>
      </c>
      <c r="C1358" s="2" t="s">
        <v>573</v>
      </c>
      <c r="D1358" s="2" t="str">
        <f t="shared" si="20"/>
        <v>Error?</v>
      </c>
    </row>
    <row r="1359" spans="1:4" x14ac:dyDescent="0.2">
      <c r="A1359" s="5">
        <v>1298</v>
      </c>
      <c r="B1359" s="138">
        <f>'Expenditures 15-22'!F210</f>
        <v>119670</v>
      </c>
      <c r="C1359" s="2" t="s">
        <v>573</v>
      </c>
      <c r="D1359" s="2" t="str">
        <f t="shared" si="20"/>
        <v>Error?</v>
      </c>
    </row>
    <row r="1360" spans="1:4" x14ac:dyDescent="0.2">
      <c r="A1360" s="5">
        <v>1299</v>
      </c>
      <c r="B1360" s="138">
        <f>'Expenditures 15-22'!G182</f>
        <v>17484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17484</v>
      </c>
      <c r="C1364" s="2" t="s">
        <v>573</v>
      </c>
      <c r="D1364" s="2" t="str">
        <f t="shared" si="20"/>
        <v>Error?</v>
      </c>
    </row>
    <row r="1365" spans="1:4" x14ac:dyDescent="0.2">
      <c r="A1365" s="5">
        <v>1304</v>
      </c>
      <c r="B1365" s="138">
        <f>'Expenditures 15-22'!G210</f>
        <v>17484</v>
      </c>
      <c r="C1365" s="2" t="s">
        <v>573</v>
      </c>
      <c r="D1365" s="2" t="str">
        <f t="shared" si="20"/>
        <v>Error?</v>
      </c>
    </row>
    <row r="1366" spans="1:4" x14ac:dyDescent="0.2">
      <c r="A1366" s="5">
        <v>1305</v>
      </c>
      <c r="B1366" s="138">
        <f>'Expenditures 15-22'!H182</f>
        <v>411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411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411</v>
      </c>
      <c r="C1376" s="2" t="s">
        <v>573</v>
      </c>
      <c r="D1376" s="2" t="str">
        <f t="shared" si="20"/>
        <v>Error?</v>
      </c>
    </row>
    <row r="1377" spans="1:4" x14ac:dyDescent="0.2">
      <c r="A1377" s="5">
        <v>1316</v>
      </c>
      <c r="B1377" s="138">
        <f>'Expenditures 15-22'!K182</f>
        <v>504148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512313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512313</v>
      </c>
      <c r="C1388" s="2" t="s">
        <v>573</v>
      </c>
      <c r="D1388" s="2" t="str">
        <f t="shared" si="20"/>
        <v>Error?</v>
      </c>
    </row>
    <row r="1389" spans="1:4" x14ac:dyDescent="0.2">
      <c r="A1389" s="5">
        <v>1328</v>
      </c>
      <c r="B1389" s="138">
        <f>'Expenditures 15-22'!K211</f>
        <v>-47832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5710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83437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1367</v>
      </c>
      <c r="D1412" s="2" t="str">
        <f t="shared" si="21"/>
        <v>Error?</v>
      </c>
    </row>
    <row r="1413" spans="1:4" x14ac:dyDescent="0.2">
      <c r="A1413" s="5">
        <v>1352</v>
      </c>
      <c r="B1413" s="138">
        <f>'Expenditures 15-22'!D234</f>
        <v>5863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873</v>
      </c>
      <c r="D1415" s="2" t="str">
        <f t="shared" si="21"/>
        <v>Error?</v>
      </c>
    </row>
    <row r="1416" spans="1:4" x14ac:dyDescent="0.2">
      <c r="A1416" s="5">
        <v>1355</v>
      </c>
      <c r="B1416" s="138">
        <f>'Expenditures 15-22'!D237</f>
        <v>115</v>
      </c>
      <c r="D1416" s="2" t="str">
        <f t="shared" si="21"/>
        <v>Error?</v>
      </c>
    </row>
    <row r="1417" spans="1:4" x14ac:dyDescent="0.2">
      <c r="A1417" s="5">
        <v>1356</v>
      </c>
      <c r="B1417" s="138">
        <f>'Expenditures 15-22'!D238</f>
        <v>8218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2509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2509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10588</v>
      </c>
      <c r="D1423" s="2" t="str">
        <f t="shared" si="21"/>
        <v>Error?</v>
      </c>
    </row>
    <row r="1424" spans="1:4" x14ac:dyDescent="0.2">
      <c r="A1424" s="5">
        <v>1363</v>
      </c>
      <c r="B1424" s="138">
        <f>'Expenditures 15-22'!D257</f>
        <v>10622</v>
      </c>
      <c r="C1424" s="2" t="s">
        <v>573</v>
      </c>
      <c r="D1424" s="2" t="str">
        <f t="shared" si="21"/>
        <v>Error?</v>
      </c>
    </row>
    <row r="1425" spans="1:4" x14ac:dyDescent="0.2">
      <c r="A1425" s="5">
        <v>1364</v>
      </c>
      <c r="B1425" s="138">
        <f>'Expenditures 15-22'!D259</f>
        <v>12603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12603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30448</v>
      </c>
      <c r="D1431" s="2" t="str">
        <f t="shared" si="21"/>
        <v>Error?</v>
      </c>
    </row>
    <row r="1432" spans="1:4" x14ac:dyDescent="0.2">
      <c r="A1432" s="5">
        <v>1371</v>
      </c>
      <c r="B1432" s="138">
        <f>'Expenditures 15-22'!D267</f>
        <v>52235</v>
      </c>
      <c r="D1432" s="2" t="str">
        <f t="shared" si="21"/>
        <v>Error?</v>
      </c>
    </row>
    <row r="1433" spans="1:4" x14ac:dyDescent="0.2">
      <c r="A1433" s="5">
        <v>1372</v>
      </c>
      <c r="B1433" s="138">
        <f>'Expenditures 15-22'!D268</f>
        <v>18065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107016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10005</v>
      </c>
      <c r="D1442" s="2" t="str">
        <f t="shared" si="21"/>
        <v>Error?</v>
      </c>
    </row>
    <row r="1443" spans="1:4" x14ac:dyDescent="0.2">
      <c r="A1443" s="10">
        <v>1382</v>
      </c>
      <c r="D1443" s="2" t="str">
        <f t="shared" si="21"/>
        <v>OK</v>
      </c>
    </row>
    <row r="1444" spans="1:4" x14ac:dyDescent="0.2">
      <c r="A1444" s="5">
        <v>1383</v>
      </c>
      <c r="B1444" s="138">
        <f>'Expenditures 15-22'!D277</f>
        <v>10005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150973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234410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5710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83437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1367</v>
      </c>
      <c r="C1476" s="2" t="s">
        <v>573</v>
      </c>
      <c r="D1476" s="2" t="str">
        <f t="shared" si="22"/>
        <v>Error?</v>
      </c>
    </row>
    <row r="1477" spans="1:4" x14ac:dyDescent="0.2">
      <c r="A1477" s="5">
        <v>1416</v>
      </c>
      <c r="B1477" s="138">
        <f>'Expenditures 15-22'!K234</f>
        <v>5863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873</v>
      </c>
      <c r="C1479" s="2" t="s">
        <v>573</v>
      </c>
      <c r="D1479" s="2" t="str">
        <f t="shared" si="22"/>
        <v>Error?</v>
      </c>
    </row>
    <row r="1480" spans="1:4" x14ac:dyDescent="0.2">
      <c r="A1480" s="5">
        <v>1419</v>
      </c>
      <c r="B1480" s="138">
        <f>'Expenditures 15-22'!K237</f>
        <v>115</v>
      </c>
      <c r="C1480" s="2" t="s">
        <v>573</v>
      </c>
      <c r="D1480" s="2" t="str">
        <f t="shared" si="22"/>
        <v>Error?</v>
      </c>
    </row>
    <row r="1481" spans="1:4" x14ac:dyDescent="0.2">
      <c r="A1481" s="5">
        <v>1420</v>
      </c>
      <c r="B1481" s="138">
        <f>'Expenditures 15-22'!K238</f>
        <v>8218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2509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2509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10588</v>
      </c>
      <c r="C1487" s="2" t="s">
        <v>573</v>
      </c>
      <c r="D1487" s="2" t="str">
        <f t="shared" si="22"/>
        <v>Error?</v>
      </c>
    </row>
    <row r="1488" spans="1:4" x14ac:dyDescent="0.2">
      <c r="A1488" s="5">
        <v>1427</v>
      </c>
      <c r="B1488" s="138">
        <f>'Expenditures 15-22'!K257</f>
        <v>10622</v>
      </c>
      <c r="C1488" s="2" t="s">
        <v>573</v>
      </c>
      <c r="D1488" s="2" t="str">
        <f t="shared" si="22"/>
        <v>Error?</v>
      </c>
    </row>
    <row r="1489" spans="1:4" x14ac:dyDescent="0.2">
      <c r="A1489" s="5">
        <v>1428</v>
      </c>
      <c r="B1489" s="138">
        <f>'Expenditures 15-22'!K259</f>
        <v>12603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12603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6268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30448</v>
      </c>
      <c r="C1495" s="2" t="s">
        <v>573</v>
      </c>
      <c r="D1495" s="2" t="str">
        <f t="shared" si="22"/>
        <v>Error?</v>
      </c>
    </row>
    <row r="1496" spans="1:4" x14ac:dyDescent="0.2">
      <c r="A1496" s="5">
        <v>1435</v>
      </c>
      <c r="B1496" s="138">
        <f>'Expenditures 15-22'!K267</f>
        <v>52235</v>
      </c>
      <c r="C1496" s="2" t="s">
        <v>573</v>
      </c>
      <c r="D1496" s="2" t="str">
        <f t="shared" si="22"/>
        <v>Error?</v>
      </c>
    </row>
    <row r="1497" spans="1:4" x14ac:dyDescent="0.2">
      <c r="A1497" s="5">
        <v>1436</v>
      </c>
      <c r="B1497" s="138">
        <f>'Expenditures 15-22'!K268</f>
        <v>18065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107016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10005</v>
      </c>
      <c r="C1506" s="2" t="s">
        <v>573</v>
      </c>
      <c r="D1506" s="2" t="str">
        <f t="shared" si="22"/>
        <v>Error?</v>
      </c>
    </row>
    <row r="1507" spans="1:4" x14ac:dyDescent="0.2">
      <c r="A1507" s="10">
        <v>1446</v>
      </c>
      <c r="D1507" s="2" t="str">
        <f t="shared" si="22"/>
        <v>OK</v>
      </c>
    </row>
    <row r="1508" spans="1:4" x14ac:dyDescent="0.2">
      <c r="A1508" s="5">
        <v>1447</v>
      </c>
      <c r="B1508" s="138">
        <f>'Expenditures 15-22'!K277</f>
        <v>10005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150973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234410</v>
      </c>
      <c r="C1517" s="2" t="s">
        <v>573</v>
      </c>
      <c r="D1517" s="2" t="str">
        <f t="shared" si="22"/>
        <v>Error?</v>
      </c>
    </row>
    <row r="1518" spans="1:4" x14ac:dyDescent="0.2">
      <c r="A1518" s="5">
        <v>1457</v>
      </c>
      <c r="B1518" s="138">
        <f>'Expenditures 15-22'!K296</f>
        <v>79749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1868346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2189146</v>
      </c>
      <c r="C1630" s="2" t="s">
        <v>573</v>
      </c>
      <c r="D1630" s="2" t="str">
        <f t="shared" si="24"/>
        <v>Error?</v>
      </c>
    </row>
    <row r="1631" spans="1:4" x14ac:dyDescent="0.2">
      <c r="A1631" s="5">
        <v>1570</v>
      </c>
      <c r="B1631" s="138">
        <f>'Acct Summary 7-8'!D79</f>
        <v>796469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727035</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57440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9608</v>
      </c>
      <c r="C1672" s="2" t="s">
        <v>573</v>
      </c>
      <c r="D1672" s="2" t="str">
        <f t="shared" si="25"/>
        <v>Error?</v>
      </c>
    </row>
    <row r="1673" spans="1:4" x14ac:dyDescent="0.2">
      <c r="A1673" s="5">
        <v>1612</v>
      </c>
      <c r="B1673" s="138">
        <f>'Acct Summary 7-8'!G79</f>
        <v>100104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179853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1747987</v>
      </c>
      <c r="C1744" s="2" t="s">
        <v>573</v>
      </c>
      <c r="D1744" s="2" t="str">
        <f t="shared" si="26"/>
        <v>Error?</v>
      </c>
    </row>
    <row r="1745" spans="1:5" x14ac:dyDescent="0.2">
      <c r="A1745" s="5">
        <v>1684</v>
      </c>
      <c r="B1745" s="138">
        <f>'Tax Sched 23'!B5</f>
        <v>474997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190000</v>
      </c>
      <c r="C1747" s="2" t="s">
        <v>573</v>
      </c>
      <c r="D1747" s="2" t="str">
        <f t="shared" si="26"/>
        <v>Error?</v>
      </c>
    </row>
    <row r="1748" spans="1:5" x14ac:dyDescent="0.2">
      <c r="A1748" s="5">
        <v>1687</v>
      </c>
      <c r="B1748" s="138">
        <f>'Tax Sched 23'!B8</f>
        <v>150147</v>
      </c>
      <c r="C1748" s="2" t="s">
        <v>573</v>
      </c>
      <c r="D1748" s="2" t="str">
        <f t="shared" si="26"/>
        <v>Error?</v>
      </c>
    </row>
    <row r="1749" spans="1:5" x14ac:dyDescent="0.2">
      <c r="A1749" s="5">
        <v>1688</v>
      </c>
      <c r="B1749" s="138">
        <f>'Tax Sched 23'!B10</f>
        <v>47500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590563</v>
      </c>
      <c r="C1752" s="2" t="s">
        <v>573</v>
      </c>
      <c r="D1752" s="2" t="str">
        <f t="shared" si="26"/>
        <v>Error?</v>
      </c>
    </row>
    <row r="1753" spans="1:5" x14ac:dyDescent="0.2">
      <c r="A1753" s="5">
        <v>1692</v>
      </c>
      <c r="B1753" s="138">
        <f>'Tax Sched 23'!B12</f>
        <v>47500</v>
      </c>
      <c r="C1753" s="2" t="s">
        <v>573</v>
      </c>
      <c r="D1753" s="2" t="str">
        <f t="shared" si="26"/>
        <v>Error?</v>
      </c>
    </row>
    <row r="1754" spans="1:5" x14ac:dyDescent="0.2">
      <c r="A1754" s="5">
        <v>1693</v>
      </c>
      <c r="B1754" s="138">
        <f>'Tax Sched 23'!B14</f>
        <v>38001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3461847</v>
      </c>
      <c r="C1759" s="2" t="s">
        <v>573</v>
      </c>
      <c r="D1759" s="2" t="str">
        <f t="shared" si="26"/>
        <v>Error?</v>
      </c>
    </row>
    <row r="1760" spans="1:5" x14ac:dyDescent="0.2">
      <c r="A1760" s="5">
        <v>1699</v>
      </c>
      <c r="B1760" s="138">
        <f>'Tax Sched 23'!D4</f>
        <v>1747987</v>
      </c>
      <c r="C1760" s="2" t="s">
        <v>573</v>
      </c>
      <c r="D1760" s="2" t="str">
        <f t="shared" si="26"/>
        <v>Error?</v>
      </c>
    </row>
    <row r="1761" spans="1:5" x14ac:dyDescent="0.2">
      <c r="A1761" s="5">
        <v>1700</v>
      </c>
      <c r="B1761" s="138">
        <f>'Tax Sched 23'!D5</f>
        <v>474997</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190000</v>
      </c>
      <c r="C1763" s="2" t="s">
        <v>573</v>
      </c>
      <c r="D1763" s="2" t="str">
        <f t="shared" si="26"/>
        <v>Error?</v>
      </c>
    </row>
    <row r="1764" spans="1:5" x14ac:dyDescent="0.2">
      <c r="A1764" s="5">
        <v>1703</v>
      </c>
      <c r="B1764" s="138">
        <f>'Tax Sched 23'!D8</f>
        <v>150147</v>
      </c>
      <c r="C1764" s="2" t="s">
        <v>573</v>
      </c>
      <c r="D1764" s="2" t="str">
        <f t="shared" si="26"/>
        <v>Error?</v>
      </c>
    </row>
    <row r="1765" spans="1:5" x14ac:dyDescent="0.2">
      <c r="A1765" s="5">
        <v>1704</v>
      </c>
      <c r="B1765" s="138">
        <f>'Tax Sched 23'!D10</f>
        <v>47500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590563</v>
      </c>
      <c r="C1768" s="2" t="s">
        <v>573</v>
      </c>
      <c r="D1768" s="2" t="str">
        <f t="shared" si="26"/>
        <v>Error?</v>
      </c>
    </row>
    <row r="1769" spans="1:5" x14ac:dyDescent="0.2">
      <c r="A1769" s="5">
        <v>1708</v>
      </c>
      <c r="B1769" s="138">
        <f>'Tax Sched 23'!D12</f>
        <v>47500</v>
      </c>
      <c r="C1769" s="2" t="s">
        <v>573</v>
      </c>
      <c r="D1769" s="2" t="str">
        <f t="shared" si="26"/>
        <v>Error?</v>
      </c>
    </row>
    <row r="1770" spans="1:5" x14ac:dyDescent="0.2">
      <c r="A1770" s="5">
        <v>1709</v>
      </c>
      <c r="B1770" s="138">
        <f>'Tax Sched 23'!D14</f>
        <v>38001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3461847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1833646</v>
      </c>
      <c r="C1792" s="2" t="s">
        <v>573</v>
      </c>
      <c r="D1792" s="2" t="str">
        <f t="shared" si="27"/>
        <v>Error?</v>
      </c>
    </row>
    <row r="1793" spans="1:4" x14ac:dyDescent="0.2">
      <c r="A1793" s="5">
        <v>1732</v>
      </c>
      <c r="B1793" s="138">
        <f>'Tax Sched 23'!F5</f>
        <v>498278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202281</v>
      </c>
      <c r="C1795" s="2" t="s">
        <v>573</v>
      </c>
      <c r="D1795" s="2" t="str">
        <f t="shared" si="27"/>
        <v>Error?</v>
      </c>
    </row>
    <row r="1796" spans="1:4" x14ac:dyDescent="0.2">
      <c r="A1796" s="5">
        <v>1735</v>
      </c>
      <c r="B1796" s="138">
        <f>'Tax Sched 23'!F8</f>
        <v>155817</v>
      </c>
      <c r="C1796" s="2" t="s">
        <v>573</v>
      </c>
      <c r="D1796" s="2" t="str">
        <f t="shared" si="27"/>
        <v>Error?</v>
      </c>
    </row>
    <row r="1797" spans="1:4" x14ac:dyDescent="0.2">
      <c r="A1797" s="5">
        <v>1736</v>
      </c>
      <c r="B1797" s="138">
        <f>'Tax Sched 23'!F10</f>
        <v>49832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613751</v>
      </c>
      <c r="C1800" s="2" t="s">
        <v>573</v>
      </c>
      <c r="D1800" s="2" t="str">
        <f t="shared" si="27"/>
        <v>Error?</v>
      </c>
    </row>
    <row r="1801" spans="1:4" x14ac:dyDescent="0.2">
      <c r="A1801" s="5">
        <v>1740</v>
      </c>
      <c r="B1801" s="138">
        <f>'Tax Sched 23'!F12</f>
        <v>49832</v>
      </c>
      <c r="C1801" s="2" t="s">
        <v>573</v>
      </c>
      <c r="D1801" s="2" t="str">
        <f t="shared" si="27"/>
        <v>Error?</v>
      </c>
    </row>
    <row r="1802" spans="1:4" x14ac:dyDescent="0.2">
      <c r="A1802" s="5">
        <v>1741</v>
      </c>
      <c r="B1802" s="138">
        <f>'Tax Sched 23'!F14</f>
        <v>39869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3625359</v>
      </c>
      <c r="C1807" s="2" t="s">
        <v>573</v>
      </c>
      <c r="D1807" s="2" t="str">
        <f t="shared" si="27"/>
        <v>Error?</v>
      </c>
    </row>
    <row r="1808" spans="1:4" x14ac:dyDescent="0.2">
      <c r="A1808" s="5">
        <v>1747</v>
      </c>
      <c r="B1808" s="138">
        <f>'Tax Sched 23'!E4</f>
        <v>1833646</v>
      </c>
      <c r="D1808" s="2" t="str">
        <f t="shared" si="27"/>
        <v>Error?</v>
      </c>
    </row>
    <row r="1809" spans="1:4" x14ac:dyDescent="0.2">
      <c r="A1809" s="5">
        <v>1748</v>
      </c>
      <c r="B1809" s="138">
        <f>'Tax Sched 23'!E5</f>
        <v>498278</v>
      </c>
      <c r="D1809" s="2" t="str">
        <f t="shared" si="27"/>
        <v>Error?</v>
      </c>
    </row>
    <row r="1810" spans="1:4" x14ac:dyDescent="0.2">
      <c r="A1810" s="5">
        <v>1749</v>
      </c>
      <c r="B1810" s="138">
        <f>'Tax Sched 23'!E6</f>
        <v>0</v>
      </c>
      <c r="D1810" s="2" t="str">
        <f t="shared" si="27"/>
        <v>Error?</v>
      </c>
    </row>
    <row r="1811" spans="1:4" x14ac:dyDescent="0.2">
      <c r="A1811" s="5">
        <v>1750</v>
      </c>
      <c r="B1811" s="138">
        <f>'Tax Sched 23'!E7</f>
        <v>202281</v>
      </c>
      <c r="D1811" s="2" t="str">
        <f t="shared" si="27"/>
        <v>Error?</v>
      </c>
    </row>
    <row r="1812" spans="1:4" x14ac:dyDescent="0.2">
      <c r="A1812" s="5">
        <v>1751</v>
      </c>
      <c r="B1812" s="138">
        <f>'Tax Sched 23'!E8</f>
        <v>155817</v>
      </c>
      <c r="D1812" s="2" t="str">
        <f t="shared" si="27"/>
        <v>Error?</v>
      </c>
    </row>
    <row r="1813" spans="1:4" x14ac:dyDescent="0.2">
      <c r="A1813" s="5">
        <v>1752</v>
      </c>
      <c r="B1813" s="138">
        <f>'Tax Sched 23'!E10</f>
        <v>49832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613751</v>
      </c>
      <c r="D1816" s="2" t="str">
        <f t="shared" si="27"/>
        <v>Error?</v>
      </c>
    </row>
    <row r="1817" spans="1:4" x14ac:dyDescent="0.2">
      <c r="A1817" s="5">
        <v>1756</v>
      </c>
      <c r="B1817" s="138">
        <f>'Tax Sched 23'!E12</f>
        <v>49832</v>
      </c>
      <c r="D1817" s="2" t="str">
        <f t="shared" si="27"/>
        <v>Error?</v>
      </c>
    </row>
    <row r="1818" spans="1:4" x14ac:dyDescent="0.2">
      <c r="A1818" s="5">
        <v>1757</v>
      </c>
      <c r="B1818" s="138">
        <f>'Tax Sched 23'!E14</f>
        <v>39869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3625359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38001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38001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38001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29802</v>
      </c>
      <c r="D2008" s="2" t="str">
        <f t="shared" si="30"/>
        <v>Error?</v>
      </c>
    </row>
    <row r="2009" spans="1:4" x14ac:dyDescent="0.2">
      <c r="A2009" s="5">
        <v>1948</v>
      </c>
      <c r="B2009" s="138">
        <f>'Cap Outlay Deprec 26'!C8</f>
        <v>9945486</v>
      </c>
      <c r="D2009" s="2" t="str">
        <f t="shared" si="30"/>
        <v>Error?</v>
      </c>
    </row>
    <row r="2010" spans="1:4" x14ac:dyDescent="0.2">
      <c r="A2010" s="5">
        <v>1949</v>
      </c>
      <c r="B2010" s="138">
        <f>'Cap Outlay Deprec 26'!C10</f>
        <v>1159873</v>
      </c>
      <c r="D2010" s="2" t="str">
        <f t="shared" si="30"/>
        <v>Error?</v>
      </c>
    </row>
    <row r="2011" spans="1:4" x14ac:dyDescent="0.2">
      <c r="A2011" s="5">
        <v>1950</v>
      </c>
      <c r="B2011" s="138">
        <f>'Cap Outlay Deprec 26'!C12</f>
        <v>727846</v>
      </c>
      <c r="D2011" s="2" t="str">
        <f t="shared" si="30"/>
        <v>Error?</v>
      </c>
    </row>
    <row r="2012" spans="1:4" x14ac:dyDescent="0.2">
      <c r="A2012" s="5">
        <v>1951</v>
      </c>
      <c r="B2012" s="138">
        <f>'Cap Outlay Deprec 26'!C13</f>
        <v>815625</v>
      </c>
      <c r="D2012" s="2" t="str">
        <f t="shared" si="30"/>
        <v>Error?</v>
      </c>
    </row>
    <row r="2013" spans="1:4" x14ac:dyDescent="0.2">
      <c r="A2013" s="5">
        <v>1952</v>
      </c>
      <c r="B2013" s="138">
        <f>'Cap Outlay Deprec 26'!C16</f>
        <v>12686227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37464</v>
      </c>
      <c r="D2015" s="2" t="str">
        <f t="shared" si="30"/>
        <v>Error?</v>
      </c>
    </row>
    <row r="2016" spans="1:4" x14ac:dyDescent="0.2">
      <c r="A2016" s="5">
        <v>1955</v>
      </c>
      <c r="B2016" s="138">
        <f>'Cap Outlay Deprec 26'!D10</f>
        <v>24500</v>
      </c>
      <c r="D2016" s="2" t="str">
        <f t="shared" si="30"/>
        <v>Error?</v>
      </c>
    </row>
    <row r="2017" spans="1:4" x14ac:dyDescent="0.2">
      <c r="A2017" s="5">
        <v>1956</v>
      </c>
      <c r="B2017" s="138">
        <f>'Cap Outlay Deprec 26'!D12</f>
        <v>173076</v>
      </c>
      <c r="D2017" s="2" t="str">
        <f t="shared" si="30"/>
        <v>Error?</v>
      </c>
    </row>
    <row r="2018" spans="1:4" x14ac:dyDescent="0.2">
      <c r="A2018" s="5">
        <v>1957</v>
      </c>
      <c r="B2018" s="138">
        <f>'Cap Outlay Deprec 26'!D13</f>
        <v>17484</v>
      </c>
      <c r="D2018" s="2" t="str">
        <f t="shared" si="30"/>
        <v>Error?</v>
      </c>
    </row>
    <row r="2019" spans="1:4" x14ac:dyDescent="0.2">
      <c r="A2019" s="5">
        <v>1958</v>
      </c>
      <c r="B2019" s="138">
        <f>'Cap Outlay Deprec 26'!D16</f>
        <v>252524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9360</v>
      </c>
      <c r="D2022" s="2" t="str">
        <f t="shared" si="30"/>
        <v>Error?</v>
      </c>
    </row>
    <row r="2023" spans="1:4" x14ac:dyDescent="0.2">
      <c r="A2023" s="5">
        <v>1962</v>
      </c>
      <c r="B2023" s="138">
        <f>'Cap Outlay Deprec 26'!E12</f>
        <v>67384</v>
      </c>
      <c r="D2023" s="2" t="str">
        <f t="shared" si="30"/>
        <v>Error?</v>
      </c>
    </row>
    <row r="2024" spans="1:4" x14ac:dyDescent="0.2">
      <c r="A2024" s="5">
        <v>1963</v>
      </c>
      <c r="B2024" s="138">
        <f>'Cap Outlay Deprec 26'!E13</f>
        <v>159578</v>
      </c>
      <c r="D2024" s="2" t="str">
        <f t="shared" si="30"/>
        <v>Error?</v>
      </c>
    </row>
    <row r="2025" spans="1:4" x14ac:dyDescent="0.2">
      <c r="A2025" s="5">
        <v>1964</v>
      </c>
      <c r="B2025" s="138">
        <f>'Cap Outlay Deprec 26'!E16</f>
        <v>236322</v>
      </c>
      <c r="C2025" s="2" t="s">
        <v>573</v>
      </c>
      <c r="D2025" s="2" t="str">
        <f t="shared" si="30"/>
        <v>Error?</v>
      </c>
    </row>
    <row r="2026" spans="1:4" x14ac:dyDescent="0.2">
      <c r="A2026" s="5">
        <v>1965</v>
      </c>
      <c r="B2026" s="138">
        <f>'Cap Outlay Deprec 26'!F5</f>
        <v>29802</v>
      </c>
      <c r="C2026" s="2" t="s">
        <v>573</v>
      </c>
      <c r="D2026" s="2" t="str">
        <f t="shared" si="30"/>
        <v>Error?</v>
      </c>
    </row>
    <row r="2027" spans="1:4" x14ac:dyDescent="0.2">
      <c r="A2027" s="5">
        <v>1966</v>
      </c>
      <c r="B2027" s="138">
        <f>'Cap Outlay Deprec 26'!F8</f>
        <v>9982950</v>
      </c>
      <c r="C2027" s="2" t="s">
        <v>573</v>
      </c>
      <c r="D2027" s="2" t="str">
        <f t="shared" si="30"/>
        <v>Error?</v>
      </c>
    </row>
    <row r="2028" spans="1:4" x14ac:dyDescent="0.2">
      <c r="A2028" s="5">
        <v>1967</v>
      </c>
      <c r="B2028" s="138">
        <f>'Cap Outlay Deprec 26'!F10</f>
        <v>1175013</v>
      </c>
      <c r="C2028" s="2" t="s">
        <v>573</v>
      </c>
      <c r="D2028" s="2" t="str">
        <f t="shared" si="30"/>
        <v>Error?</v>
      </c>
    </row>
    <row r="2029" spans="1:4" x14ac:dyDescent="0.2">
      <c r="A2029" s="5">
        <v>1968</v>
      </c>
      <c r="B2029" s="138">
        <f>'Cap Outlay Deprec 26'!F12</f>
        <v>833538</v>
      </c>
      <c r="C2029" s="2" t="s">
        <v>573</v>
      </c>
      <c r="D2029" s="2" t="str">
        <f t="shared" si="30"/>
        <v>Error?</v>
      </c>
    </row>
    <row r="2030" spans="1:4" x14ac:dyDescent="0.2">
      <c r="A2030" s="5">
        <v>1969</v>
      </c>
      <c r="B2030" s="138">
        <f>'Cap Outlay Deprec 26'!F13</f>
        <v>673531</v>
      </c>
      <c r="C2030" s="2" t="s">
        <v>573</v>
      </c>
      <c r="D2030" s="2" t="str">
        <f t="shared" si="30"/>
        <v>Error?</v>
      </c>
    </row>
    <row r="2031" spans="1:4" x14ac:dyDescent="0.2">
      <c r="A2031" s="5">
        <v>1970</v>
      </c>
      <c r="B2031" s="138">
        <f>'Cap Outlay Deprec 26'!F16</f>
        <v>12702429</v>
      </c>
      <c r="C2031" s="2" t="s">
        <v>573</v>
      </c>
      <c r="D2031" s="2" t="str">
        <f t="shared" si="30"/>
        <v>Error?</v>
      </c>
    </row>
    <row r="2032" spans="1:4" x14ac:dyDescent="0.2">
      <c r="A2032" s="10">
        <v>1971</v>
      </c>
      <c r="D2032" s="2" t="str">
        <f t="shared" si="30"/>
        <v>OK</v>
      </c>
    </row>
    <row r="2033" spans="1:4" x14ac:dyDescent="0.2">
      <c r="A2033" s="5">
        <v>1972</v>
      </c>
      <c r="B2033" s="138">
        <f>'Cap Outlay Deprec 26'!H8</f>
        <v>4991942</v>
      </c>
      <c r="D2033" s="2" t="str">
        <f t="shared" si="30"/>
        <v>Error?</v>
      </c>
    </row>
    <row r="2034" spans="1:4" x14ac:dyDescent="0.2">
      <c r="A2034" s="5">
        <v>1973</v>
      </c>
      <c r="B2034" s="138">
        <f>'Cap Outlay Deprec 26'!H10</f>
        <v>617480</v>
      </c>
      <c r="D2034" s="2" t="str">
        <f t="shared" si="30"/>
        <v>Error?</v>
      </c>
    </row>
    <row r="2035" spans="1:4" x14ac:dyDescent="0.2">
      <c r="A2035" s="5">
        <v>1974</v>
      </c>
      <c r="B2035" s="138">
        <f>'Cap Outlay Deprec 26'!H12</f>
        <v>485543</v>
      </c>
      <c r="D2035" s="2" t="str">
        <f t="shared" si="30"/>
        <v>Error?</v>
      </c>
    </row>
    <row r="2036" spans="1:4" x14ac:dyDescent="0.2">
      <c r="A2036" s="5">
        <v>1975</v>
      </c>
      <c r="B2036" s="138">
        <f>'Cap Outlay Deprec 26'!H13</f>
        <v>678850</v>
      </c>
      <c r="D2036" s="2" t="str">
        <f t="shared" si="30"/>
        <v>Error?</v>
      </c>
    </row>
    <row r="2037" spans="1:4" x14ac:dyDescent="0.2">
      <c r="A2037" s="5">
        <v>1976</v>
      </c>
      <c r="B2037" s="138">
        <f>'Cap Outlay Deprec 26'!H16</f>
        <v>6780145</v>
      </c>
      <c r="C2037" s="2" t="s">
        <v>573</v>
      </c>
      <c r="D2037" s="2" t="str">
        <f t="shared" si="30"/>
        <v>Error?</v>
      </c>
    </row>
    <row r="2038" spans="1:4" x14ac:dyDescent="0.2">
      <c r="A2038" s="10">
        <v>1977</v>
      </c>
      <c r="D2038" s="2" t="str">
        <f t="shared" si="30"/>
        <v>OK</v>
      </c>
    </row>
    <row r="2039" spans="1:4" x14ac:dyDescent="0.2">
      <c r="A2039" s="5">
        <v>1978</v>
      </c>
      <c r="B2039" s="138">
        <f>'Cap Outlay Deprec 26'!I8</f>
        <v>199284</v>
      </c>
      <c r="D2039" s="2" t="str">
        <f t="shared" si="30"/>
        <v>Error?</v>
      </c>
    </row>
    <row r="2040" spans="1:4" x14ac:dyDescent="0.2">
      <c r="A2040" s="5">
        <v>1979</v>
      </c>
      <c r="B2040" s="138">
        <f>'Cap Outlay Deprec 26'!I10</f>
        <v>57968</v>
      </c>
      <c r="D2040" s="2" t="str">
        <f t="shared" si="30"/>
        <v>Error?</v>
      </c>
    </row>
    <row r="2041" spans="1:4" x14ac:dyDescent="0.2">
      <c r="A2041" s="5">
        <v>1980</v>
      </c>
      <c r="B2041" s="138">
        <f>'Cap Outlay Deprec 26'!I12</f>
        <v>74700</v>
      </c>
      <c r="D2041" s="2" t="str">
        <f t="shared" si="30"/>
        <v>Error?</v>
      </c>
    </row>
    <row r="2042" spans="1:4" x14ac:dyDescent="0.2">
      <c r="A2042" s="5">
        <v>1981</v>
      </c>
      <c r="B2042" s="138">
        <f>'Cap Outlay Deprec 26'!I13</f>
        <v>53573</v>
      </c>
      <c r="D2042" s="2" t="str">
        <f t="shared" si="30"/>
        <v>Error?</v>
      </c>
    </row>
    <row r="2043" spans="1:4" x14ac:dyDescent="0.2">
      <c r="A2043" s="5">
        <v>1982</v>
      </c>
      <c r="B2043" s="138">
        <f>'Cap Outlay Deprec 26'!I16</f>
        <v>386790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9360</v>
      </c>
      <c r="D2046" s="2" t="str">
        <f t="shared" si="30"/>
        <v>Error?</v>
      </c>
    </row>
    <row r="2047" spans="1:4" x14ac:dyDescent="0.2">
      <c r="A2047" s="5">
        <v>1986</v>
      </c>
      <c r="B2047" s="138">
        <f>'Cap Outlay Deprec 26'!J12</f>
        <v>67384</v>
      </c>
      <c r="D2047" s="2" t="str">
        <f t="shared" ref="D2047:D2110" si="31">IF(ISBLANK(B2047),"OK",IF(A2047-B2047=0,"OK","Error?"))</f>
        <v>Error?</v>
      </c>
    </row>
    <row r="2048" spans="1:4" x14ac:dyDescent="0.2">
      <c r="A2048" s="5">
        <v>1987</v>
      </c>
      <c r="B2048" s="138">
        <f>'Cap Outlay Deprec 26'!J13</f>
        <v>159578</v>
      </c>
      <c r="D2048" s="2" t="str">
        <f t="shared" si="31"/>
        <v>Error?</v>
      </c>
    </row>
    <row r="2049" spans="1:4" x14ac:dyDescent="0.2">
      <c r="A2049" s="5">
        <v>1988</v>
      </c>
      <c r="B2049" s="138">
        <f>'Cap Outlay Deprec 26'!J16</f>
        <v>236322</v>
      </c>
      <c r="C2049" s="2" t="s">
        <v>573</v>
      </c>
      <c r="D2049" s="2" t="str">
        <f t="shared" si="31"/>
        <v>Error?</v>
      </c>
    </row>
    <row r="2050" spans="1:4" x14ac:dyDescent="0.2">
      <c r="A2050" s="10">
        <v>1989</v>
      </c>
      <c r="D2050" s="2" t="str">
        <f t="shared" si="31"/>
        <v>OK</v>
      </c>
    </row>
    <row r="2051" spans="1:4" x14ac:dyDescent="0.2">
      <c r="A2051" s="5">
        <v>1990</v>
      </c>
      <c r="B2051" s="138">
        <f>'Cap Outlay Deprec 26'!K8</f>
        <v>5191226</v>
      </c>
      <c r="C2051" s="2" t="s">
        <v>573</v>
      </c>
      <c r="D2051" s="2" t="str">
        <f t="shared" si="31"/>
        <v>Error?</v>
      </c>
    </row>
    <row r="2052" spans="1:4" x14ac:dyDescent="0.2">
      <c r="A2052" s="5">
        <v>1991</v>
      </c>
      <c r="B2052" s="138">
        <f>'Cap Outlay Deprec 26'!K10</f>
        <v>666088</v>
      </c>
      <c r="C2052" s="2" t="s">
        <v>573</v>
      </c>
      <c r="D2052" s="2" t="str">
        <f t="shared" si="31"/>
        <v>Error?</v>
      </c>
    </row>
    <row r="2053" spans="1:4" x14ac:dyDescent="0.2">
      <c r="A2053" s="5">
        <v>1992</v>
      </c>
      <c r="B2053" s="138">
        <f>'Cap Outlay Deprec 26'!K12</f>
        <v>492859</v>
      </c>
      <c r="C2053" s="2" t="s">
        <v>573</v>
      </c>
      <c r="D2053" s="2" t="str">
        <f t="shared" si="31"/>
        <v>Error?</v>
      </c>
    </row>
    <row r="2054" spans="1:4" x14ac:dyDescent="0.2">
      <c r="A2054" s="5">
        <v>1993</v>
      </c>
      <c r="B2054" s="138">
        <f>'Cap Outlay Deprec 26'!K13</f>
        <v>572845</v>
      </c>
      <c r="C2054" s="2" t="s">
        <v>573</v>
      </c>
      <c r="D2054" s="2" t="str">
        <f t="shared" si="31"/>
        <v>Error?</v>
      </c>
    </row>
    <row r="2055" spans="1:4" x14ac:dyDescent="0.2">
      <c r="A2055" s="5">
        <v>1994</v>
      </c>
      <c r="B2055" s="138">
        <f>'Cap Outlay Deprec 26'!K16</f>
        <v>6930613</v>
      </c>
      <c r="C2055" s="2" t="s">
        <v>573</v>
      </c>
      <c r="D2055" s="2" t="str">
        <f t="shared" si="31"/>
        <v>Error?</v>
      </c>
    </row>
    <row r="2056" spans="1:4" x14ac:dyDescent="0.2">
      <c r="A2056" s="5">
        <v>1995</v>
      </c>
      <c r="B2056" s="138">
        <f>'Cap Outlay Deprec 26'!L5</f>
        <v>29802</v>
      </c>
      <c r="C2056" s="2" t="s">
        <v>573</v>
      </c>
      <c r="D2056" s="2" t="str">
        <f t="shared" si="31"/>
        <v>Error?</v>
      </c>
    </row>
    <row r="2057" spans="1:4" x14ac:dyDescent="0.2">
      <c r="A2057" s="5">
        <v>1996</v>
      </c>
      <c r="B2057" s="138">
        <f>'Cap Outlay Deprec 26'!L8</f>
        <v>4791724</v>
      </c>
      <c r="C2057" s="2" t="s">
        <v>573</v>
      </c>
      <c r="D2057" s="2" t="str">
        <f t="shared" si="31"/>
        <v>Error?</v>
      </c>
    </row>
    <row r="2058" spans="1:4" x14ac:dyDescent="0.2">
      <c r="A2058" s="5">
        <v>1997</v>
      </c>
      <c r="B2058" s="138">
        <f>'Cap Outlay Deprec 26'!L10</f>
        <v>508925</v>
      </c>
      <c r="C2058" s="2" t="s">
        <v>573</v>
      </c>
      <c r="D2058" s="2" t="str">
        <f t="shared" si="31"/>
        <v>Error?</v>
      </c>
    </row>
    <row r="2059" spans="1:4" x14ac:dyDescent="0.2">
      <c r="A2059" s="5">
        <v>1998</v>
      </c>
      <c r="B2059" s="138">
        <f>'Cap Outlay Deprec 26'!L12</f>
        <v>340679</v>
      </c>
      <c r="C2059" s="2" t="s">
        <v>573</v>
      </c>
      <c r="D2059" s="2" t="str">
        <f t="shared" si="31"/>
        <v>Error?</v>
      </c>
    </row>
    <row r="2060" spans="1:4" x14ac:dyDescent="0.2">
      <c r="A2060" s="5">
        <v>1999</v>
      </c>
      <c r="B2060" s="138">
        <f>'Cap Outlay Deprec 26'!L13</f>
        <v>100686</v>
      </c>
      <c r="C2060" s="2" t="s">
        <v>573</v>
      </c>
      <c r="D2060" s="2" t="str">
        <f t="shared" si="31"/>
        <v>Error?</v>
      </c>
    </row>
    <row r="2061" spans="1:4" x14ac:dyDescent="0.2">
      <c r="A2061" s="5">
        <v>2000</v>
      </c>
      <c r="B2061" s="138">
        <f>'Cap Outlay Deprec 26'!L16</f>
        <v>5771816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9389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40374</v>
      </c>
      <c r="C2088" s="2" t="s">
        <v>573</v>
      </c>
      <c r="D2088" s="2" t="str">
        <f t="shared" si="31"/>
        <v>Error?</v>
      </c>
    </row>
    <row r="2089" spans="1:4" x14ac:dyDescent="0.2">
      <c r="A2089" s="5">
        <v>2028</v>
      </c>
      <c r="B2089" s="138">
        <f>'Expenditures 15-22'!K92</f>
        <v>34706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33619</v>
      </c>
      <c r="D2435" s="2" t="str">
        <f t="shared" si="37"/>
        <v>Error?</v>
      </c>
    </row>
    <row r="2436" spans="1:4" x14ac:dyDescent="0.2">
      <c r="A2436" s="10">
        <v>2375</v>
      </c>
      <c r="D2436" s="2" t="str">
        <f t="shared" si="37"/>
        <v>OK</v>
      </c>
    </row>
    <row r="2437" spans="1:4" x14ac:dyDescent="0.2">
      <c r="A2437" s="5">
        <v>2376</v>
      </c>
      <c r="B2437" s="138">
        <f>'Assets-Liab 5-6'!D38</f>
        <v>145952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47890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2268155</v>
      </c>
      <c r="C2551" s="2" t="s">
        <v>573</v>
      </c>
      <c r="D2551" s="2" t="str">
        <f t="shared" si="38"/>
        <v>Error?</v>
      </c>
    </row>
    <row r="2552" spans="1:4" x14ac:dyDescent="0.2">
      <c r="A2552" s="10">
        <v>2491</v>
      </c>
      <c r="D2552" s="2" t="str">
        <f t="shared" si="38"/>
        <v>OK</v>
      </c>
    </row>
    <row r="2553" spans="1:4" x14ac:dyDescent="0.2">
      <c r="A2553" s="5">
        <v>2492</v>
      </c>
      <c r="B2553" s="138">
        <f>'Acct Summary 7-8'!C6</f>
        <v>3552703</v>
      </c>
      <c r="C2553" s="2" t="s">
        <v>573</v>
      </c>
      <c r="D2553" s="2" t="str">
        <f t="shared" si="38"/>
        <v>Error?</v>
      </c>
    </row>
    <row r="2554" spans="1:4" x14ac:dyDescent="0.2">
      <c r="A2554" s="5">
        <v>2493</v>
      </c>
      <c r="B2554" s="138">
        <f>'Acct Summary 7-8'!C7</f>
        <v>740389</v>
      </c>
      <c r="C2554" s="2" t="s">
        <v>573</v>
      </c>
      <c r="D2554" s="2" t="str">
        <f t="shared" si="38"/>
        <v>Error?</v>
      </c>
    </row>
    <row r="2555" spans="1:4" x14ac:dyDescent="0.2">
      <c r="A2555" s="5">
        <v>2494</v>
      </c>
      <c r="B2555" s="138">
        <f>'Acct Summary 7-8'!C8</f>
        <v>6561247</v>
      </c>
      <c r="C2555" s="2" t="s">
        <v>573</v>
      </c>
      <c r="D2555" s="2" t="str">
        <f t="shared" si="38"/>
        <v>Error?</v>
      </c>
    </row>
    <row r="2556" spans="1:4" x14ac:dyDescent="0.2">
      <c r="A2556" s="5">
        <v>2495</v>
      </c>
      <c r="B2556" s="138">
        <f>'Acct Summary 7-8'!C12</f>
        <v>4481791</v>
      </c>
      <c r="C2556" s="2" t="s">
        <v>573</v>
      </c>
      <c r="D2556" s="2" t="str">
        <f t="shared" si="38"/>
        <v>Error?</v>
      </c>
    </row>
    <row r="2557" spans="1:4" x14ac:dyDescent="0.2">
      <c r="A2557" s="5">
        <v>2496</v>
      </c>
      <c r="B2557" s="138">
        <f>'Acct Summary 7-8'!C13</f>
        <v>1683576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75080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6240447</v>
      </c>
      <c r="C2561" s="2" t="s">
        <v>573</v>
      </c>
      <c r="D2561" s="2" t="str">
        <f t="shared" si="39"/>
        <v>Error?</v>
      </c>
    </row>
    <row r="2562" spans="1:4" x14ac:dyDescent="0.2">
      <c r="A2562" s="5">
        <v>2501</v>
      </c>
      <c r="B2562" s="138">
        <f>'Acct Summary 7-8'!C20</f>
        <v>320800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519959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519959</v>
      </c>
      <c r="C2568" s="2" t="s">
        <v>573</v>
      </c>
      <c r="D2568" s="2" t="str">
        <f t="shared" si="39"/>
        <v>Error?</v>
      </c>
    </row>
    <row r="2569" spans="1:4" x14ac:dyDescent="0.2">
      <c r="A2569" s="5">
        <v>2508</v>
      </c>
      <c r="B2569" s="138">
        <f>'Acct Summary 7-8'!D13</f>
        <v>589393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589393</v>
      </c>
      <c r="C2573" s="2" t="s">
        <v>573</v>
      </c>
      <c r="D2573" s="2" t="str">
        <f t="shared" si="39"/>
        <v>Error?</v>
      </c>
    </row>
    <row r="2574" spans="1:4" x14ac:dyDescent="0.2">
      <c r="A2574" s="5">
        <v>2513</v>
      </c>
      <c r="B2574" s="138">
        <f>'Acct Summary 7-8'!D20</f>
        <v>-69434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190734</v>
      </c>
      <c r="C2591" s="2" t="s">
        <v>573</v>
      </c>
      <c r="D2591" s="2" t="str">
        <f t="shared" si="39"/>
        <v>Error?</v>
      </c>
    </row>
    <row r="2592" spans="1:4" x14ac:dyDescent="0.2">
      <c r="A2592" s="10">
        <v>2531</v>
      </c>
      <c r="D2592" s="2" t="str">
        <f t="shared" si="39"/>
        <v>OK</v>
      </c>
    </row>
    <row r="2593" spans="1:4" x14ac:dyDescent="0.2">
      <c r="A2593" s="5">
        <v>2532</v>
      </c>
      <c r="B2593" s="138">
        <f>'Acct Summary 7-8'!F6</f>
        <v>273747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464481</v>
      </c>
      <c r="C2595" s="2" t="s">
        <v>573</v>
      </c>
      <c r="D2595" s="2" t="str">
        <f t="shared" si="39"/>
        <v>Error?</v>
      </c>
    </row>
    <row r="2596" spans="1:4" x14ac:dyDescent="0.2">
      <c r="A2596" s="5">
        <v>2535</v>
      </c>
      <c r="B2596" s="138">
        <f>'Acct Summary 7-8'!F13</f>
        <v>512313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512313</v>
      </c>
      <c r="C2600" s="2" t="s">
        <v>573</v>
      </c>
      <c r="D2600" s="2" t="str">
        <f t="shared" si="39"/>
        <v>Error?</v>
      </c>
    </row>
    <row r="2601" spans="1:4" x14ac:dyDescent="0.2">
      <c r="A2601" s="5">
        <v>2540</v>
      </c>
      <c r="B2601" s="138">
        <f>'Acct Summary 7-8'!F20</f>
        <v>-47832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314159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314159</v>
      </c>
      <c r="C2606" s="2" t="s">
        <v>573</v>
      </c>
      <c r="D2606" s="2" t="str">
        <f t="shared" si="39"/>
        <v>Error?</v>
      </c>
    </row>
    <row r="2607" spans="1:4" x14ac:dyDescent="0.2">
      <c r="A2607" s="5">
        <v>2546</v>
      </c>
      <c r="B2607" s="138">
        <f>'Acct Summary 7-8'!G12</f>
        <v>83437</v>
      </c>
      <c r="C2607" s="2" t="s">
        <v>573</v>
      </c>
      <c r="D2607" s="2" t="str">
        <f t="shared" si="39"/>
        <v>Error?</v>
      </c>
    </row>
    <row r="2608" spans="1:4" x14ac:dyDescent="0.2">
      <c r="A2608" s="5">
        <v>2547</v>
      </c>
      <c r="B2608" s="138">
        <f>'Acct Summary 7-8'!G13</f>
        <v>150973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234410</v>
      </c>
      <c r="C2612" s="2" t="s">
        <v>573</v>
      </c>
      <c r="D2612" s="2" t="str">
        <f t="shared" si="39"/>
        <v>Error?</v>
      </c>
    </row>
    <row r="2613" spans="1:4" x14ac:dyDescent="0.2">
      <c r="A2613" s="5">
        <v>2552</v>
      </c>
      <c r="B2613" s="138">
        <f>'Acct Summary 7-8'!G20</f>
        <v>79749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30985</v>
      </c>
      <c r="C2789" s="2" t="s">
        <v>573</v>
      </c>
      <c r="D2789" s="2" t="str">
        <f t="shared" si="42"/>
        <v>Error?</v>
      </c>
    </row>
    <row r="2790" spans="1:4" x14ac:dyDescent="0.2">
      <c r="A2790" s="5">
        <v>2729</v>
      </c>
      <c r="B2790" s="138">
        <f>'Expenditures 15-22'!E102</f>
        <v>30985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28504</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608436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182397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608436</v>
      </c>
      <c r="D2912" s="2" t="str">
        <f t="shared" si="44"/>
        <v>Error?</v>
      </c>
    </row>
    <row r="2913" spans="1:4" x14ac:dyDescent="0.2">
      <c r="A2913" s="5">
        <v>2852</v>
      </c>
      <c r="B2913" s="138">
        <f>'Assets-Liab 5-6'!I41</f>
        <v>608436</v>
      </c>
      <c r="C2913" s="2" t="s">
        <v>573</v>
      </c>
      <c r="D2913" s="2" t="str">
        <f t="shared" si="44"/>
        <v>Error?</v>
      </c>
    </row>
    <row r="2914" spans="1:4" x14ac:dyDescent="0.2">
      <c r="A2914" s="5">
        <v>2853</v>
      </c>
      <c r="B2914" s="138">
        <f>'Assets-Liab 5-6'!L33</f>
        <v>182397</v>
      </c>
      <c r="D2914" s="2" t="str">
        <f t="shared" si="44"/>
        <v>Error?</v>
      </c>
    </row>
    <row r="2915" spans="1:4" x14ac:dyDescent="0.2">
      <c r="A2915" s="10">
        <v>2854</v>
      </c>
      <c r="D2915" s="2" t="str">
        <f t="shared" si="44"/>
        <v>OK</v>
      </c>
    </row>
    <row r="2916" spans="1:4" x14ac:dyDescent="0.2">
      <c r="A2916" s="5">
        <v>2855</v>
      </c>
      <c r="B2916" s="138">
        <f>'Assets-Liab 5-6'!L34</f>
        <v>182397</v>
      </c>
      <c r="C2916" s="2" t="s">
        <v>573</v>
      </c>
      <c r="D2916" s="2" t="str">
        <f t="shared" si="44"/>
        <v>Error?</v>
      </c>
    </row>
    <row r="2917" spans="1:4" x14ac:dyDescent="0.2">
      <c r="A2917" s="5">
        <v>2856</v>
      </c>
      <c r="B2917" s="138">
        <f>'Assets-Liab 5-6'!L41</f>
        <v>182397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30985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4725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4664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35710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4664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284481</v>
      </c>
      <c r="D3055" s="2" t="str">
        <f t="shared" si="46"/>
        <v>Error?</v>
      </c>
    </row>
    <row r="3056" spans="1:4" x14ac:dyDescent="0.2">
      <c r="A3056" s="5">
        <v>2995</v>
      </c>
      <c r="B3056" s="138">
        <f>'Expenditures 15-22'!D10</f>
        <v>36660</v>
      </c>
      <c r="D3056" s="2" t="str">
        <f t="shared" si="46"/>
        <v>Error?</v>
      </c>
    </row>
    <row r="3057" spans="1:4" x14ac:dyDescent="0.2">
      <c r="A3057" s="5">
        <v>2996</v>
      </c>
      <c r="B3057" s="138">
        <f>'Expenditures 15-22'!E10</f>
        <v>5964</v>
      </c>
      <c r="D3057" s="2" t="str">
        <f t="shared" si="46"/>
        <v>Error?</v>
      </c>
    </row>
    <row r="3058" spans="1:4" x14ac:dyDescent="0.2">
      <c r="A3058" s="5">
        <v>2997</v>
      </c>
      <c r="B3058" s="138">
        <f>'Expenditures 15-22'!F10</f>
        <v>19915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347020</v>
      </c>
      <c r="C3062" s="2" t="s">
        <v>573</v>
      </c>
      <c r="D3062" s="2" t="str">
        <f t="shared" si="46"/>
        <v>Error?</v>
      </c>
    </row>
    <row r="3063" spans="1:4" x14ac:dyDescent="0.2">
      <c r="A3063" s="10">
        <v>3002</v>
      </c>
      <c r="D3063" s="2" t="str">
        <f t="shared" si="46"/>
        <v>OK</v>
      </c>
    </row>
    <row r="3064" spans="1:4" x14ac:dyDescent="0.2">
      <c r="A3064" s="5">
        <v>3003</v>
      </c>
      <c r="B3064" s="138">
        <f>'Expenditures 15-22'!D219</f>
        <v>12426</v>
      </c>
      <c r="D3064" s="2" t="str">
        <f t="shared" si="46"/>
        <v>Error?</v>
      </c>
    </row>
    <row r="3065" spans="1:4" x14ac:dyDescent="0.2">
      <c r="A3065" s="5">
        <v>3004</v>
      </c>
      <c r="B3065" s="138">
        <f>'Expenditures 15-22'!K219</f>
        <v>12426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53601</v>
      </c>
      <c r="C3225" s="2" t="s">
        <v>573</v>
      </c>
      <c r="D3225" s="2" t="str">
        <f t="shared" si="49"/>
        <v>Error?</v>
      </c>
    </row>
    <row r="3226" spans="1:4" x14ac:dyDescent="0.2">
      <c r="A3226" s="5">
        <v>3165</v>
      </c>
      <c r="B3226" s="138">
        <f>'Acct Summary 7-8'!I8</f>
        <v>53601</v>
      </c>
      <c r="C3226" s="2" t="s">
        <v>573</v>
      </c>
      <c r="D3226" s="2" t="str">
        <f t="shared" si="49"/>
        <v>Error?</v>
      </c>
    </row>
    <row r="3227" spans="1:4" x14ac:dyDescent="0.2">
      <c r="A3227" s="5">
        <v>3166</v>
      </c>
      <c r="B3227" s="138">
        <f>'Acct Summary 7-8'!I20</f>
        <v>53601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320800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-69434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-47832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79749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53601</v>
      </c>
      <c r="C3320" s="2" t="s">
        <v>573</v>
      </c>
      <c r="D3320" s="2" t="str">
        <f t="shared" si="50"/>
        <v>Error?</v>
      </c>
    </row>
    <row r="3321" spans="1:4" x14ac:dyDescent="0.2">
      <c r="A3321" s="5">
        <v>3260</v>
      </c>
      <c r="B3321" s="138">
        <f>'Acct Summary 7-8'!I79</f>
        <v>554835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608436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522481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95888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627473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42591</v>
      </c>
      <c r="D3387" s="2" t="str">
        <f t="shared" si="51"/>
        <v>Error?</v>
      </c>
    </row>
    <row r="3388" spans="1:4" x14ac:dyDescent="0.2">
      <c r="A3388" s="5">
        <v>3327</v>
      </c>
      <c r="B3388" s="138">
        <f>'Expenditures 15-22'!D217</f>
        <v>20247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42591</v>
      </c>
      <c r="C3390" s="2" t="s">
        <v>573</v>
      </c>
      <c r="D3390" s="2" t="str">
        <f t="shared" si="51"/>
        <v>Error?</v>
      </c>
    </row>
    <row r="3391" spans="1:4" x14ac:dyDescent="0.2">
      <c r="A3391" s="5">
        <v>3330</v>
      </c>
      <c r="B3391" s="138">
        <f>'Expenditures 15-22'!K217</f>
        <v>20247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2189146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727035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9608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179853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608436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182397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150147</v>
      </c>
      <c r="C3446" s="2" t="s">
        <v>573</v>
      </c>
      <c r="D3446" s="2" t="str">
        <f t="shared" si="52"/>
        <v>Error?</v>
      </c>
    </row>
    <row r="3447" spans="1:4" x14ac:dyDescent="0.2">
      <c r="A3447" s="5">
        <v>3386</v>
      </c>
      <c r="B3447" s="138">
        <f>'Tax Sched 23'!D16</f>
        <v>150147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155817</v>
      </c>
      <c r="C3449" s="2" t="s">
        <v>573</v>
      </c>
      <c r="D3449" s="2" t="str">
        <f t="shared" si="52"/>
        <v>Error?</v>
      </c>
    </row>
    <row r="3450" spans="1:4" x14ac:dyDescent="0.2">
      <c r="A3450" s="5">
        <v>3389</v>
      </c>
      <c r="B3450" s="138">
        <f>'Tax Sched 23'!E16</f>
        <v>155817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142708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142708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142708</v>
      </c>
      <c r="D3567" s="2" t="str">
        <f t="shared" si="54"/>
        <v>Error?</v>
      </c>
    </row>
    <row r="3568" spans="1:4" x14ac:dyDescent="0.2">
      <c r="A3568" s="5">
        <v>3507</v>
      </c>
      <c r="B3568" s="138">
        <f>'Assets-Liab 5-6'!K41</f>
        <v>142708</v>
      </c>
      <c r="C3568" s="2" t="s">
        <v>573</v>
      </c>
      <c r="D3568" s="2" t="str">
        <f t="shared" si="54"/>
        <v>Error?</v>
      </c>
    </row>
    <row r="3569" spans="1:4" x14ac:dyDescent="0.2">
      <c r="A3569" s="5">
        <v>3508</v>
      </c>
      <c r="B3569" s="138">
        <f>'Acct Summary 7-8'!K4</f>
        <v>49543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49543</v>
      </c>
      <c r="C3571" s="2" t="s">
        <v>573</v>
      </c>
      <c r="D3571" s="2" t="str">
        <f t="shared" si="54"/>
        <v>Error?</v>
      </c>
    </row>
    <row r="3572" spans="1:4" x14ac:dyDescent="0.2">
      <c r="A3572" s="5">
        <v>3511</v>
      </c>
      <c r="B3572" s="138">
        <f>'Acct Summary 7-8'!K13</f>
        <v>72891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72891</v>
      </c>
      <c r="C3575" s="2" t="s">
        <v>573</v>
      </c>
      <c r="D3575" s="2" t="str">
        <f t="shared" si="54"/>
        <v>Error?</v>
      </c>
    </row>
    <row r="3576" spans="1:4" x14ac:dyDescent="0.2">
      <c r="A3576" s="5">
        <v>3515</v>
      </c>
      <c r="B3576" s="138">
        <f>'Acct Summary 7-8'!K20</f>
        <v>-23348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-23348</v>
      </c>
      <c r="C3588" s="2" t="s">
        <v>573</v>
      </c>
      <c r="D3588" s="2" t="str">
        <f t="shared" si="55"/>
        <v>Error?</v>
      </c>
    </row>
    <row r="3589" spans="1:4" x14ac:dyDescent="0.2">
      <c r="A3589" s="5">
        <v>3528</v>
      </c>
      <c r="B3589" s="138">
        <f>'Acct Summary 7-8'!K79</f>
        <v>166056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142708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72891</v>
      </c>
      <c r="D3646" s="2" t="str">
        <f t="shared" si="55"/>
        <v>Error?</v>
      </c>
    </row>
    <row r="3647" spans="1:4" x14ac:dyDescent="0.2">
      <c r="A3647" s="5">
        <v>3586</v>
      </c>
      <c r="B3647" s="138">
        <f>'Expenditures 15-22'!G350</f>
        <v>72891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72891</v>
      </c>
      <c r="C3649" s="2" t="s">
        <v>573</v>
      </c>
      <c r="D3649" s="2" t="str">
        <f t="shared" si="56"/>
        <v>Error?</v>
      </c>
    </row>
    <row r="3650" spans="1:4" x14ac:dyDescent="0.2">
      <c r="A3650" s="5">
        <v>3589</v>
      </c>
      <c r="B3650" s="138">
        <f>'Expenditures 15-22'!G367</f>
        <v>72891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72891</v>
      </c>
      <c r="C3669" s="2" t="s">
        <v>573</v>
      </c>
      <c r="D3669" s="2" t="str">
        <f t="shared" si="56"/>
        <v>Error?</v>
      </c>
    </row>
    <row r="3670" spans="1:4" x14ac:dyDescent="0.2">
      <c r="A3670" s="5">
        <v>3609</v>
      </c>
      <c r="B3670" s="138">
        <f>'Expenditures 15-22'!K350</f>
        <v>72891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72891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72891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-23348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25005</v>
      </c>
      <c r="C3725" s="2" t="s">
        <v>573</v>
      </c>
      <c r="D3725" s="2" t="str">
        <f t="shared" si="57"/>
        <v>Error?</v>
      </c>
    </row>
    <row r="3726" spans="1:4" x14ac:dyDescent="0.2">
      <c r="A3726" s="5">
        <v>3665</v>
      </c>
      <c r="B3726" s="138">
        <f>'Tax Sched 23'!D13</f>
        <v>25005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26236</v>
      </c>
      <c r="C3728" s="2" t="s">
        <v>573</v>
      </c>
      <c r="D3728" s="2" t="str">
        <f t="shared" si="57"/>
        <v>Error?</v>
      </c>
    </row>
    <row r="3729" spans="1:4" x14ac:dyDescent="0.2">
      <c r="A3729" s="5">
        <v>3668</v>
      </c>
      <c r="B3729" s="138">
        <f>'Tax Sched 23'!E13</f>
        <v>26236</v>
      </c>
      <c r="D3729" s="2" t="str">
        <f t="shared" si="57"/>
        <v>Error?</v>
      </c>
    </row>
    <row r="3730" spans="1:4" x14ac:dyDescent="0.2">
      <c r="A3730" s="5">
        <v>3669</v>
      </c>
      <c r="B3730" s="138">
        <f>'ICR Computation 30'!E10</f>
        <v>199344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6000</v>
      </c>
      <c r="D4081" s="2" t="str">
        <f t="shared" si="62"/>
        <v>Error?</v>
      </c>
    </row>
    <row r="4082" spans="1:4" x14ac:dyDescent="0.2">
      <c r="A4082" s="5">
        <v>4021</v>
      </c>
      <c r="B4082" s="138">
        <f>'Expenditures 15-22'!D180</f>
        <v>2165</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8165</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2477214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9038461</v>
      </c>
      <c r="C4122" s="2" t="s">
        <v>573</v>
      </c>
      <c r="D4122" s="2" t="str">
        <f t="shared" si="63"/>
        <v>Error?</v>
      </c>
    </row>
    <row r="4123" spans="1:4" x14ac:dyDescent="0.2">
      <c r="A4123" s="5">
        <v>4062</v>
      </c>
      <c r="B4123" s="138">
        <f>'Acct Summary 7-8'!D10</f>
        <v>519959</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464481</v>
      </c>
      <c r="C4125" s="2" t="s">
        <v>573</v>
      </c>
      <c r="D4125" s="2" t="str">
        <f t="shared" si="63"/>
        <v>Error?</v>
      </c>
    </row>
    <row r="4126" spans="1:4" x14ac:dyDescent="0.2">
      <c r="A4126" s="5">
        <v>4065</v>
      </c>
      <c r="B4126" s="138">
        <f>'Acct Summary 7-8'!G10</f>
        <v>314159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53601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49543</v>
      </c>
      <c r="C4130" s="2" t="s">
        <v>573</v>
      </c>
      <c r="D4130" s="2" t="str">
        <f t="shared" si="63"/>
        <v>Error?</v>
      </c>
    </row>
    <row r="4131" spans="1:4" x14ac:dyDescent="0.2">
      <c r="A4131" s="5">
        <v>4070</v>
      </c>
      <c r="B4131" s="138">
        <f>'Acct Summary 7-8'!C18</f>
        <v>2477214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8717661</v>
      </c>
      <c r="C4136" s="2" t="s">
        <v>573</v>
      </c>
      <c r="D4136" s="2" t="str">
        <f t="shared" si="63"/>
        <v>Error?</v>
      </c>
    </row>
    <row r="4137" spans="1:4" x14ac:dyDescent="0.2">
      <c r="A4137" s="5">
        <v>4076</v>
      </c>
      <c r="B4137" s="138">
        <f>'Acct Summary 7-8'!D19</f>
        <v>589393</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512313</v>
      </c>
      <c r="C4139" s="2" t="s">
        <v>573</v>
      </c>
      <c r="D4139" s="2" t="str">
        <f t="shared" si="63"/>
        <v>Error?</v>
      </c>
    </row>
    <row r="4140" spans="1:4" x14ac:dyDescent="0.2">
      <c r="A4140" s="5">
        <v>4079</v>
      </c>
      <c r="B4140" s="138">
        <f>'Acct Summary 7-8'!G19</f>
        <v>234410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72891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1812.8999999999999</v>
      </c>
      <c r="C4265" s="2" t="s">
        <v>573</v>
      </c>
      <c r="D4265" s="2" t="str">
        <f t="shared" si="65"/>
        <v>Error?</v>
      </c>
      <c r="E4265" s="128"/>
    </row>
    <row r="4266" spans="1:5" x14ac:dyDescent="0.2">
      <c r="A4266" s="12">
        <v>4205</v>
      </c>
      <c r="B4266" s="138">
        <f>('FP Info 3'!F10)*100000</f>
        <v>492.7</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2506</v>
      </c>
      <c r="C4268" s="2" t="s">
        <v>573</v>
      </c>
      <c r="D4268" s="2" t="str">
        <f t="shared" si="65"/>
        <v>Error?</v>
      </c>
    </row>
    <row r="4269" spans="1:5" x14ac:dyDescent="0.2">
      <c r="A4269" s="12">
        <v>4208</v>
      </c>
      <c r="B4269" s="138">
        <f>'FP Info 3'!J16</f>
        <v>3534225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12160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46549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8548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2104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101140454</v>
      </c>
      <c r="D4995" s="2" t="str">
        <f t="shared" si="77"/>
        <v>Error?</v>
      </c>
    </row>
    <row r="4996" spans="1:4" x14ac:dyDescent="0.2">
      <c r="A4996" s="12">
        <v>4935</v>
      </c>
      <c r="B4996" s="138">
        <f>'FP Info 3'!H31</f>
        <v>13957382.652000001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25005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1747987</v>
      </c>
      <c r="D5061" s="2" t="str">
        <f t="shared" si="78"/>
        <v>Error?</v>
      </c>
    </row>
    <row r="5062" spans="1:4" x14ac:dyDescent="0.2">
      <c r="A5062" s="10">
        <v>5001</v>
      </c>
      <c r="D5062" s="2" t="str">
        <f t="shared" si="78"/>
        <v>OK</v>
      </c>
    </row>
    <row r="5063" spans="1:4" x14ac:dyDescent="0.2">
      <c r="A5063" s="5">
        <v>5002</v>
      </c>
      <c r="B5063" s="138">
        <f>'Revenues 9-14'!C7</f>
        <v>38001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1810993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106071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106071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27155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27155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3971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147786</v>
      </c>
      <c r="C5096" s="2" t="s">
        <v>573</v>
      </c>
      <c r="D5096" s="2" t="str">
        <f t="shared" si="78"/>
        <v>Error?</v>
      </c>
    </row>
    <row r="5097" spans="1:4" x14ac:dyDescent="0.2">
      <c r="A5097" s="5">
        <v>5036</v>
      </c>
      <c r="B5097" s="138">
        <f>'Revenues 9-14'!C77</f>
        <v>52845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10083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62928</v>
      </c>
      <c r="C5102" s="2" t="s">
        <v>573</v>
      </c>
      <c r="D5102" s="2" t="str">
        <f t="shared" si="78"/>
        <v>Error?</v>
      </c>
    </row>
    <row r="5103" spans="1:4" x14ac:dyDescent="0.2">
      <c r="A5103" s="5">
        <v>5042</v>
      </c>
      <c r="B5103" s="138">
        <f>'Revenues 9-14'!C84</f>
        <v>33950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33950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66299</v>
      </c>
      <c r="D5119" s="2" t="str">
        <f t="shared" ref="D5119:D5182" si="79">IF(ISBLANK(B5119),"OK",IF(A5119-B5119=0,"OK","Error?"))</f>
        <v>Error?</v>
      </c>
    </row>
    <row r="5120" spans="1:4" x14ac:dyDescent="0.2">
      <c r="A5120" s="5">
        <v>5059</v>
      </c>
      <c r="B5120" s="138">
        <f>'Revenues 9-14'!C108</f>
        <v>79272</v>
      </c>
      <c r="C5120" s="2" t="s">
        <v>573</v>
      </c>
      <c r="D5120" s="2" t="str">
        <f t="shared" si="79"/>
        <v>Error?</v>
      </c>
    </row>
    <row r="5121" spans="1:4" x14ac:dyDescent="0.2">
      <c r="A5121" s="5">
        <v>5060</v>
      </c>
      <c r="B5121" s="138">
        <f>'Revenues 9-14'!C109</f>
        <v>2268155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3389283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3389283</v>
      </c>
      <c r="C5132" s="2" t="s">
        <v>573</v>
      </c>
      <c r="D5132" s="2" t="str">
        <f t="shared" si="79"/>
        <v>Error?</v>
      </c>
    </row>
    <row r="5133" spans="1:4" x14ac:dyDescent="0.2">
      <c r="A5133" s="5">
        <v>5072</v>
      </c>
      <c r="B5133" s="138">
        <f>'Revenues 9-14'!C125</f>
        <v>124960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124960</v>
      </c>
      <c r="C5147" s="2" t="s">
        <v>573</v>
      </c>
      <c r="D5147" s="2" t="str">
        <f t="shared" si="79"/>
        <v>Error?</v>
      </c>
    </row>
    <row r="5148" spans="1:4" x14ac:dyDescent="0.2">
      <c r="A5148" s="5">
        <v>5087</v>
      </c>
      <c r="B5148" s="138">
        <f>'Revenues 9-14'!C134</f>
        <v>11735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20837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3473</v>
      </c>
      <c r="D5167" s="2" t="str">
        <f t="shared" si="79"/>
        <v>Error?</v>
      </c>
    </row>
    <row r="5168" spans="1:4" x14ac:dyDescent="0.2">
      <c r="A5168" s="5">
        <v>5107</v>
      </c>
      <c r="B5168" s="138">
        <f>'Revenues 9-14'!C148</f>
        <v>12046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163420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3552703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173368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40583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213951</v>
      </c>
      <c r="C5246" s="2" t="s">
        <v>573</v>
      </c>
      <c r="D5246" s="2" t="str">
        <f t="shared" si="80"/>
        <v>Error?</v>
      </c>
    </row>
    <row r="5247" spans="1:4" x14ac:dyDescent="0.2">
      <c r="A5247" s="5">
        <v>5186</v>
      </c>
      <c r="B5247" s="138">
        <f>'Revenues 9-14'!C200</f>
        <v>246178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246178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5026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207977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213003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740389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740389</v>
      </c>
      <c r="C5326" s="2" t="s">
        <v>573</v>
      </c>
      <c r="D5326" s="2" t="str">
        <f t="shared" si="82"/>
        <v>Error?</v>
      </c>
    </row>
    <row r="5327" spans="1:5" x14ac:dyDescent="0.2">
      <c r="A5327" s="5">
        <v>5266</v>
      </c>
      <c r="B5327" s="138">
        <f>'Revenues 9-14'!C268</f>
        <v>6561247</v>
      </c>
      <c r="C5327" s="2" t="s">
        <v>573</v>
      </c>
      <c r="D5327" s="2" t="str">
        <f t="shared" si="82"/>
        <v>Error?</v>
      </c>
    </row>
    <row r="5328" spans="1:5" x14ac:dyDescent="0.2">
      <c r="A5328" s="5">
        <v>5267</v>
      </c>
      <c r="B5328" s="138">
        <f>'Revenues 9-14'!D5</f>
        <v>474997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474997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10029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10029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34933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34933</v>
      </c>
      <c r="C5355" s="2" t="s">
        <v>573</v>
      </c>
      <c r="D5355" s="2" t="str">
        <f t="shared" si="82"/>
        <v>Error?</v>
      </c>
    </row>
    <row r="5356" spans="1:4" x14ac:dyDescent="0.2">
      <c r="A5356" s="5">
        <v>5295</v>
      </c>
      <c r="B5356" s="138">
        <f>'Revenues 9-14'!D109</f>
        <v>519959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519959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190000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190000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206</v>
      </c>
      <c r="D5586" s="2" t="str">
        <f t="shared" si="86"/>
        <v>Error?</v>
      </c>
    </row>
    <row r="5587" spans="1:4" x14ac:dyDescent="0.2">
      <c r="A5587" s="5">
        <v>5526</v>
      </c>
      <c r="B5587" s="138">
        <f>'Revenues 9-14'!F108</f>
        <v>206</v>
      </c>
      <c r="C5587" s="2" t="s">
        <v>573</v>
      </c>
      <c r="D5587" s="2" t="str">
        <f t="shared" si="86"/>
        <v>Error?</v>
      </c>
    </row>
    <row r="5588" spans="1:4" x14ac:dyDescent="0.2">
      <c r="A5588" s="5">
        <v>5527</v>
      </c>
      <c r="B5588" s="138">
        <f>'Revenues 9-14'!F109</f>
        <v>190734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207622</v>
      </c>
      <c r="D5615" s="2" t="str">
        <f t="shared" si="86"/>
        <v>Error?</v>
      </c>
    </row>
    <row r="5616" spans="1:4" x14ac:dyDescent="0.2">
      <c r="A5616" s="10">
        <v>5555</v>
      </c>
      <c r="D5616" s="2" t="str">
        <f t="shared" si="86"/>
        <v>OK</v>
      </c>
    </row>
    <row r="5617" spans="1:5" x14ac:dyDescent="0.2">
      <c r="A5617" s="5">
        <v>5556</v>
      </c>
      <c r="B5617" s="138">
        <f>'Revenues 9-14'!F153</f>
        <v>66125</v>
      </c>
      <c r="D5617" s="2" t="str">
        <f t="shared" si="86"/>
        <v>Error?</v>
      </c>
    </row>
    <row r="5618" spans="1:5" x14ac:dyDescent="0.2">
      <c r="A5618" s="5">
        <v>5557</v>
      </c>
      <c r="B5618" s="138">
        <f>'Revenues 9-14'!F155</f>
        <v>273747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273747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273747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464481</v>
      </c>
      <c r="C5720" s="2" t="s">
        <v>573</v>
      </c>
      <c r="D5720" s="2" t="str">
        <f t="shared" si="88"/>
        <v>Error?</v>
      </c>
    </row>
    <row r="5721" spans="1:4" x14ac:dyDescent="0.2">
      <c r="A5721" s="5">
        <v>5660</v>
      </c>
      <c r="B5721" s="138">
        <f>'Revenues 9-14'!G5</f>
        <v>150147</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150147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300294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11114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11114</v>
      </c>
      <c r="C5730" s="2" t="s">
        <v>573</v>
      </c>
      <c r="D5730" s="2" t="str">
        <f t="shared" si="88"/>
        <v>Error?</v>
      </c>
    </row>
    <row r="5731" spans="1:4" x14ac:dyDescent="0.2">
      <c r="A5731" s="5">
        <v>5670</v>
      </c>
      <c r="B5731" s="138">
        <f>'Revenues 9-14'!G65</f>
        <v>2751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2751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314159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47500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47500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6101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6101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53601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47500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47500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2043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2043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49543</v>
      </c>
      <c r="C6023" s="2" t="s">
        <v>573</v>
      </c>
      <c r="D6023" s="2" t="str">
        <f t="shared" si="93"/>
        <v>Error?</v>
      </c>
    </row>
    <row r="6024" spans="1:5" x14ac:dyDescent="0.2">
      <c r="A6024" s="5">
        <v>5963</v>
      </c>
      <c r="B6024" s="138">
        <f>'Revenues 9-14'!G109</f>
        <v>314159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53601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49543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143815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29045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781.2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58996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58996</v>
      </c>
      <c r="D6215" s="2" t="str">
        <f t="shared" si="96"/>
        <v>Error?</v>
      </c>
      <c r="E6215" s="2" t="s">
        <v>190</v>
      </c>
    </row>
    <row r="6216" spans="1:5" x14ac:dyDescent="0.2">
      <c r="A6216">
        <v>6155</v>
      </c>
      <c r="B6216" s="138">
        <f>'Assets-Liab 5-6'!J41</f>
        <v>58996</v>
      </c>
      <c r="D6216" s="2" t="str">
        <f t="shared" si="96"/>
        <v>Error?</v>
      </c>
      <c r="E6216" s="2" t="s">
        <v>190</v>
      </c>
    </row>
    <row r="6217" spans="1:5" x14ac:dyDescent="0.2">
      <c r="A6217">
        <v>6156</v>
      </c>
      <c r="B6217" s="138">
        <f>'Assets-Liab 5-6'!J4</f>
        <v>58996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593038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593038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593038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576970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576970</v>
      </c>
      <c r="D6229" s="2" t="str">
        <f t="shared" si="96"/>
        <v>Error?</v>
      </c>
      <c r="E6229" s="2" t="s">
        <v>190</v>
      </c>
    </row>
    <row r="6230" spans="1:5" x14ac:dyDescent="0.2">
      <c r="A6230">
        <v>6169</v>
      </c>
      <c r="B6230" s="138">
        <f>'Acct Summary 7-8'!J20</f>
        <v>16068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16068</v>
      </c>
      <c r="D6263" s="2" t="str">
        <f t="shared" si="96"/>
        <v>Error?</v>
      </c>
      <c r="E6263" s="2" t="s">
        <v>190</v>
      </c>
    </row>
    <row r="6264" spans="1:5" x14ac:dyDescent="0.2">
      <c r="A6264">
        <v>6203</v>
      </c>
      <c r="B6264" s="138">
        <f>'Acct Summary 7-8'!J79</f>
        <v>42928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58996</v>
      </c>
      <c r="D6266" s="2" t="str">
        <f t="shared" si="96"/>
        <v>Error?</v>
      </c>
      <c r="E6266" s="2" t="s">
        <v>190</v>
      </c>
    </row>
    <row r="6267" spans="1:5" x14ac:dyDescent="0.2">
      <c r="A6267">
        <v>6206</v>
      </c>
      <c r="B6267" s="138">
        <f>'Acct Summary 7-8'!C82</f>
        <v>320800</v>
      </c>
      <c r="D6267" s="2" t="str">
        <f t="shared" si="96"/>
        <v>Error?</v>
      </c>
      <c r="E6267" s="2" t="s">
        <v>190</v>
      </c>
    </row>
    <row r="6268" spans="1:5" x14ac:dyDescent="0.2">
      <c r="A6268">
        <v>6207</v>
      </c>
      <c r="B6268" s="138">
        <f>'Acct Summary 7-8'!D82</f>
        <v>-69434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-47832</v>
      </c>
      <c r="D6270" s="2" t="str">
        <f t="shared" si="96"/>
        <v>Error?</v>
      </c>
      <c r="E6270" s="2" t="s">
        <v>190</v>
      </c>
    </row>
    <row r="6271" spans="1:5" x14ac:dyDescent="0.2">
      <c r="A6271">
        <v>6210</v>
      </c>
      <c r="B6271" s="138">
        <f>'Acct Summary 7-8'!G82</f>
        <v>79749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53601</v>
      </c>
      <c r="D6273" s="2" t="str">
        <f t="shared" si="97"/>
        <v>Error?</v>
      </c>
      <c r="E6273" s="2" t="s">
        <v>190</v>
      </c>
    </row>
    <row r="6274" spans="1:5" x14ac:dyDescent="0.2">
      <c r="A6274">
        <v>6213</v>
      </c>
      <c r="B6274" s="138">
        <f>'Acct Summary 7-8'!J82</f>
        <v>16068</v>
      </c>
      <c r="D6274" s="2" t="str">
        <f t="shared" si="97"/>
        <v>Error?</v>
      </c>
      <c r="E6274" s="2" t="s">
        <v>190</v>
      </c>
    </row>
    <row r="6275" spans="1:5" x14ac:dyDescent="0.2">
      <c r="A6275">
        <v>6214</v>
      </c>
      <c r="B6275" s="138">
        <f>'Acct Summary 7-8'!K82</f>
        <v>-23348</v>
      </c>
      <c r="D6275" s="2" t="str">
        <f t="shared" si="97"/>
        <v>Error?</v>
      </c>
      <c r="E6275" s="2" t="s">
        <v>190</v>
      </c>
    </row>
    <row r="6276" spans="1:5" x14ac:dyDescent="0.2">
      <c r="A6276">
        <v>6215</v>
      </c>
      <c r="B6276" s="138">
        <f>'Acct Summary 7-8'!C83</f>
        <v>0.14654116262688738</v>
      </c>
      <c r="D6276" s="2" t="str">
        <f t="shared" si="97"/>
        <v>Error?</v>
      </c>
      <c r="E6276" s="2" t="s">
        <v>190</v>
      </c>
    </row>
    <row r="6277" spans="1:5" x14ac:dyDescent="0.2">
      <c r="A6277">
        <v>6216</v>
      </c>
      <c r="B6277" s="138">
        <f>'Acct Summary 7-8'!D83</f>
        <v>-9.5502967532512195E-2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-4.9783513738551211</v>
      </c>
      <c r="D6279" s="2" t="str">
        <f t="shared" si="97"/>
        <v>Error?</v>
      </c>
      <c r="E6279" s="2" t="s">
        <v>190</v>
      </c>
    </row>
    <row r="6280" spans="1:5" x14ac:dyDescent="0.2">
      <c r="A6280">
        <v>6219</v>
      </c>
      <c r="B6280" s="138">
        <f>'Acct Summary 7-8'!G83</f>
        <v>0.44341211989791662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8.8096365106601182E-2</v>
      </c>
      <c r="D6282" s="2" t="str">
        <f t="shared" si="97"/>
        <v>Error?</v>
      </c>
      <c r="E6282" s="2" t="s">
        <v>190</v>
      </c>
    </row>
    <row r="6283" spans="1:5" x14ac:dyDescent="0.2">
      <c r="A6283">
        <v>6222</v>
      </c>
      <c r="B6283" s="138">
        <f>'Acct Summary 7-8'!J83</f>
        <v>0.27235744796257372</v>
      </c>
      <c r="D6283" s="2" t="str">
        <f t="shared" si="97"/>
        <v>Error?</v>
      </c>
      <c r="E6283" s="2" t="s">
        <v>190</v>
      </c>
    </row>
    <row r="6284" spans="1:5" x14ac:dyDescent="0.2">
      <c r="A6284">
        <v>6223</v>
      </c>
      <c r="B6284" s="138">
        <f>'Acct Summary 7-8'!K83</f>
        <v>-0.16360680550494716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590563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590563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2475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2475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7973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593038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9102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10423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41556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378666</v>
      </c>
      <c r="D6880" s="2" t="str">
        <f t="shared" si="106"/>
        <v>Error?</v>
      </c>
    </row>
    <row r="6881" spans="1:4" x14ac:dyDescent="0.2">
      <c r="A6881">
        <v>6820</v>
      </c>
      <c r="B6881" s="138">
        <f>'Expenditures 15-22'!K22</f>
        <v>378666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34706</v>
      </c>
      <c r="D6983" s="2" t="str">
        <f t="shared" si="108"/>
        <v>Error?</v>
      </c>
    </row>
    <row r="6984" spans="1:4" x14ac:dyDescent="0.2">
      <c r="A6984">
        <v>6923</v>
      </c>
      <c r="B6984" s="138">
        <f>'Expenditures 15-22'!K86</f>
        <v>34706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34706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576970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593038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1956</v>
      </c>
      <c r="D7075" s="2" t="str">
        <f t="shared" si="109"/>
        <v>Error?</v>
      </c>
    </row>
    <row r="7076" spans="1:4" x14ac:dyDescent="0.2">
      <c r="A7076">
        <v>7015</v>
      </c>
      <c r="B7076" s="138">
        <f>'Expenditures 15-22'!K218</f>
        <v>1956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507</v>
      </c>
      <c r="D7079" s="2" t="str">
        <f t="shared" si="109"/>
        <v>Error?</v>
      </c>
    </row>
    <row r="7080" spans="1:4" x14ac:dyDescent="0.2">
      <c r="A7080">
        <v>7019</v>
      </c>
      <c r="B7080" s="138">
        <f>'Expenditures 15-22'!K226</f>
        <v>507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34</v>
      </c>
      <c r="D7093" s="2" t="str">
        <f t="shared" si="109"/>
        <v>Error?</v>
      </c>
    </row>
    <row r="7094" spans="1:4" x14ac:dyDescent="0.2">
      <c r="A7094">
        <v>7033</v>
      </c>
      <c r="B7094" s="138">
        <f>'Expenditures 15-22'!K254</f>
        <v>34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92851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92851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1004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1004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371949</v>
      </c>
      <c r="D7172" s="2" t="str">
        <f t="shared" si="111"/>
        <v>Error?</v>
      </c>
    </row>
    <row r="7173" spans="1:4" x14ac:dyDescent="0.2">
      <c r="A7173">
        <v>7112</v>
      </c>
      <c r="B7173" s="138">
        <f>'Expenditures 15-22'!D325</f>
        <v>56</v>
      </c>
      <c r="D7173" s="2" t="str">
        <f t="shared" si="111"/>
        <v>Error?</v>
      </c>
    </row>
    <row r="7174" spans="1:4" x14ac:dyDescent="0.2">
      <c r="A7174">
        <v>7113</v>
      </c>
      <c r="B7174" s="138">
        <f>'Expenditures 15-22'!E325</f>
        <v>30480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402485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6341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6341</v>
      </c>
      <c r="D7198" s="2" t="str">
        <f t="shared" si="111"/>
        <v>Error?</v>
      </c>
    </row>
    <row r="7199" spans="1:4" x14ac:dyDescent="0.2">
      <c r="A7199">
        <v>7138</v>
      </c>
      <c r="B7199" s="138">
        <f>'Expenditures 15-22'!C330</f>
        <v>371949</v>
      </c>
      <c r="D7199" s="2" t="str">
        <f t="shared" si="111"/>
        <v>Error?</v>
      </c>
    </row>
    <row r="7200" spans="1:4" x14ac:dyDescent="0.2">
      <c r="A7200">
        <v>7139</v>
      </c>
      <c r="B7200" s="138">
        <f>'Expenditures 15-22'!D330</f>
        <v>56</v>
      </c>
      <c r="D7200" s="2" t="str">
        <f t="shared" si="111"/>
        <v>Error?</v>
      </c>
    </row>
    <row r="7201" spans="1:4" x14ac:dyDescent="0.2">
      <c r="A7201">
        <v>7140</v>
      </c>
      <c r="B7201" s="138">
        <f>'Expenditures 15-22'!E330</f>
        <v>204965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576970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371949</v>
      </c>
      <c r="D7216" s="2" t="str">
        <f t="shared" si="111"/>
        <v>Error?</v>
      </c>
    </row>
    <row r="7217" spans="1:4" x14ac:dyDescent="0.2">
      <c r="A7217">
        <v>7156</v>
      </c>
      <c r="B7217" s="138">
        <f>'Expenditures 15-22'!D342</f>
        <v>56</v>
      </c>
      <c r="D7217" s="2" t="str">
        <f t="shared" si="111"/>
        <v>Error?</v>
      </c>
    </row>
    <row r="7218" spans="1:4" x14ac:dyDescent="0.2">
      <c r="A7218">
        <v>7157</v>
      </c>
      <c r="B7218" s="138">
        <f>'Expenditures 15-22'!E342</f>
        <v>204965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576970</v>
      </c>
      <c r="D7224" s="2" t="str">
        <f t="shared" si="111"/>
        <v>Error?</v>
      </c>
    </row>
    <row r="7225" spans="1:4" x14ac:dyDescent="0.2">
      <c r="A7225">
        <v>7164</v>
      </c>
      <c r="B7225" s="138">
        <f>'Expenditures 15-22'!K343</f>
        <v>16068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10405</v>
      </c>
      <c r="D7251" s="2" t="str">
        <f t="shared" si="112"/>
        <v>Error?</v>
      </c>
    </row>
    <row r="7252" spans="1:4" x14ac:dyDescent="0.2">
      <c r="A7252">
        <f t="shared" si="113"/>
        <v>7191</v>
      </c>
      <c r="B7252" s="138">
        <f>'Expenditures 15-22'!D9</f>
        <v>18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34698</v>
      </c>
      <c r="D7263" s="2" t="str">
        <f t="shared" si="112"/>
        <v>Error?</v>
      </c>
    </row>
    <row r="7264" spans="1:4" x14ac:dyDescent="0.2">
      <c r="A7264">
        <f t="shared" si="113"/>
        <v>7203</v>
      </c>
      <c r="B7264" s="138">
        <f>'Expenditures 15-22'!D17</f>
        <v>6658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200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7595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7595</v>
      </c>
      <c r="D7618" s="2" t="str">
        <f t="shared" si="124"/>
        <v>Error?</v>
      </c>
      <c r="E7618" s="2" t="s">
        <v>19</v>
      </c>
    </row>
    <row r="7619" spans="1:5" x14ac:dyDescent="0.2">
      <c r="A7619">
        <f t="shared" si="123"/>
        <v>7558</v>
      </c>
      <c r="B7619" s="138">
        <f>'Cap Outlay Deprec 26'!H14</f>
        <v>6330</v>
      </c>
      <c r="D7619" s="2" t="str">
        <f t="shared" si="124"/>
        <v>Error?</v>
      </c>
      <c r="E7619" s="2" t="s">
        <v>19</v>
      </c>
    </row>
    <row r="7620" spans="1:5" x14ac:dyDescent="0.2">
      <c r="A7620">
        <f t="shared" si="123"/>
        <v>7559</v>
      </c>
      <c r="B7620" s="138">
        <f>'Cap Outlay Deprec 26'!I14</f>
        <v>1265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7595</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386790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74289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74289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7973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12046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20019</v>
      </c>
      <c r="D7719" s="2" t="str">
        <f t="shared" si="126"/>
        <v>Error?</v>
      </c>
      <c r="E7719" s="2" t="s">
        <v>827</v>
      </c>
    </row>
    <row r="7720" spans="1:6" x14ac:dyDescent="0.2">
      <c r="A7720">
        <v>7659</v>
      </c>
      <c r="B7720" s="138">
        <f>'Rest Tax Levies-Tort Im 25'!H14</f>
        <v>38001</v>
      </c>
      <c r="D7720" s="2" t="str">
        <f t="shared" si="126"/>
        <v>Error?</v>
      </c>
      <c r="E7720" s="2" t="s">
        <v>827</v>
      </c>
    </row>
    <row r="7721" spans="1:6" x14ac:dyDescent="0.2">
      <c r="A7721">
        <v>7660</v>
      </c>
      <c r="B7721" s="138">
        <f>'Rest Tax Levies-Tort Im 25'!K14</f>
        <v>20019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19984</v>
      </c>
      <c r="D7797" s="2" t="str">
        <f t="shared" si="127"/>
        <v>Error?</v>
      </c>
      <c r="E7797" s="4" t="s">
        <v>1904</v>
      </c>
    </row>
    <row r="7798" spans="1:5" x14ac:dyDescent="0.2">
      <c r="A7798">
        <v>7737</v>
      </c>
      <c r="B7798" s="138">
        <f>'Contracts Paid in CY 29'!F141</f>
        <v>19984</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1989</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Central CUSD 3</v>
      </c>
      <c r="B7" s="2403"/>
      <c r="C7" s="2403"/>
      <c r="D7" s="2404"/>
      <c r="E7" s="2405">
        <f>COVER!A13</f>
        <v>1001003026</v>
      </c>
      <c r="F7" s="2406"/>
      <c r="G7" s="2412" t="str">
        <f>COVER!T23</f>
        <v>060-004993</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Zumbahlen, Eyth, Surratt, Foote &amp; Flynn, Ltd.</v>
      </c>
      <c r="H9" s="2418"/>
      <c r="I9" s="2418"/>
      <c r="J9" s="2418"/>
      <c r="K9" s="2418"/>
      <c r="L9" s="2419"/>
    </row>
    <row r="10" spans="1:29" ht="13.5" customHeight="1" x14ac:dyDescent="0.2">
      <c r="A10" s="2392" t="str">
        <f>COVER!A38</f>
        <v>Erica Smith</v>
      </c>
      <c r="B10" s="2393"/>
      <c r="C10" s="2393"/>
      <c r="D10" s="2393"/>
      <c r="E10" s="2393"/>
      <c r="F10" s="2394"/>
      <c r="G10" s="2386" t="str">
        <f>COVER!T17</f>
        <v>1395 Lincoln Ave</v>
      </c>
      <c r="H10" s="2387"/>
      <c r="I10" s="2387"/>
      <c r="J10" s="2387"/>
      <c r="K10" s="2387"/>
      <c r="L10" s="2388"/>
    </row>
    <row r="11" spans="1:29" ht="13.5" customHeight="1" x14ac:dyDescent="0.2">
      <c r="A11" s="1184" t="s">
        <v>1519</v>
      </c>
      <c r="B11" s="1185"/>
      <c r="C11" s="1186"/>
      <c r="D11" s="1191"/>
      <c r="E11" s="1186"/>
      <c r="F11" s="1190"/>
      <c r="G11" s="2386" t="str">
        <f>COVER!T19</f>
        <v>Jacksonville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vflynn@zescpa.com</v>
      </c>
      <c r="J13" s="2399"/>
      <c r="K13" s="2399"/>
      <c r="L13" s="2400"/>
    </row>
    <row r="14" spans="1:29" ht="13.5" customHeight="1" x14ac:dyDescent="0.2">
      <c r="A14" s="2386" t="str">
        <f>COVER!A19</f>
        <v>2110 Hwy 94 N</v>
      </c>
      <c r="B14" s="2387"/>
      <c r="C14" s="2387"/>
      <c r="D14" s="2387"/>
      <c r="E14" s="2387"/>
      <c r="F14" s="2388"/>
      <c r="G14" s="1195" t="s">
        <v>1185</v>
      </c>
      <c r="H14" s="1193"/>
      <c r="I14" s="1193"/>
      <c r="J14" s="1193"/>
      <c r="K14" s="1193"/>
      <c r="L14" s="1194"/>
    </row>
    <row r="15" spans="1:29" ht="13.5" customHeight="1" x14ac:dyDescent="0.2">
      <c r="A15" s="2386" t="str">
        <f>COVER!A21</f>
        <v>Camp Point, Illinois</v>
      </c>
      <c r="B15" s="2387"/>
      <c r="C15" s="2387"/>
      <c r="D15" s="2387"/>
      <c r="E15" s="2387"/>
      <c r="F15" s="2388"/>
      <c r="G15" s="2383" t="str">
        <f>COVER!T15</f>
        <v>Valerie L. Flynn</v>
      </c>
      <c r="H15" s="2384"/>
      <c r="I15" s="2384"/>
      <c r="J15" s="2384"/>
      <c r="K15" s="2384"/>
      <c r="L15" s="2385"/>
    </row>
    <row r="16" spans="1:29" ht="12.2" customHeight="1" x14ac:dyDescent="0.2">
      <c r="A16" s="2408">
        <f>COVER!A25</f>
        <v>62320</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217-245-5121</v>
      </c>
      <c r="H18" s="2403"/>
      <c r="I18" s="2403"/>
      <c r="J18" s="2403"/>
      <c r="K18" s="2402" t="str">
        <f>COVER!X21</f>
        <v>217-243-3356</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Central CUSD 3</v>
      </c>
      <c r="B1" s="2401"/>
      <c r="C1" s="2401"/>
      <c r="D1" s="2401"/>
    </row>
    <row r="2" spans="1:11" s="1212" customFormat="1" ht="12.75" x14ac:dyDescent="0.2">
      <c r="A2" s="2425">
        <f>'Single Audit Cover'!E7</f>
        <v>1001003026</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Central CUSD 3</v>
      </c>
      <c r="B1" s="2428"/>
      <c r="C1" s="2428"/>
      <c r="D1" s="2428"/>
      <c r="E1" s="2428"/>
    </row>
    <row r="2" spans="1:5" x14ac:dyDescent="0.2">
      <c r="A2" s="2429">
        <f>'Single Audit Cover'!E7</f>
        <v>1001003026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740389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29045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-46549</v>
      </c>
    </row>
    <row r="19" spans="1:4" ht="13.5" thickBot="1" x14ac:dyDescent="0.25">
      <c r="A19" s="1262" t="s">
        <v>1235</v>
      </c>
      <c r="D19" s="1263">
        <f>SUM(D10:D17)</f>
        <v>722885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722885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722885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Central CUSD 3</v>
      </c>
      <c r="C1" s="2432"/>
      <c r="D1" s="2432"/>
      <c r="E1" s="2432"/>
      <c r="F1" s="2432"/>
      <c r="G1" s="2432"/>
      <c r="H1" s="2432"/>
      <c r="I1" s="2432"/>
      <c r="J1" s="2432"/>
      <c r="K1" s="2432"/>
      <c r="L1" s="2432"/>
      <c r="M1" s="2432"/>
    </row>
    <row r="2" spans="2:14" ht="15" x14ac:dyDescent="0.2">
      <c r="B2" s="2433">
        <f>'Single Audit Cover'!E7</f>
        <v>1001003026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Central CUSD 3</v>
      </c>
      <c r="B1" s="2445"/>
      <c r="C1" s="2445"/>
      <c r="D1" s="2445"/>
      <c r="E1" s="2445"/>
      <c r="F1" s="2445"/>
    </row>
    <row r="2" spans="1:7" ht="13.5" customHeight="1" x14ac:dyDescent="0.2">
      <c r="A2" s="2433">
        <f>'Single Audit Cover'!E7</f>
        <v>1001003026</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2068</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2081</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Central CUSD 3</v>
      </c>
      <c r="C1" s="2460"/>
      <c r="D1" s="2460"/>
      <c r="E1" s="2460"/>
      <c r="F1" s="2460"/>
      <c r="G1" s="2460"/>
      <c r="H1" s="2460"/>
      <c r="I1" s="2460"/>
      <c r="J1" s="1406"/>
    </row>
    <row r="2" spans="2:10" s="317" customFormat="1" ht="12.75" customHeight="1" x14ac:dyDescent="0.2">
      <c r="B2" s="2461">
        <f>'Single Audit Cover'!E7</f>
        <v>1001003026</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1841</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Central CUSD 3</v>
      </c>
      <c r="C1" s="2459"/>
      <c r="D1" s="2459"/>
      <c r="E1" s="2459"/>
      <c r="F1" s="2459"/>
      <c r="G1" s="2459"/>
      <c r="H1" s="2459"/>
      <c r="I1" s="2459"/>
      <c r="J1" s="2459"/>
      <c r="K1" s="2459"/>
      <c r="L1" s="1371"/>
      <c r="M1" s="1371"/>
    </row>
    <row r="2" spans="1:13" ht="12" customHeight="1" x14ac:dyDescent="0.2">
      <c r="B2" s="2461">
        <f>'Single Audit Cover'!E7</f>
        <v>1001003026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Central CUSD 3</v>
      </c>
      <c r="C1" s="2482"/>
      <c r="D1" s="2482"/>
      <c r="E1" s="2482"/>
      <c r="F1" s="2482"/>
      <c r="G1" s="2482"/>
      <c r="H1" s="2482"/>
      <c r="I1" s="2482"/>
      <c r="J1" s="2482"/>
      <c r="K1" s="2482"/>
      <c r="L1" s="1449"/>
    </row>
    <row r="2" spans="1:12" ht="12.75" customHeight="1" x14ac:dyDescent="0.2">
      <c r="B2" s="2483">
        <f>'Single Audit Cover'!E7</f>
        <v>1001003026</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Central CUSD 3</v>
      </c>
      <c r="C1" s="2459"/>
      <c r="D1" s="2459"/>
      <c r="E1" s="1469"/>
    </row>
    <row r="2" spans="2:5" s="1279" customFormat="1" ht="12.75" customHeight="1" x14ac:dyDescent="0.2">
      <c r="B2" s="2461">
        <f>'Single Audit Cover'!E7</f>
        <v>1001003026</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D35" sqref="D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101140454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1.8128999999999999E-2</v>
      </c>
      <c r="E10" s="356" t="s">
        <v>1005</v>
      </c>
      <c r="F10" s="355">
        <v>4.927E-3</v>
      </c>
      <c r="G10" s="356" t="s">
        <v>1005</v>
      </c>
      <c r="H10" s="355">
        <v>2E-3</v>
      </c>
      <c r="I10" s="356" t="s">
        <v>1006</v>
      </c>
      <c r="J10" s="1732">
        <f>ROUND(D10+F10+H10,5)</f>
        <v>2.5059999999999999E-2</v>
      </c>
      <c r="K10" s="222"/>
      <c r="L10" s="355">
        <v>4.9299999999999995E-4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7599288</v>
      </c>
      <c r="E16" s="356"/>
      <c r="F16" s="1733">
        <f>SUM('Acct Summary 7-8'!C17,'Acct Summary 7-8'!D17,'Acct Summary 7-8'!F17)</f>
        <v>7342153</v>
      </c>
      <c r="G16" s="356"/>
      <c r="H16" s="1733">
        <f>SUM(D16-F16)</f>
        <v>257135</v>
      </c>
      <c r="I16" s="222"/>
      <c r="J16" s="1733">
        <f>SUM('Acct Summary 7-8'!C81,'Acct Summary 7-8'!D81,'Acct Summary 7-8'!F81,'Acct Summary 7-8'!I81)</f>
        <v>3534225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13957382.652000001</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 CUSD 3</v>
      </c>
      <c r="E7" s="391"/>
      <c r="G7" s="252"/>
      <c r="H7" s="387"/>
      <c r="I7" s="387"/>
      <c r="J7" s="387"/>
      <c r="K7" s="387"/>
      <c r="L7" s="329"/>
      <c r="M7" s="329"/>
      <c r="N7" s="329"/>
      <c r="O7" s="329"/>
      <c r="P7" s="329"/>
    </row>
    <row r="8" spans="1:18" ht="12.75" x14ac:dyDescent="0.2">
      <c r="A8" s="329"/>
      <c r="B8" s="329"/>
      <c r="C8" s="389" t="s">
        <v>1125</v>
      </c>
      <c r="D8" s="392">
        <f>COVER!A13</f>
        <v>1001003026</v>
      </c>
      <c r="E8" s="393"/>
      <c r="G8" s="329"/>
      <c r="H8" s="329"/>
      <c r="I8" s="329"/>
      <c r="J8" s="329"/>
      <c r="K8" s="329"/>
      <c r="L8" s="329"/>
      <c r="M8" s="329"/>
      <c r="N8" s="329"/>
      <c r="O8" s="329"/>
      <c r="P8" s="329"/>
    </row>
    <row r="9" spans="1:18" ht="12.75" x14ac:dyDescent="0.2">
      <c r="A9" s="329"/>
      <c r="B9" s="329"/>
      <c r="C9" s="389" t="s">
        <v>713</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3534225</v>
      </c>
      <c r="I12" s="404"/>
      <c r="J12" s="404"/>
      <c r="K12" s="405">
        <f>TRUNC((H12/H13*100000),5)/100000</f>
        <v>0.46507317519999997</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7599288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7342153</v>
      </c>
      <c r="I17" s="404"/>
      <c r="J17" s="416"/>
      <c r="K17" s="405">
        <f>TRUNC((H17/H18*100000),5)/100000</f>
        <v>0.96616327739999996</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7599288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3534225</v>
      </c>
      <c r="I24" s="422"/>
      <c r="J24" s="422"/>
      <c r="K24" s="423">
        <f>TRUNC(((H24/H25*100000)/100000),2)</f>
        <v>173.28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20394.869439999999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2154392.8106499999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13957382.652000001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A13" colorId="8" zoomScale="110" zoomScaleNormal="110" workbookViewId="0">
      <selection activeCell="I5" sqref="I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2189146</v>
      </c>
      <c r="D4" s="466">
        <v>727035</v>
      </c>
      <c r="E4" s="466"/>
      <c r="F4" s="466">
        <v>9608</v>
      </c>
      <c r="G4" s="466">
        <v>179853</v>
      </c>
      <c r="H4" s="466"/>
      <c r="I4" s="466">
        <v>608436</v>
      </c>
      <c r="J4" s="467">
        <v>58996</v>
      </c>
      <c r="K4" s="466">
        <v>142708</v>
      </c>
      <c r="L4" s="466">
        <v>182397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2189146</v>
      </c>
      <c r="D13" s="1737">
        <f t="shared" ref="D13:L13" si="0">SUM(D4:D12)</f>
        <v>727035</v>
      </c>
      <c r="E13" s="1737">
        <f t="shared" si="0"/>
        <v>0</v>
      </c>
      <c r="F13" s="1737">
        <f t="shared" si="0"/>
        <v>9608</v>
      </c>
      <c r="G13" s="1737">
        <f t="shared" si="0"/>
        <v>179853</v>
      </c>
      <c r="H13" s="1737">
        <f t="shared" si="0"/>
        <v>0</v>
      </c>
      <c r="I13" s="1737">
        <f t="shared" si="0"/>
        <v>608436</v>
      </c>
      <c r="J13" s="1737">
        <f t="shared" si="0"/>
        <v>58996</v>
      </c>
      <c r="K13" s="1737">
        <f t="shared" si="0"/>
        <v>142708</v>
      </c>
      <c r="L13" s="1737">
        <f t="shared" si="0"/>
        <v>182397</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29802</v>
      </c>
      <c r="N16" s="484"/>
    </row>
    <row r="17" spans="1:14" s="485" customFormat="1" ht="12.75" customHeight="1" x14ac:dyDescent="0.2">
      <c r="A17" s="482" t="s">
        <v>1403</v>
      </c>
      <c r="B17" s="483">
        <v>230</v>
      </c>
      <c r="C17" s="477"/>
      <c r="D17" s="477"/>
      <c r="E17" s="477"/>
      <c r="F17" s="477"/>
      <c r="G17" s="477"/>
      <c r="H17" s="477"/>
      <c r="I17" s="477"/>
      <c r="J17" s="477"/>
      <c r="K17" s="477"/>
      <c r="L17" s="477"/>
      <c r="M17" s="467">
        <v>9982950</v>
      </c>
      <c r="N17" s="484"/>
    </row>
    <row r="18" spans="1:14" s="485" customFormat="1" ht="12.75" customHeight="1" x14ac:dyDescent="0.2">
      <c r="A18" s="482" t="s">
        <v>1404</v>
      </c>
      <c r="B18" s="483">
        <v>240</v>
      </c>
      <c r="C18" s="477"/>
      <c r="D18" s="477"/>
      <c r="E18" s="477"/>
      <c r="F18" s="477"/>
      <c r="G18" s="477"/>
      <c r="H18" s="477"/>
      <c r="I18" s="477"/>
      <c r="J18" s="477"/>
      <c r="K18" s="477"/>
      <c r="L18" s="477"/>
      <c r="M18" s="467">
        <v>1175013</v>
      </c>
      <c r="N18" s="484"/>
    </row>
    <row r="19" spans="1:14" s="485" customFormat="1" ht="12.75" customHeight="1" x14ac:dyDescent="0.2">
      <c r="A19" s="482" t="s">
        <v>1405</v>
      </c>
      <c r="B19" s="483">
        <v>250</v>
      </c>
      <c r="C19" s="477"/>
      <c r="D19" s="477"/>
      <c r="E19" s="477"/>
      <c r="F19" s="477"/>
      <c r="G19" s="477"/>
      <c r="H19" s="477"/>
      <c r="I19" s="477"/>
      <c r="J19" s="477"/>
      <c r="K19" s="477"/>
      <c r="L19" s="477"/>
      <c r="M19" s="467">
        <f>833538+673531+7595</f>
        <v>1514664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12702429</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182397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182397</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33619</v>
      </c>
      <c r="D38" s="466">
        <v>145952</v>
      </c>
      <c r="E38" s="466"/>
      <c r="F38" s="466"/>
      <c r="G38" s="466">
        <v>47890</v>
      </c>
      <c r="H38" s="466"/>
      <c r="I38" s="466"/>
      <c r="J38" s="467"/>
      <c r="K38" s="466"/>
      <c r="L38" s="481"/>
      <c r="M38" s="497"/>
      <c r="N38" s="497"/>
    </row>
    <row r="39" spans="1:14" s="329" customFormat="1" ht="13.5" customHeight="1" x14ac:dyDescent="0.2">
      <c r="A39" s="496" t="s">
        <v>342</v>
      </c>
      <c r="B39" s="483">
        <v>730</v>
      </c>
      <c r="C39" s="466">
        <v>2155527</v>
      </c>
      <c r="D39" s="466">
        <v>581083</v>
      </c>
      <c r="E39" s="466"/>
      <c r="F39" s="466">
        <v>9608</v>
      </c>
      <c r="G39" s="466">
        <v>131963</v>
      </c>
      <c r="H39" s="466"/>
      <c r="I39" s="466">
        <v>608436</v>
      </c>
      <c r="J39" s="467">
        <v>58996</v>
      </c>
      <c r="K39" s="466">
        <v>142708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12702429</v>
      </c>
      <c r="N40" s="497"/>
    </row>
    <row r="41" spans="1:14" ht="13.5" customHeight="1" thickBot="1" x14ac:dyDescent="0.25">
      <c r="A41" s="1736" t="s">
        <v>655</v>
      </c>
      <c r="B41" s="1706"/>
      <c r="C41" s="1688">
        <f>(SUM(C34,C37,C38,C39))</f>
        <v>2189146</v>
      </c>
      <c r="D41" s="1688">
        <f t="shared" ref="D41:L41" si="2">SUM(D34,D37,D38:D39)</f>
        <v>727035</v>
      </c>
      <c r="E41" s="1688">
        <f t="shared" si="2"/>
        <v>0</v>
      </c>
      <c r="F41" s="1688">
        <f t="shared" si="2"/>
        <v>9608</v>
      </c>
      <c r="G41" s="1688">
        <f t="shared" si="2"/>
        <v>179853</v>
      </c>
      <c r="H41" s="1688">
        <f t="shared" si="2"/>
        <v>0</v>
      </c>
      <c r="I41" s="1688">
        <f t="shared" si="2"/>
        <v>608436</v>
      </c>
      <c r="J41" s="1688">
        <f t="shared" si="2"/>
        <v>58996</v>
      </c>
      <c r="K41" s="1688">
        <f t="shared" si="2"/>
        <v>142708</v>
      </c>
      <c r="L41" s="1688">
        <f t="shared" si="2"/>
        <v>182397</v>
      </c>
      <c r="M41" s="1688">
        <f>SUM(M40)</f>
        <v>12702429</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accompanying notes to the financial statements&amp;R`</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2268155</v>
      </c>
      <c r="D4" s="1742">
        <f>'Revenues 9-14'!D109</f>
        <v>519959</v>
      </c>
      <c r="E4" s="1742">
        <f>'Revenues 9-14'!E109</f>
        <v>0</v>
      </c>
      <c r="F4" s="1742">
        <f>'Revenues 9-14'!F109</f>
        <v>190734</v>
      </c>
      <c r="G4" s="1742">
        <f>'Revenues 9-14'!G109</f>
        <v>314159</v>
      </c>
      <c r="H4" s="1742">
        <f>'Revenues 9-14'!H109</f>
        <v>0</v>
      </c>
      <c r="I4" s="1742">
        <f>'Revenues 9-14'!I109</f>
        <v>53601</v>
      </c>
      <c r="J4" s="1742">
        <f>'Revenues 9-14'!J109</f>
        <v>593038</v>
      </c>
      <c r="K4" s="1742">
        <f>'Revenues 9-14'!K109</f>
        <v>49543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3552703</v>
      </c>
      <c r="D6" s="1743">
        <f>'Revenues 9-14'!D170</f>
        <v>0</v>
      </c>
      <c r="E6" s="1743">
        <f>'Revenues 9-14'!E170</f>
        <v>0</v>
      </c>
      <c r="F6" s="1743">
        <f>'Revenues 9-14'!F170</f>
        <v>273747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740389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6561247</v>
      </c>
      <c r="D8" s="1688">
        <f t="shared" ref="D8:K8" si="0">SUM(D4:D7)</f>
        <v>519959</v>
      </c>
      <c r="E8" s="1688">
        <f t="shared" si="0"/>
        <v>0</v>
      </c>
      <c r="F8" s="1688">
        <f t="shared" si="0"/>
        <v>464481</v>
      </c>
      <c r="G8" s="1688">
        <f t="shared" si="0"/>
        <v>314159</v>
      </c>
      <c r="H8" s="1688">
        <f t="shared" si="0"/>
        <v>0</v>
      </c>
      <c r="I8" s="1688">
        <f t="shared" si="0"/>
        <v>53601</v>
      </c>
      <c r="J8" s="1688">
        <f t="shared" si="0"/>
        <v>593038</v>
      </c>
      <c r="K8" s="1688">
        <f t="shared" si="0"/>
        <v>49543</v>
      </c>
      <c r="L8" s="347"/>
    </row>
    <row r="9" spans="1:13" ht="15.75" thickTop="1" x14ac:dyDescent="0.2">
      <c r="A9" s="514" t="s">
        <v>1653</v>
      </c>
      <c r="B9" s="515">
        <v>3998</v>
      </c>
      <c r="C9" s="481">
        <f>2431062+46152</f>
        <v>2477214</v>
      </c>
      <c r="D9" s="516"/>
      <c r="E9" s="481"/>
      <c r="F9" s="481"/>
      <c r="G9" s="517"/>
      <c r="H9" s="481"/>
      <c r="I9" s="509" t="s">
        <v>1169</v>
      </c>
      <c r="J9" s="478"/>
      <c r="K9" s="481"/>
      <c r="L9" s="347"/>
    </row>
    <row r="10" spans="1:13" s="519" customFormat="1" ht="13.5" thickBot="1" x14ac:dyDescent="0.25">
      <c r="A10" s="1736" t="s">
        <v>1173</v>
      </c>
      <c r="B10" s="1709"/>
      <c r="C10" s="1688">
        <f>SUM(C8:C9)</f>
        <v>9038461</v>
      </c>
      <c r="D10" s="1688">
        <f t="shared" ref="D10:K10" si="1">SUM(D8:D9)</f>
        <v>519959</v>
      </c>
      <c r="E10" s="1688">
        <f t="shared" si="1"/>
        <v>0</v>
      </c>
      <c r="F10" s="1688">
        <f t="shared" si="1"/>
        <v>464481</v>
      </c>
      <c r="G10" s="1688">
        <f t="shared" si="1"/>
        <v>314159</v>
      </c>
      <c r="H10" s="1688">
        <f t="shared" si="1"/>
        <v>0</v>
      </c>
      <c r="I10" s="1688">
        <f t="shared" si="1"/>
        <v>53601</v>
      </c>
      <c r="J10" s="1688">
        <f t="shared" si="1"/>
        <v>593038</v>
      </c>
      <c r="K10" s="1688">
        <f t="shared" si="1"/>
        <v>49543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4481791</v>
      </c>
      <c r="D12" s="520" t="s">
        <v>1169</v>
      </c>
      <c r="E12" s="468" t="s">
        <v>1169</v>
      </c>
      <c r="F12" s="468" t="s">
        <v>1169</v>
      </c>
      <c r="G12" s="1742">
        <f>'Expenditures 15-22'!K229</f>
        <v>83437</v>
      </c>
      <c r="H12" s="521"/>
      <c r="I12" s="468" t="s">
        <v>1169</v>
      </c>
      <c r="J12" s="468" t="s">
        <v>1169</v>
      </c>
      <c r="K12" s="521" t="s">
        <v>1169</v>
      </c>
      <c r="L12" s="347"/>
    </row>
    <row r="13" spans="1:13" ht="15.75" customHeight="1" x14ac:dyDescent="0.2">
      <c r="A13" s="1576" t="s">
        <v>457</v>
      </c>
      <c r="B13" s="1578">
        <v>2000</v>
      </c>
      <c r="C13" s="1743">
        <f>'Expenditures 15-22'!K74</f>
        <v>1683576</v>
      </c>
      <c r="D13" s="1743">
        <f>'Expenditures 15-22'!K129</f>
        <v>589393</v>
      </c>
      <c r="E13" s="469" t="s">
        <v>1169</v>
      </c>
      <c r="F13" s="1743">
        <f>'Expenditures 15-22'!K184</f>
        <v>512313</v>
      </c>
      <c r="G13" s="1743">
        <f>'Expenditures 15-22'!K279</f>
        <v>150973</v>
      </c>
      <c r="H13" s="1743">
        <f>'Expenditures 15-22'!K303</f>
        <v>0</v>
      </c>
      <c r="I13" s="468" t="s">
        <v>1169</v>
      </c>
      <c r="J13" s="1743">
        <f>'Expenditures 15-22'!K330</f>
        <v>576970</v>
      </c>
      <c r="K13" s="1747">
        <f>'Expenditures 15-22'!K352</f>
        <v>72891</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75080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6240447</v>
      </c>
      <c r="D17" s="1688">
        <f t="shared" si="2"/>
        <v>589393</v>
      </c>
      <c r="E17" s="1688">
        <f t="shared" si="2"/>
        <v>0</v>
      </c>
      <c r="F17" s="1688">
        <f t="shared" si="2"/>
        <v>512313</v>
      </c>
      <c r="G17" s="1688">
        <f t="shared" si="2"/>
        <v>234410</v>
      </c>
      <c r="H17" s="1688">
        <f t="shared" si="2"/>
        <v>0</v>
      </c>
      <c r="I17" s="468"/>
      <c r="J17" s="1688">
        <f>SUM(J12:J16)</f>
        <v>576970</v>
      </c>
      <c r="K17" s="1688">
        <f>SUM(K12:K16)</f>
        <v>72891</v>
      </c>
      <c r="L17" s="347"/>
    </row>
    <row r="18" spans="1:12" ht="15" customHeight="1" thickTop="1" x14ac:dyDescent="0.2">
      <c r="A18" s="1744" t="s">
        <v>1654</v>
      </c>
      <c r="B18" s="1745">
        <v>4180</v>
      </c>
      <c r="C18" s="1742">
        <f t="shared" ref="C18:H18" si="3">C9</f>
        <v>2477214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8717661</v>
      </c>
      <c r="D19" s="1688">
        <f t="shared" si="4"/>
        <v>589393</v>
      </c>
      <c r="E19" s="1688">
        <f t="shared" si="4"/>
        <v>0</v>
      </c>
      <c r="F19" s="1688">
        <f t="shared" si="4"/>
        <v>512313</v>
      </c>
      <c r="G19" s="1688">
        <f t="shared" si="4"/>
        <v>234410</v>
      </c>
      <c r="H19" s="1688">
        <f t="shared" si="4"/>
        <v>0</v>
      </c>
      <c r="I19" s="468"/>
      <c r="J19" s="1688">
        <f>SUM(J17:J18)</f>
        <v>576970</v>
      </c>
      <c r="K19" s="1688">
        <f>SUM(K17:K18)</f>
        <v>72891</v>
      </c>
      <c r="L19" s="347"/>
    </row>
    <row r="20" spans="1:12" ht="16.5" thickTop="1" thickBot="1" x14ac:dyDescent="0.25">
      <c r="A20" s="2125" t="s">
        <v>1655</v>
      </c>
      <c r="B20" s="2126"/>
      <c r="C20" s="1746">
        <f>C8-C17</f>
        <v>320800</v>
      </c>
      <c r="D20" s="1746">
        <f t="shared" ref="D20:K20" si="5">D8-D17</f>
        <v>-69434</v>
      </c>
      <c r="E20" s="1746">
        <f t="shared" si="5"/>
        <v>0</v>
      </c>
      <c r="F20" s="1746">
        <f t="shared" si="5"/>
        <v>-47832</v>
      </c>
      <c r="G20" s="1746">
        <f t="shared" si="5"/>
        <v>79749</v>
      </c>
      <c r="H20" s="1746">
        <f t="shared" si="5"/>
        <v>0</v>
      </c>
      <c r="I20" s="1746">
        <f t="shared" si="5"/>
        <v>53601</v>
      </c>
      <c r="J20" s="1746">
        <f t="shared" si="5"/>
        <v>16068</v>
      </c>
      <c r="K20" s="1746">
        <f t="shared" si="5"/>
        <v>-23348</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320800</v>
      </c>
      <c r="D78" s="1702">
        <f t="shared" si="9"/>
        <v>-69434</v>
      </c>
      <c r="E78" s="1702">
        <f t="shared" si="9"/>
        <v>0</v>
      </c>
      <c r="F78" s="1702">
        <f t="shared" si="9"/>
        <v>-47832</v>
      </c>
      <c r="G78" s="1702">
        <f t="shared" si="9"/>
        <v>79749</v>
      </c>
      <c r="H78" s="1702">
        <f t="shared" si="9"/>
        <v>0</v>
      </c>
      <c r="I78" s="1702">
        <f t="shared" si="9"/>
        <v>53601</v>
      </c>
      <c r="J78" s="1702">
        <f t="shared" si="9"/>
        <v>16068</v>
      </c>
      <c r="K78" s="1702">
        <f t="shared" si="9"/>
        <v>-23348</v>
      </c>
      <c r="L78" s="533"/>
    </row>
    <row r="79" spans="1:12" ht="13.5" thickTop="1" x14ac:dyDescent="0.2">
      <c r="A79" s="1494" t="s">
        <v>1949</v>
      </c>
      <c r="B79" s="534"/>
      <c r="C79" s="478">
        <v>1868346</v>
      </c>
      <c r="D79" s="535">
        <v>796469</v>
      </c>
      <c r="E79" s="535"/>
      <c r="F79" s="535">
        <v>57440</v>
      </c>
      <c r="G79" s="535">
        <v>100104</v>
      </c>
      <c r="H79" s="535"/>
      <c r="I79" s="535">
        <v>554835</v>
      </c>
      <c r="J79" s="535">
        <v>42928</v>
      </c>
      <c r="K79" s="535">
        <v>166056</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2189146</v>
      </c>
      <c r="D81" s="1688">
        <f>SUM(D78:D80)</f>
        <v>727035</v>
      </c>
      <c r="E81" s="1688">
        <f t="shared" ref="E81:K81" si="10">SUM(E78:E80)</f>
        <v>0</v>
      </c>
      <c r="F81" s="1688">
        <f t="shared" si="10"/>
        <v>9608</v>
      </c>
      <c r="G81" s="1688">
        <f t="shared" si="10"/>
        <v>179853</v>
      </c>
      <c r="H81" s="1688">
        <f t="shared" si="10"/>
        <v>0</v>
      </c>
      <c r="I81" s="1688">
        <f t="shared" si="10"/>
        <v>608436</v>
      </c>
      <c r="J81" s="1688">
        <f t="shared" si="10"/>
        <v>58996</v>
      </c>
      <c r="K81" s="1688">
        <f t="shared" si="10"/>
        <v>142708</v>
      </c>
      <c r="L81" s="347"/>
    </row>
    <row r="82" spans="1:12" ht="0.75" customHeight="1" thickTop="1" thickBot="1" x14ac:dyDescent="0.25">
      <c r="A82" s="536" t="s">
        <v>343</v>
      </c>
      <c r="B82" s="537"/>
      <c r="C82" s="538">
        <f>(C81-C79)</f>
        <v>320800</v>
      </c>
      <c r="D82" s="538">
        <f t="shared" ref="D82:K82" si="11">(D81-D79)</f>
        <v>-69434</v>
      </c>
      <c r="E82" s="538">
        <f t="shared" si="11"/>
        <v>0</v>
      </c>
      <c r="F82" s="538">
        <f t="shared" si="11"/>
        <v>-47832</v>
      </c>
      <c r="G82" s="538">
        <f t="shared" si="11"/>
        <v>79749</v>
      </c>
      <c r="H82" s="538">
        <f t="shared" si="11"/>
        <v>0</v>
      </c>
      <c r="I82" s="538">
        <f t="shared" si="11"/>
        <v>53601</v>
      </c>
      <c r="J82" s="538">
        <f t="shared" si="11"/>
        <v>16068</v>
      </c>
      <c r="K82" s="538">
        <f t="shared" si="11"/>
        <v>-23348</v>
      </c>
    </row>
    <row r="83" spans="1:12" ht="14.25" hidden="1" thickTop="1" thickBot="1" x14ac:dyDescent="0.25">
      <c r="A83" s="539" t="s">
        <v>344</v>
      </c>
      <c r="B83" s="464"/>
      <c r="C83" s="540">
        <f>C82/C81</f>
        <v>0.14654116262688738</v>
      </c>
      <c r="D83" s="540">
        <f t="shared" ref="D83:K83" si="12">D82/D81</f>
        <v>-9.5502967532512195E-2</v>
      </c>
      <c r="E83" s="540" t="e">
        <f t="shared" si="12"/>
        <v>#DIV/0!</v>
      </c>
      <c r="F83" s="540">
        <f t="shared" si="12"/>
        <v>-4.9783513738551211</v>
      </c>
      <c r="G83" s="540">
        <f t="shared" si="12"/>
        <v>0.44341211989791662</v>
      </c>
      <c r="H83" s="540" t="e">
        <f t="shared" si="12"/>
        <v>#DIV/0!</v>
      </c>
      <c r="I83" s="540">
        <f t="shared" si="12"/>
        <v>8.8096365106601182E-2</v>
      </c>
      <c r="J83" s="540">
        <f t="shared" si="12"/>
        <v>0.27235744796257372</v>
      </c>
      <c r="K83" s="540">
        <f t="shared" si="12"/>
        <v>-0.16360680550494716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4" sqref="C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1747987</v>
      </c>
      <c r="D5" s="481">
        <v>474997</v>
      </c>
      <c r="E5" s="466"/>
      <c r="F5" s="548">
        <v>190000</v>
      </c>
      <c r="G5" s="466">
        <v>150147</v>
      </c>
      <c r="H5" s="466"/>
      <c r="I5" s="466">
        <v>47500</v>
      </c>
      <c r="J5" s="467">
        <v>590563</v>
      </c>
      <c r="K5" s="466">
        <v>47500</v>
      </c>
    </row>
    <row r="6" spans="1:12" ht="15" x14ac:dyDescent="0.2">
      <c r="A6" s="463" t="s">
        <v>1662</v>
      </c>
      <c r="B6" s="470">
        <v>1130</v>
      </c>
      <c r="C6" s="466">
        <v>25005</v>
      </c>
      <c r="D6" s="466"/>
      <c r="E6" s="475"/>
      <c r="F6" s="475"/>
      <c r="G6" s="468"/>
      <c r="H6" s="468"/>
      <c r="I6" s="468"/>
      <c r="J6" s="468"/>
      <c r="K6" s="468"/>
    </row>
    <row r="7" spans="1:12" x14ac:dyDescent="0.2">
      <c r="A7" s="463" t="s">
        <v>110</v>
      </c>
      <c r="B7" s="549">
        <v>1140</v>
      </c>
      <c r="C7" s="466">
        <v>38001</v>
      </c>
      <c r="D7" s="466"/>
      <c r="E7" s="468"/>
      <c r="F7" s="467"/>
      <c r="G7" s="467"/>
      <c r="H7" s="467"/>
      <c r="I7" s="468"/>
      <c r="J7" s="468"/>
      <c r="K7" s="468"/>
    </row>
    <row r="8" spans="1:12" x14ac:dyDescent="0.2">
      <c r="A8" s="463" t="s">
        <v>413</v>
      </c>
      <c r="B8" s="470">
        <v>1150</v>
      </c>
      <c r="C8" s="475"/>
      <c r="D8" s="475"/>
      <c r="E8" s="477"/>
      <c r="F8" s="477"/>
      <c r="G8" s="481">
        <v>150147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1810993</v>
      </c>
      <c r="D12" s="1707">
        <f t="shared" si="0"/>
        <v>474997</v>
      </c>
      <c r="E12" s="1707">
        <f t="shared" si="0"/>
        <v>0</v>
      </c>
      <c r="F12" s="1707">
        <f t="shared" si="0"/>
        <v>190000</v>
      </c>
      <c r="G12" s="1707">
        <f t="shared" si="0"/>
        <v>300294</v>
      </c>
      <c r="H12" s="1707">
        <f t="shared" si="0"/>
        <v>0</v>
      </c>
      <c r="I12" s="1707">
        <f t="shared" si="0"/>
        <v>47500</v>
      </c>
      <c r="J12" s="1707">
        <f t="shared" si="0"/>
        <v>590563</v>
      </c>
      <c r="K12" s="1688">
        <f t="shared" si="0"/>
        <v>47500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106071</v>
      </c>
      <c r="D16" s="466"/>
      <c r="E16" s="466"/>
      <c r="F16" s="466"/>
      <c r="G16" s="466">
        <v>11114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106071</v>
      </c>
      <c r="D18" s="1710">
        <f t="shared" ref="D18:K18" si="1">SUM(D14:D17)</f>
        <v>0</v>
      </c>
      <c r="E18" s="1710">
        <f t="shared" si="1"/>
        <v>0</v>
      </c>
      <c r="F18" s="1710">
        <f t="shared" si="1"/>
        <v>0</v>
      </c>
      <c r="G18" s="1710">
        <f t="shared" si="1"/>
        <v>11114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27155</v>
      </c>
      <c r="D65" s="466">
        <v>10029</v>
      </c>
      <c r="E65" s="466"/>
      <c r="F65" s="467">
        <v>528</v>
      </c>
      <c r="G65" s="466">
        <v>2751</v>
      </c>
      <c r="H65" s="466"/>
      <c r="I65" s="466">
        <v>6101</v>
      </c>
      <c r="J65" s="467">
        <v>2475</v>
      </c>
      <c r="K65" s="466">
        <v>2043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27155</v>
      </c>
      <c r="D67" s="1688">
        <f t="shared" ref="D67:K67" si="2">SUM(D65:D66)</f>
        <v>10029</v>
      </c>
      <c r="E67" s="1688">
        <f t="shared" si="2"/>
        <v>0</v>
      </c>
      <c r="F67" s="1688">
        <f t="shared" si="2"/>
        <v>528</v>
      </c>
      <c r="G67" s="1688">
        <f t="shared" si="2"/>
        <v>2751</v>
      </c>
      <c r="H67" s="1688">
        <f t="shared" si="2"/>
        <v>0</v>
      </c>
      <c r="I67" s="1688">
        <f t="shared" si="2"/>
        <v>6101</v>
      </c>
      <c r="J67" s="1688">
        <f t="shared" si="2"/>
        <v>2475</v>
      </c>
      <c r="K67" s="1688">
        <f t="shared" si="2"/>
        <v>2043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143815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3971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147786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52845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10083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62928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33950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33950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5000</v>
      </c>
      <c r="D96" s="551">
        <v>34933</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7973</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66299</v>
      </c>
      <c r="D107" s="466"/>
      <c r="E107" s="466"/>
      <c r="F107" s="466">
        <v>206</v>
      </c>
      <c r="G107" s="466"/>
      <c r="H107" s="466"/>
      <c r="I107" s="466"/>
      <c r="J107" s="467"/>
      <c r="K107" s="466"/>
    </row>
    <row r="108" spans="1:12" ht="12.75" customHeight="1" thickBot="1" x14ac:dyDescent="0.25">
      <c r="A108" s="1708" t="s">
        <v>487</v>
      </c>
      <c r="B108" s="1712"/>
      <c r="C108" s="1707">
        <f>SUM(C95:C107)</f>
        <v>79272</v>
      </c>
      <c r="D108" s="1707">
        <f t="shared" ref="D108:K108" si="3">SUM(D95:D107)</f>
        <v>34933</v>
      </c>
      <c r="E108" s="1707">
        <f t="shared" si="3"/>
        <v>0</v>
      </c>
      <c r="F108" s="1707">
        <f t="shared" si="3"/>
        <v>206</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2268155</v>
      </c>
      <c r="D109" s="1715">
        <f t="shared" si="4"/>
        <v>519959</v>
      </c>
      <c r="E109" s="1715">
        <f t="shared" si="4"/>
        <v>0</v>
      </c>
      <c r="F109" s="1715">
        <f t="shared" si="4"/>
        <v>190734</v>
      </c>
      <c r="G109" s="1715">
        <f t="shared" si="4"/>
        <v>314159</v>
      </c>
      <c r="H109" s="1715">
        <f t="shared" si="4"/>
        <v>0</v>
      </c>
      <c r="I109" s="1715">
        <f t="shared" si="4"/>
        <v>53601</v>
      </c>
      <c r="J109" s="1715">
        <f t="shared" si="4"/>
        <v>593038</v>
      </c>
      <c r="K109" s="1702">
        <f t="shared" si="4"/>
        <v>49543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3389283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3389283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124960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124960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11735</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9102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20837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3473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12046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207622</v>
      </c>
      <c r="G152" s="467"/>
      <c r="H152" s="468"/>
      <c r="I152" s="468"/>
      <c r="J152" s="468"/>
      <c r="K152" s="468"/>
    </row>
    <row r="153" spans="1:11" ht="12.75" customHeight="1" x14ac:dyDescent="0.2">
      <c r="A153" s="463" t="s">
        <v>1057</v>
      </c>
      <c r="B153" s="562">
        <v>3510</v>
      </c>
      <c r="C153" s="551"/>
      <c r="D153" s="466"/>
      <c r="E153" s="561"/>
      <c r="F153" s="466">
        <v>66125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273747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2104</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163420</v>
      </c>
      <c r="D169" s="1722">
        <f t="shared" si="6"/>
        <v>0</v>
      </c>
      <c r="E169" s="1722">
        <f t="shared" si="6"/>
        <v>0</v>
      </c>
      <c r="F169" s="1722">
        <f t="shared" si="6"/>
        <v>273747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3552703</v>
      </c>
      <c r="D170" s="1715">
        <f t="shared" si="7"/>
        <v>0</v>
      </c>
      <c r="E170" s="1715">
        <f t="shared" si="7"/>
        <v>0</v>
      </c>
      <c r="F170" s="1715">
        <f t="shared" si="7"/>
        <v>273747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173368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40583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213951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246178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246178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5026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207977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213003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8548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12160</v>
      </c>
      <c r="D263" s="576"/>
      <c r="E263" s="468"/>
      <c r="F263" s="576"/>
      <c r="G263" s="576"/>
      <c r="H263" s="468"/>
      <c r="I263" s="468"/>
      <c r="J263" s="468"/>
      <c r="K263" s="468"/>
    </row>
    <row r="264" spans="1:11" ht="12.75" customHeight="1" thickTop="1" thickBot="1" x14ac:dyDescent="0.25">
      <c r="A264" s="463" t="s">
        <v>377</v>
      </c>
      <c r="B264" s="470">
        <v>4992</v>
      </c>
      <c r="C264" s="575">
        <v>46549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740389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740389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6561247</v>
      </c>
      <c r="D268" s="1715">
        <f t="shared" si="12"/>
        <v>519959</v>
      </c>
      <c r="E268" s="1715">
        <f t="shared" si="12"/>
        <v>0</v>
      </c>
      <c r="F268" s="1715">
        <f t="shared" si="12"/>
        <v>464481</v>
      </c>
      <c r="G268" s="1715">
        <f t="shared" si="12"/>
        <v>314159</v>
      </c>
      <c r="H268" s="1715">
        <f t="shared" si="12"/>
        <v>0</v>
      </c>
      <c r="I268" s="1715">
        <f t="shared" si="12"/>
        <v>53601</v>
      </c>
      <c r="J268" s="1715">
        <f t="shared" si="12"/>
        <v>593038</v>
      </c>
      <c r="K268" s="1702">
        <f t="shared" si="12"/>
        <v>49543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5" activePane="bottomLeft" state="frozen"/>
      <selection activeCell="A3" sqref="A3:B3"/>
      <selection pane="bottomLeft" activeCell="G14" sqref="G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2330908</v>
      </c>
      <c r="D5" s="466">
        <v>369223</v>
      </c>
      <c r="E5" s="466">
        <v>29396</v>
      </c>
      <c r="F5" s="466">
        <v>36123</v>
      </c>
      <c r="G5" s="466">
        <v>1848</v>
      </c>
      <c r="H5" s="466">
        <v>1130</v>
      </c>
      <c r="I5" s="467"/>
      <c r="J5" s="467"/>
      <c r="K5" s="1671">
        <f>SUM(C5:J5)</f>
        <v>2768628</v>
      </c>
      <c r="L5" s="466">
        <v>2886067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522481</v>
      </c>
      <c r="D8" s="466">
        <v>95888</v>
      </c>
      <c r="E8" s="466">
        <v>2082</v>
      </c>
      <c r="F8" s="466">
        <v>6872</v>
      </c>
      <c r="G8" s="466"/>
      <c r="H8" s="466">
        <v>150</v>
      </c>
      <c r="I8" s="467"/>
      <c r="J8" s="467"/>
      <c r="K8" s="1671">
        <f t="shared" si="0"/>
        <v>627473</v>
      </c>
      <c r="L8" s="466">
        <v>647829</v>
      </c>
    </row>
    <row r="9" spans="1:14" x14ac:dyDescent="0.2">
      <c r="A9" s="1504" t="s">
        <v>721</v>
      </c>
      <c r="B9" s="614" t="s">
        <v>968</v>
      </c>
      <c r="C9" s="467">
        <v>10405</v>
      </c>
      <c r="D9" s="467">
        <v>18</v>
      </c>
      <c r="E9" s="467"/>
      <c r="F9" s="467"/>
      <c r="G9" s="467"/>
      <c r="H9" s="467"/>
      <c r="I9" s="467"/>
      <c r="J9" s="467"/>
      <c r="K9" s="1671">
        <f t="shared" si="0"/>
        <v>10423</v>
      </c>
      <c r="L9" s="466">
        <v>12640</v>
      </c>
    </row>
    <row r="10" spans="1:14" x14ac:dyDescent="0.2">
      <c r="A10" s="1504" t="s">
        <v>722</v>
      </c>
      <c r="B10" s="614">
        <v>1250</v>
      </c>
      <c r="C10" s="466">
        <v>284481</v>
      </c>
      <c r="D10" s="466">
        <v>36660</v>
      </c>
      <c r="E10" s="466">
        <v>5964</v>
      </c>
      <c r="F10" s="466">
        <v>19915</v>
      </c>
      <c r="G10" s="466"/>
      <c r="H10" s="466"/>
      <c r="I10" s="467"/>
      <c r="J10" s="467"/>
      <c r="K10" s="1671">
        <f t="shared" si="0"/>
        <v>347020</v>
      </c>
      <c r="L10" s="466">
        <v>414599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6302</v>
      </c>
      <c r="D13" s="466"/>
      <c r="E13" s="466"/>
      <c r="F13" s="466">
        <v>3526</v>
      </c>
      <c r="G13" s="466"/>
      <c r="H13" s="466">
        <v>235</v>
      </c>
      <c r="I13" s="467"/>
      <c r="J13" s="467"/>
      <c r="K13" s="1671">
        <f t="shared" si="0"/>
        <v>10063</v>
      </c>
      <c r="L13" s="466">
        <v>9569</v>
      </c>
    </row>
    <row r="14" spans="1:14" x14ac:dyDescent="0.2">
      <c r="A14" s="1504" t="s">
        <v>963</v>
      </c>
      <c r="B14" s="614">
        <v>1500</v>
      </c>
      <c r="C14" s="466">
        <v>195365</v>
      </c>
      <c r="D14" s="466">
        <v>5002</v>
      </c>
      <c r="E14" s="466">
        <v>65167</v>
      </c>
      <c r="F14" s="466">
        <v>22928</v>
      </c>
      <c r="G14" s="466"/>
      <c r="H14" s="466">
        <v>9500</v>
      </c>
      <c r="I14" s="467"/>
      <c r="J14" s="467"/>
      <c r="K14" s="1671">
        <f t="shared" si="0"/>
        <v>297962</v>
      </c>
      <c r="L14" s="466">
        <v>246924</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34698</v>
      </c>
      <c r="D17" s="467">
        <v>6658</v>
      </c>
      <c r="E17" s="467"/>
      <c r="F17" s="467"/>
      <c r="G17" s="467"/>
      <c r="H17" s="467">
        <v>200</v>
      </c>
      <c r="I17" s="467"/>
      <c r="J17" s="467"/>
      <c r="K17" s="1671">
        <f t="shared" si="0"/>
        <v>41556</v>
      </c>
      <c r="L17" s="466">
        <v>43596</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378666</v>
      </c>
      <c r="I22" s="616"/>
      <c r="J22" s="477"/>
      <c r="K22" s="1671">
        <f t="shared" si="0"/>
        <v>378666</v>
      </c>
      <c r="L22" s="471">
        <v>275000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3384640</v>
      </c>
      <c r="D33" s="1670">
        <f t="shared" ref="D33:L33" si="1">SUM(D5:D32)</f>
        <v>513449</v>
      </c>
      <c r="E33" s="1670">
        <f t="shared" si="1"/>
        <v>102609</v>
      </c>
      <c r="F33" s="1670">
        <f t="shared" si="1"/>
        <v>89364</v>
      </c>
      <c r="G33" s="1670">
        <f t="shared" si="1"/>
        <v>1848</v>
      </c>
      <c r="H33" s="1670">
        <f t="shared" si="1"/>
        <v>389881</v>
      </c>
      <c r="I33" s="1670">
        <f t="shared" si="1"/>
        <v>0</v>
      </c>
      <c r="J33" s="1670">
        <f t="shared" si="1"/>
        <v>0</v>
      </c>
      <c r="K33" s="1670">
        <f t="shared" si="1"/>
        <v>4481791</v>
      </c>
      <c r="L33" s="1670">
        <f t="shared" si="1"/>
        <v>4536224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72595</v>
      </c>
      <c r="D37" s="466">
        <v>14005</v>
      </c>
      <c r="E37" s="466">
        <v>544</v>
      </c>
      <c r="F37" s="466">
        <v>1048</v>
      </c>
      <c r="G37" s="466"/>
      <c r="H37" s="466">
        <v>379</v>
      </c>
      <c r="I37" s="467"/>
      <c r="J37" s="467"/>
      <c r="K37" s="1671">
        <f t="shared" si="2"/>
        <v>88571</v>
      </c>
      <c r="L37" s="466">
        <v>96535</v>
      </c>
    </row>
    <row r="38" spans="1:14" x14ac:dyDescent="0.2">
      <c r="A38" s="1504" t="s">
        <v>198</v>
      </c>
      <c r="B38" s="614">
        <v>2130</v>
      </c>
      <c r="C38" s="466">
        <v>3492</v>
      </c>
      <c r="D38" s="466">
        <v>6960</v>
      </c>
      <c r="E38" s="466">
        <v>627</v>
      </c>
      <c r="F38" s="466">
        <v>694</v>
      </c>
      <c r="G38" s="466"/>
      <c r="H38" s="466"/>
      <c r="I38" s="467"/>
      <c r="J38" s="467"/>
      <c r="K38" s="1671">
        <f t="shared" si="2"/>
        <v>11773</v>
      </c>
      <c r="L38" s="466">
        <v>12966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65225</v>
      </c>
      <c r="D40" s="466">
        <v>15681</v>
      </c>
      <c r="E40" s="466">
        <v>262</v>
      </c>
      <c r="F40" s="466"/>
      <c r="G40" s="466"/>
      <c r="H40" s="466"/>
      <c r="I40" s="467"/>
      <c r="J40" s="467"/>
      <c r="K40" s="1671">
        <f t="shared" si="2"/>
        <v>81168</v>
      </c>
      <c r="L40" s="466">
        <v>73502</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141312</v>
      </c>
      <c r="D42" s="1670">
        <f t="shared" ref="D42:L42" si="3">SUM(D36:D41)</f>
        <v>36646</v>
      </c>
      <c r="E42" s="1670">
        <f t="shared" si="3"/>
        <v>1433</v>
      </c>
      <c r="F42" s="1670">
        <f t="shared" si="3"/>
        <v>1742</v>
      </c>
      <c r="G42" s="1670">
        <f t="shared" si="3"/>
        <v>0</v>
      </c>
      <c r="H42" s="1670">
        <f t="shared" si="3"/>
        <v>379</v>
      </c>
      <c r="I42" s="1670">
        <f t="shared" si="3"/>
        <v>0</v>
      </c>
      <c r="J42" s="1670">
        <f t="shared" si="3"/>
        <v>0</v>
      </c>
      <c r="K42" s="1670">
        <f t="shared" si="3"/>
        <v>181512</v>
      </c>
      <c r="L42" s="1670">
        <f t="shared" si="3"/>
        <v>183003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4000</v>
      </c>
      <c r="E44" s="481">
        <v>10353</v>
      </c>
      <c r="F44" s="481"/>
      <c r="G44" s="481"/>
      <c r="H44" s="481"/>
      <c r="I44" s="467"/>
      <c r="J44" s="467"/>
      <c r="K44" s="1672">
        <f>SUM(C44:J44)</f>
        <v>14353</v>
      </c>
      <c r="L44" s="481">
        <v>10500</v>
      </c>
    </row>
    <row r="45" spans="1:14" x14ac:dyDescent="0.2">
      <c r="A45" s="1504" t="s">
        <v>815</v>
      </c>
      <c r="B45" s="614">
        <v>2220</v>
      </c>
      <c r="C45" s="466">
        <v>13283</v>
      </c>
      <c r="D45" s="466">
        <v>23</v>
      </c>
      <c r="E45" s="466"/>
      <c r="F45" s="466">
        <v>879</v>
      </c>
      <c r="G45" s="466"/>
      <c r="H45" s="466">
        <v>3123</v>
      </c>
      <c r="I45" s="467"/>
      <c r="J45" s="467"/>
      <c r="K45" s="1672">
        <f>SUM(C45:J45)</f>
        <v>17308</v>
      </c>
      <c r="L45" s="466">
        <v>17660</v>
      </c>
    </row>
    <row r="46" spans="1:14" x14ac:dyDescent="0.2">
      <c r="A46" s="1504" t="s">
        <v>816</v>
      </c>
      <c r="B46" s="614">
        <v>2230</v>
      </c>
      <c r="C46" s="466"/>
      <c r="D46" s="466"/>
      <c r="E46" s="466">
        <v>4938</v>
      </c>
      <c r="F46" s="466"/>
      <c r="G46" s="466"/>
      <c r="H46" s="466"/>
      <c r="I46" s="467"/>
      <c r="J46" s="467"/>
      <c r="K46" s="1672">
        <f>SUM(C46:J46)</f>
        <v>4938</v>
      </c>
      <c r="L46" s="466"/>
    </row>
    <row r="47" spans="1:14" ht="12.75" customHeight="1" thickBot="1" x14ac:dyDescent="0.25">
      <c r="A47" s="1668" t="s">
        <v>561</v>
      </c>
      <c r="B47" s="1669" t="s">
        <v>32</v>
      </c>
      <c r="C47" s="1670">
        <f>SUM(C44:C46)</f>
        <v>13283</v>
      </c>
      <c r="D47" s="1670">
        <f t="shared" ref="D47:K47" si="4">SUM(D44:D46)</f>
        <v>4023</v>
      </c>
      <c r="E47" s="1670">
        <f t="shared" si="4"/>
        <v>15291</v>
      </c>
      <c r="F47" s="1670">
        <f t="shared" si="4"/>
        <v>879</v>
      </c>
      <c r="G47" s="1670">
        <f t="shared" si="4"/>
        <v>0</v>
      </c>
      <c r="H47" s="1670">
        <f t="shared" si="4"/>
        <v>3123</v>
      </c>
      <c r="I47" s="1670">
        <f t="shared" si="4"/>
        <v>0</v>
      </c>
      <c r="J47" s="1670">
        <f t="shared" si="4"/>
        <v>0</v>
      </c>
      <c r="K47" s="1670">
        <f t="shared" si="4"/>
        <v>36599</v>
      </c>
      <c r="L47" s="1670">
        <f>SUM(L44:L46)</f>
        <v>28160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34497</v>
      </c>
      <c r="F49" s="481">
        <v>19555</v>
      </c>
      <c r="G49" s="481"/>
      <c r="H49" s="481">
        <v>20417</v>
      </c>
      <c r="I49" s="467"/>
      <c r="J49" s="467"/>
      <c r="K49" s="1672">
        <f>SUM(C49:J49)</f>
        <v>74469</v>
      </c>
      <c r="L49" s="481">
        <v>61000</v>
      </c>
    </row>
    <row r="50" spans="1:14" x14ac:dyDescent="0.2">
      <c r="A50" s="1504" t="s">
        <v>818</v>
      </c>
      <c r="B50" s="614">
        <v>2320</v>
      </c>
      <c r="C50" s="466">
        <v>133318</v>
      </c>
      <c r="D50" s="466">
        <v>50196</v>
      </c>
      <c r="E50" s="466">
        <v>3719</v>
      </c>
      <c r="F50" s="466"/>
      <c r="G50" s="466"/>
      <c r="H50" s="466">
        <v>854</v>
      </c>
      <c r="I50" s="467"/>
      <c r="J50" s="467"/>
      <c r="K50" s="1672">
        <f>SUM(C50:J50)</f>
        <v>188087</v>
      </c>
      <c r="L50" s="466">
        <v>187450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133318</v>
      </c>
      <c r="D53" s="1670">
        <f t="shared" ref="D53:L53" si="5">SUM(D49:D52)</f>
        <v>50196</v>
      </c>
      <c r="E53" s="1670">
        <f t="shared" si="5"/>
        <v>38216</v>
      </c>
      <c r="F53" s="1670">
        <f t="shared" si="5"/>
        <v>19555</v>
      </c>
      <c r="G53" s="1670">
        <f t="shared" si="5"/>
        <v>0</v>
      </c>
      <c r="H53" s="1670">
        <f t="shared" si="5"/>
        <v>21271</v>
      </c>
      <c r="I53" s="1670">
        <f t="shared" si="5"/>
        <v>0</v>
      </c>
      <c r="J53" s="1670">
        <f t="shared" si="5"/>
        <v>0</v>
      </c>
      <c r="K53" s="1670">
        <f t="shared" si="5"/>
        <v>262556</v>
      </c>
      <c r="L53" s="1670">
        <f t="shared" si="5"/>
        <v>248450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254151</v>
      </c>
      <c r="D55" s="481">
        <v>109688</v>
      </c>
      <c r="E55" s="481">
        <v>2248</v>
      </c>
      <c r="F55" s="481">
        <v>60245</v>
      </c>
      <c r="G55" s="481"/>
      <c r="H55" s="481">
        <v>2193</v>
      </c>
      <c r="I55" s="467"/>
      <c r="J55" s="467"/>
      <c r="K55" s="1672">
        <f>SUM(C55:J55)</f>
        <v>428525</v>
      </c>
      <c r="L55" s="481">
        <v>391050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254151</v>
      </c>
      <c r="D57" s="1674">
        <f t="shared" ref="D57:K57" si="6">SUM(D55:D56)</f>
        <v>109688</v>
      </c>
      <c r="E57" s="1674">
        <f t="shared" si="6"/>
        <v>2248</v>
      </c>
      <c r="F57" s="1674">
        <f t="shared" si="6"/>
        <v>60245</v>
      </c>
      <c r="G57" s="1674">
        <f t="shared" si="6"/>
        <v>0</v>
      </c>
      <c r="H57" s="1674">
        <f t="shared" si="6"/>
        <v>2193</v>
      </c>
      <c r="I57" s="1674">
        <f t="shared" si="6"/>
        <v>0</v>
      </c>
      <c r="J57" s="1674">
        <f t="shared" si="6"/>
        <v>0</v>
      </c>
      <c r="K57" s="1674">
        <f t="shared" si="6"/>
        <v>428525</v>
      </c>
      <c r="L57" s="1670">
        <f>SUM(L55:L56)</f>
        <v>391050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37581</v>
      </c>
      <c r="D60" s="466">
        <v>16813</v>
      </c>
      <c r="E60" s="466"/>
      <c r="F60" s="466"/>
      <c r="G60" s="466"/>
      <c r="H60" s="466"/>
      <c r="I60" s="467"/>
      <c r="J60" s="467"/>
      <c r="K60" s="1672">
        <f t="shared" si="7"/>
        <v>54394</v>
      </c>
      <c r="L60" s="466">
        <v>56265</v>
      </c>
      <c r="M60" s="609"/>
      <c r="N60" s="609"/>
    </row>
    <row r="61" spans="1:14" s="343" customFormat="1" x14ac:dyDescent="0.2">
      <c r="A61" s="1504" t="s">
        <v>197</v>
      </c>
      <c r="B61" s="614">
        <v>2540</v>
      </c>
      <c r="C61" s="466">
        <v>179891</v>
      </c>
      <c r="D61" s="466">
        <v>29020</v>
      </c>
      <c r="E61" s="466">
        <v>21727</v>
      </c>
      <c r="F61" s="466">
        <v>44085</v>
      </c>
      <c r="G61" s="466"/>
      <c r="H61" s="466"/>
      <c r="I61" s="467"/>
      <c r="J61" s="467"/>
      <c r="K61" s="1672">
        <f t="shared" si="7"/>
        <v>274723</v>
      </c>
      <c r="L61" s="466">
        <v>344188</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102965</v>
      </c>
      <c r="D63" s="466">
        <v>26100</v>
      </c>
      <c r="E63" s="466">
        <v>455</v>
      </c>
      <c r="F63" s="466">
        <v>199344</v>
      </c>
      <c r="G63" s="466">
        <v>1959</v>
      </c>
      <c r="H63" s="466"/>
      <c r="I63" s="467"/>
      <c r="J63" s="467"/>
      <c r="K63" s="1672">
        <f t="shared" si="7"/>
        <v>330823</v>
      </c>
      <c r="L63" s="466">
        <v>336996</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320437</v>
      </c>
      <c r="D65" s="1670">
        <f t="shared" ref="D65:L65" si="8">SUM(D59:D64)</f>
        <v>71933</v>
      </c>
      <c r="E65" s="1670">
        <f t="shared" si="8"/>
        <v>22182</v>
      </c>
      <c r="F65" s="1670">
        <f t="shared" si="8"/>
        <v>243429</v>
      </c>
      <c r="G65" s="1670">
        <f t="shared" si="8"/>
        <v>1959</v>
      </c>
      <c r="H65" s="1670">
        <f t="shared" si="8"/>
        <v>0</v>
      </c>
      <c r="I65" s="1670">
        <f t="shared" si="8"/>
        <v>0</v>
      </c>
      <c r="J65" s="1670">
        <f t="shared" si="8"/>
        <v>0</v>
      </c>
      <c r="K65" s="1670">
        <f t="shared" si="8"/>
        <v>659940</v>
      </c>
      <c r="L65" s="1670">
        <f t="shared" si="8"/>
        <v>737449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47261</v>
      </c>
      <c r="D71" s="466">
        <v>6849</v>
      </c>
      <c r="E71" s="466">
        <v>285</v>
      </c>
      <c r="F71" s="466">
        <v>47291</v>
      </c>
      <c r="G71" s="466"/>
      <c r="H71" s="466">
        <v>12758</v>
      </c>
      <c r="I71" s="467"/>
      <c r="J71" s="467"/>
      <c r="K71" s="1672">
        <f>SUM(C71:J71)</f>
        <v>114444</v>
      </c>
      <c r="L71" s="466">
        <v>105441</v>
      </c>
      <c r="M71" s="609"/>
      <c r="N71" s="609"/>
    </row>
    <row r="72" spans="1:14" s="343" customFormat="1" ht="12.75" customHeight="1" thickBot="1" x14ac:dyDescent="0.25">
      <c r="A72" s="1668" t="s">
        <v>37</v>
      </c>
      <c r="B72" s="1675" t="s">
        <v>36</v>
      </c>
      <c r="C72" s="1670">
        <f>SUM(C67:C71)</f>
        <v>47261</v>
      </c>
      <c r="D72" s="1670">
        <f t="shared" ref="D72:K72" si="9">SUM(D67:D71)</f>
        <v>6849</v>
      </c>
      <c r="E72" s="1670">
        <f t="shared" si="9"/>
        <v>285</v>
      </c>
      <c r="F72" s="1670">
        <f t="shared" si="9"/>
        <v>47291</v>
      </c>
      <c r="G72" s="1670">
        <f t="shared" si="9"/>
        <v>0</v>
      </c>
      <c r="H72" s="1670">
        <f t="shared" si="9"/>
        <v>12758</v>
      </c>
      <c r="I72" s="1670">
        <f t="shared" si="9"/>
        <v>0</v>
      </c>
      <c r="J72" s="1670">
        <f t="shared" si="9"/>
        <v>0</v>
      </c>
      <c r="K72" s="1670">
        <f t="shared" si="9"/>
        <v>114444</v>
      </c>
      <c r="L72" s="1670">
        <f>SUM(L67:L71)</f>
        <v>105441</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909762</v>
      </c>
      <c r="D74" s="1677">
        <f t="shared" ref="D74:K74" si="10">SUM(D42,D47,D53,D57,D65,D72,D73)</f>
        <v>279335</v>
      </c>
      <c r="E74" s="1677">
        <f t="shared" si="10"/>
        <v>79655</v>
      </c>
      <c r="F74" s="1677">
        <f t="shared" si="10"/>
        <v>373141</v>
      </c>
      <c r="G74" s="1677">
        <f t="shared" si="10"/>
        <v>1959</v>
      </c>
      <c r="H74" s="1677">
        <f t="shared" si="10"/>
        <v>39724</v>
      </c>
      <c r="I74" s="1677">
        <f t="shared" si="10"/>
        <v>0</v>
      </c>
      <c r="J74" s="1677">
        <f t="shared" si="10"/>
        <v>0</v>
      </c>
      <c r="K74" s="1677">
        <f t="shared" si="10"/>
        <v>1683576</v>
      </c>
      <c r="L74" s="1677">
        <f>SUM(L42,L47,L53,L57,L65,L72,L73)</f>
        <v>1693553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30985</v>
      </c>
      <c r="F79" s="616"/>
      <c r="G79" s="616"/>
      <c r="H79" s="466">
        <v>4725</v>
      </c>
      <c r="I79" s="477"/>
      <c r="J79" s="477"/>
      <c r="K79" s="1671">
        <f t="shared" si="11"/>
        <v>35710</v>
      </c>
      <c r="L79" s="466">
        <v>70000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4664</v>
      </c>
      <c r="I81" s="477"/>
      <c r="J81" s="477"/>
      <c r="K81" s="1671">
        <f t="shared" si="11"/>
        <v>4664</v>
      </c>
      <c r="L81" s="466">
        <v>4500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30985</v>
      </c>
      <c r="F84" s="616"/>
      <c r="G84" s="616"/>
      <c r="H84" s="1670">
        <f>SUM(H78:H83)</f>
        <v>9389</v>
      </c>
      <c r="I84" s="477"/>
      <c r="J84" s="477"/>
      <c r="K84" s="1670">
        <f>SUM(K78:K83)</f>
        <v>40374</v>
      </c>
      <c r="L84" s="1670">
        <f>SUM(L78:L83)</f>
        <v>74500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34706</v>
      </c>
      <c r="I86" s="477"/>
      <c r="J86" s="477"/>
      <c r="K86" s="1677">
        <f t="shared" ref="K86:K98" si="12">H86</f>
        <v>34706</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34706</v>
      </c>
      <c r="I92" s="477"/>
      <c r="J92" s="477"/>
      <c r="K92" s="1677">
        <f t="shared" si="12"/>
        <v>34706</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30985</v>
      </c>
      <c r="F102" s="616"/>
      <c r="G102" s="616"/>
      <c r="H102" s="1677">
        <f>SUM(H84,H92,H100,H101)</f>
        <v>44095</v>
      </c>
      <c r="I102" s="477"/>
      <c r="J102" s="477"/>
      <c r="K102" s="1677">
        <f>SUM(K84,K92,K100,K101)</f>
        <v>75080</v>
      </c>
      <c r="L102" s="1677">
        <f>SUM(L84,L92,L100,L101)</f>
        <v>74500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4294402</v>
      </c>
      <c r="D114" s="1670">
        <f t="shared" ref="D114:K114" si="13">SUM(D33,D74,D75,D102,D112,D113)</f>
        <v>792784</v>
      </c>
      <c r="E114" s="1670">
        <f t="shared" si="13"/>
        <v>213249</v>
      </c>
      <c r="F114" s="1670">
        <f t="shared" si="13"/>
        <v>462505</v>
      </c>
      <c r="G114" s="1670">
        <f t="shared" si="13"/>
        <v>3807</v>
      </c>
      <c r="H114" s="1670">
        <f>SUM(H33,H74,H75,H102,H112,H113)</f>
        <v>473700</v>
      </c>
      <c r="I114" s="1670">
        <f t="shared" si="13"/>
        <v>0</v>
      </c>
      <c r="J114" s="1670">
        <f t="shared" si="13"/>
        <v>0</v>
      </c>
      <c r="K114" s="1670">
        <f t="shared" si="13"/>
        <v>6240447</v>
      </c>
      <c r="L114" s="1670">
        <f>SUM(L33,L74,L75,L102,L112,L113)</f>
        <v>6304277</v>
      </c>
    </row>
    <row r="115" spans="1:14" ht="13.5" thickTop="1" x14ac:dyDescent="0.2">
      <c r="A115" s="2180" t="s">
        <v>996</v>
      </c>
      <c r="B115" s="2181"/>
      <c r="C115" s="618"/>
      <c r="D115" s="618"/>
      <c r="E115" s="618"/>
      <c r="F115" s="618"/>
      <c r="G115" s="618"/>
      <c r="H115" s="618"/>
      <c r="I115" s="618"/>
      <c r="J115" s="618"/>
      <c r="K115" s="1684">
        <f>'Revenues 9-14'!C268-'Expenditures 15-22'!K114</f>
        <v>320800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120745</v>
      </c>
      <c r="H123" s="466"/>
      <c r="I123" s="467"/>
      <c r="J123" s="467"/>
      <c r="K123" s="1670">
        <f>SUM(C123:J123)</f>
        <v>120745</v>
      </c>
      <c r="L123" s="466">
        <v>100000</v>
      </c>
    </row>
    <row r="124" spans="1:14" ht="14.25" thickTop="1" thickBot="1" x14ac:dyDescent="0.25">
      <c r="A124" s="1504" t="s">
        <v>197</v>
      </c>
      <c r="B124" s="614">
        <v>2540</v>
      </c>
      <c r="C124" s="466"/>
      <c r="D124" s="466"/>
      <c r="E124" s="466">
        <v>162769</v>
      </c>
      <c r="F124" s="466">
        <v>268282</v>
      </c>
      <c r="G124" s="466">
        <v>37597</v>
      </c>
      <c r="H124" s="466"/>
      <c r="I124" s="467"/>
      <c r="J124" s="467"/>
      <c r="K124" s="1670">
        <f>SUM(C124:J124)</f>
        <v>468648</v>
      </c>
      <c r="L124" s="466">
        <v>500000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162769</v>
      </c>
      <c r="F127" s="1670">
        <f t="shared" si="14"/>
        <v>268282</v>
      </c>
      <c r="G127" s="1670">
        <f t="shared" si="14"/>
        <v>158342</v>
      </c>
      <c r="H127" s="1670">
        <f t="shared" si="14"/>
        <v>0</v>
      </c>
      <c r="I127" s="1670">
        <f t="shared" si="14"/>
        <v>0</v>
      </c>
      <c r="J127" s="1670">
        <f t="shared" si="14"/>
        <v>0</v>
      </c>
      <c r="K127" s="1670">
        <f t="shared" si="14"/>
        <v>589393</v>
      </c>
      <c r="L127" s="1670">
        <f t="shared" si="14"/>
        <v>600000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162769</v>
      </c>
      <c r="F129" s="1677">
        <f t="shared" si="15"/>
        <v>268282</v>
      </c>
      <c r="G129" s="1677">
        <f t="shared" si="15"/>
        <v>158342</v>
      </c>
      <c r="H129" s="1677">
        <f t="shared" si="15"/>
        <v>0</v>
      </c>
      <c r="I129" s="1677">
        <f t="shared" si="15"/>
        <v>0</v>
      </c>
      <c r="J129" s="1677">
        <f t="shared" si="15"/>
        <v>0</v>
      </c>
      <c r="K129" s="1677">
        <f t="shared" si="15"/>
        <v>589393</v>
      </c>
      <c r="L129" s="1677">
        <f t="shared" si="15"/>
        <v>600000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0</v>
      </c>
      <c r="D151" s="1670">
        <f t="shared" ref="D151:K151" si="16">SUM(D129,D130,D139,D149,D150)</f>
        <v>0</v>
      </c>
      <c r="E151" s="1670">
        <f t="shared" si="16"/>
        <v>162769</v>
      </c>
      <c r="F151" s="1670">
        <f t="shared" si="16"/>
        <v>268282</v>
      </c>
      <c r="G151" s="1670">
        <f t="shared" si="16"/>
        <v>158342</v>
      </c>
      <c r="H151" s="1670">
        <f t="shared" si="16"/>
        <v>0</v>
      </c>
      <c r="I151" s="1670">
        <f t="shared" si="16"/>
        <v>0</v>
      </c>
      <c r="J151" s="1670">
        <f t="shared" si="16"/>
        <v>0</v>
      </c>
      <c r="K151" s="1670">
        <f t="shared" si="16"/>
        <v>589393</v>
      </c>
      <c r="L151" s="1670">
        <f>SUM(L129,L130,L139,L149,L150)</f>
        <v>600000</v>
      </c>
    </row>
    <row r="152" spans="1:14" ht="12.75" customHeight="1" thickTop="1" x14ac:dyDescent="0.2">
      <c r="A152" s="2173" t="s">
        <v>1178</v>
      </c>
      <c r="B152" s="2174"/>
      <c r="C152" s="618"/>
      <c r="D152" s="618"/>
      <c r="E152" s="618"/>
      <c r="F152" s="618"/>
      <c r="G152" s="618"/>
      <c r="H152" s="618"/>
      <c r="I152" s="618"/>
      <c r="J152" s="616"/>
      <c r="K152" s="1684">
        <f>'Revenues 9-14'!D268-'Expenditures 15-22'!K151</f>
        <v>-69434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0" t="s">
        <v>996</v>
      </c>
      <c r="B175" s="2181"/>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6000</v>
      </c>
      <c r="D180" s="466">
        <v>2165</v>
      </c>
      <c r="E180" s="466"/>
      <c r="F180" s="466"/>
      <c r="G180" s="466"/>
      <c r="H180" s="466"/>
      <c r="I180" s="467"/>
      <c r="J180" s="467"/>
      <c r="K180" s="1671">
        <f>SUM(C180:J180)</f>
        <v>8165</v>
      </c>
      <c r="L180" s="466">
        <v>6700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247616</v>
      </c>
      <c r="D182" s="466">
        <v>29359</v>
      </c>
      <c r="E182" s="466">
        <v>89608</v>
      </c>
      <c r="F182" s="466">
        <v>119670</v>
      </c>
      <c r="G182" s="466">
        <v>17484</v>
      </c>
      <c r="H182" s="466">
        <v>411</v>
      </c>
      <c r="I182" s="467"/>
      <c r="J182" s="467"/>
      <c r="K182" s="1671">
        <f>SUM(C182:J182)</f>
        <v>504148</v>
      </c>
      <c r="L182" s="466">
        <v>515982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253616</v>
      </c>
      <c r="D184" s="1677">
        <f t="shared" ref="D184:J184" si="17">SUM(D180,D182,D183)</f>
        <v>31524</v>
      </c>
      <c r="E184" s="1677">
        <f t="shared" si="17"/>
        <v>89608</v>
      </c>
      <c r="F184" s="1677">
        <f t="shared" si="17"/>
        <v>119670</v>
      </c>
      <c r="G184" s="1677">
        <f t="shared" si="17"/>
        <v>17484</v>
      </c>
      <c r="H184" s="1677">
        <f t="shared" si="17"/>
        <v>411</v>
      </c>
      <c r="I184" s="1677">
        <f t="shared" si="17"/>
        <v>0</v>
      </c>
      <c r="J184" s="1677">
        <f t="shared" si="17"/>
        <v>0</v>
      </c>
      <c r="K184" s="1677">
        <f>SUM(K180,K182,K183)</f>
        <v>512313</v>
      </c>
      <c r="L184" s="1677">
        <f>SUM(L180, L182:L183)</f>
        <v>522682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253616</v>
      </c>
      <c r="D210" s="1670">
        <f>SUM(D184,D185)</f>
        <v>31524</v>
      </c>
      <c r="E210" s="1670">
        <f>SUM(E184,E185,E196)</f>
        <v>89608</v>
      </c>
      <c r="F210" s="1670">
        <f>SUM(F184,F185)</f>
        <v>119670</v>
      </c>
      <c r="G210" s="1670">
        <f>SUM(G184,G185)</f>
        <v>17484</v>
      </c>
      <c r="H210" s="1670">
        <f>SUM(H184,H185,H196,H208,H209)</f>
        <v>411</v>
      </c>
      <c r="I210" s="1670">
        <f>SUM(I184,I185)</f>
        <v>0</v>
      </c>
      <c r="J210" s="1670">
        <f>SUM(J184,J185)</f>
        <v>0</v>
      </c>
      <c r="K210" s="1671">
        <f>SUM(K184,K185,K196,K208,K209)</f>
        <v>512313</v>
      </c>
      <c r="L210" s="1670">
        <f>SUM(L184,L185,L196,L208,L209)</f>
        <v>522682</v>
      </c>
    </row>
    <row r="211" spans="1:14" ht="13.5" thickTop="1" x14ac:dyDescent="0.2">
      <c r="A211" s="2180" t="s">
        <v>996</v>
      </c>
      <c r="B211" s="2181"/>
      <c r="C211" s="618"/>
      <c r="D211" s="618"/>
      <c r="E211" s="618"/>
      <c r="F211" s="618"/>
      <c r="G211" s="618"/>
      <c r="H211" s="618"/>
      <c r="I211" s="616"/>
      <c r="J211" s="616"/>
      <c r="K211" s="1684">
        <f>'Revenues 9-14'!F268-'Expenditures 15-22'!K210</f>
        <v>-47832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42591</v>
      </c>
      <c r="E215" s="616"/>
      <c r="F215" s="616"/>
      <c r="G215" s="616"/>
      <c r="H215" s="616"/>
      <c r="I215" s="616"/>
      <c r="J215" s="616"/>
      <c r="K215" s="1671">
        <f>D215</f>
        <v>42591</v>
      </c>
      <c r="L215" s="466">
        <v>51800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20247</v>
      </c>
      <c r="E217" s="616"/>
      <c r="F217" s="616"/>
      <c r="G217" s="616"/>
      <c r="H217" s="616"/>
      <c r="I217" s="616"/>
      <c r="J217" s="616"/>
      <c r="K217" s="1671">
        <f t="shared" si="19"/>
        <v>20247</v>
      </c>
      <c r="L217" s="466">
        <v>27200</v>
      </c>
    </row>
    <row r="218" spans="1:14" x14ac:dyDescent="0.2">
      <c r="A218" s="1504" t="s">
        <v>278</v>
      </c>
      <c r="B218" s="614" t="s">
        <v>968</v>
      </c>
      <c r="C218" s="616"/>
      <c r="D218" s="467">
        <v>1956</v>
      </c>
      <c r="E218" s="616"/>
      <c r="F218" s="616"/>
      <c r="G218" s="616"/>
      <c r="H218" s="616"/>
      <c r="I218" s="616"/>
      <c r="J218" s="616"/>
      <c r="K218" s="1671">
        <f t="shared" si="19"/>
        <v>1956</v>
      </c>
      <c r="L218" s="466">
        <v>2550</v>
      </c>
    </row>
    <row r="219" spans="1:14" x14ac:dyDescent="0.2">
      <c r="A219" s="1504" t="s">
        <v>279</v>
      </c>
      <c r="B219" s="614">
        <v>1250</v>
      </c>
      <c r="C219" s="616"/>
      <c r="D219" s="466">
        <v>12426</v>
      </c>
      <c r="E219" s="616"/>
      <c r="F219" s="616"/>
      <c r="G219" s="616"/>
      <c r="H219" s="616"/>
      <c r="I219" s="616"/>
      <c r="J219" s="616"/>
      <c r="K219" s="1671">
        <f t="shared" si="19"/>
        <v>12426</v>
      </c>
      <c r="L219" s="466">
        <v>30500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5710</v>
      </c>
      <c r="E223" s="616"/>
      <c r="F223" s="616"/>
      <c r="G223" s="616"/>
      <c r="H223" s="616"/>
      <c r="I223" s="616"/>
      <c r="J223" s="616"/>
      <c r="K223" s="1671">
        <f t="shared" si="19"/>
        <v>5710</v>
      </c>
      <c r="L223" s="466">
        <v>2465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507</v>
      </c>
      <c r="E226" s="616"/>
      <c r="F226" s="616"/>
      <c r="G226" s="616"/>
      <c r="H226" s="616"/>
      <c r="I226" s="616"/>
      <c r="J226" s="616"/>
      <c r="K226" s="1671">
        <f t="shared" si="19"/>
        <v>507</v>
      </c>
      <c r="L226" s="466">
        <v>585</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83437</v>
      </c>
      <c r="E229" s="616"/>
      <c r="F229" s="616"/>
      <c r="G229" s="616"/>
      <c r="H229" s="616"/>
      <c r="I229" s="616"/>
      <c r="J229" s="616"/>
      <c r="K229" s="1670">
        <f>SUM(K215:K228)</f>
        <v>83437</v>
      </c>
      <c r="L229" s="1670">
        <f>SUM(L215:L228)</f>
        <v>115100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1367</v>
      </c>
      <c r="E233" s="616"/>
      <c r="F233" s="616"/>
      <c r="G233" s="616"/>
      <c r="H233" s="616"/>
      <c r="I233" s="616"/>
      <c r="J233" s="616"/>
      <c r="K233" s="1671">
        <f t="shared" si="20"/>
        <v>1367</v>
      </c>
      <c r="L233" s="466">
        <v>1408</v>
      </c>
    </row>
    <row r="234" spans="1:12" x14ac:dyDescent="0.2">
      <c r="A234" s="1504" t="s">
        <v>198</v>
      </c>
      <c r="B234" s="614">
        <v>2130</v>
      </c>
      <c r="C234" s="616"/>
      <c r="D234" s="466">
        <v>5863</v>
      </c>
      <c r="E234" s="616"/>
      <c r="F234" s="616"/>
      <c r="G234" s="616"/>
      <c r="H234" s="616"/>
      <c r="I234" s="616"/>
      <c r="J234" s="616"/>
      <c r="K234" s="1671">
        <f t="shared" si="20"/>
        <v>5863</v>
      </c>
      <c r="L234" s="466">
        <v>7055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873</v>
      </c>
      <c r="E236" s="616"/>
      <c r="F236" s="616"/>
      <c r="G236" s="616"/>
      <c r="H236" s="616"/>
      <c r="I236" s="616"/>
      <c r="J236" s="616"/>
      <c r="K236" s="1671">
        <f t="shared" si="20"/>
        <v>873</v>
      </c>
      <c r="L236" s="466">
        <v>1000</v>
      </c>
    </row>
    <row r="237" spans="1:12" x14ac:dyDescent="0.2">
      <c r="A237" s="1504" t="s">
        <v>165</v>
      </c>
      <c r="B237" s="614">
        <v>2190</v>
      </c>
      <c r="C237" s="616"/>
      <c r="D237" s="466">
        <v>115</v>
      </c>
      <c r="E237" s="616"/>
      <c r="F237" s="616"/>
      <c r="G237" s="616"/>
      <c r="H237" s="616"/>
      <c r="I237" s="616"/>
      <c r="J237" s="616"/>
      <c r="K237" s="1671">
        <f t="shared" si="20"/>
        <v>115</v>
      </c>
      <c r="L237" s="466">
        <v>87</v>
      </c>
    </row>
    <row r="238" spans="1:12" ht="12.75" customHeight="1" thickBot="1" x14ac:dyDescent="0.25">
      <c r="A238" s="1668" t="s">
        <v>560</v>
      </c>
      <c r="B238" s="1675" t="s">
        <v>716</v>
      </c>
      <c r="C238" s="616"/>
      <c r="D238" s="1670">
        <f>SUM(D232:D237)</f>
        <v>8218</v>
      </c>
      <c r="E238" s="616"/>
      <c r="F238" s="616"/>
      <c r="G238" s="616"/>
      <c r="H238" s="616"/>
      <c r="I238" s="616"/>
      <c r="J238" s="616"/>
      <c r="K238" s="1670">
        <f>SUM(K232:K237)</f>
        <v>8218</v>
      </c>
      <c r="L238" s="1670">
        <f>SUM(L232:L237)</f>
        <v>9550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2509</v>
      </c>
      <c r="E241" s="616"/>
      <c r="F241" s="616"/>
      <c r="G241" s="616"/>
      <c r="H241" s="616"/>
      <c r="I241" s="616"/>
      <c r="J241" s="616"/>
      <c r="K241" s="1672">
        <f>D241</f>
        <v>2509</v>
      </c>
      <c r="L241" s="466">
        <v>2600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2509</v>
      </c>
      <c r="E243" s="616"/>
      <c r="F243" s="616"/>
      <c r="G243" s="616"/>
      <c r="H243" s="616"/>
      <c r="I243" s="616"/>
      <c r="J243" s="616"/>
      <c r="K243" s="1670">
        <f>SUM(K240:K242)</f>
        <v>2509</v>
      </c>
      <c r="L243" s="1670">
        <f>SUM(L240:L242)</f>
        <v>2600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10588</v>
      </c>
      <c r="E246" s="616"/>
      <c r="F246" s="616"/>
      <c r="G246" s="616"/>
      <c r="H246" s="616"/>
      <c r="I246" s="616"/>
      <c r="J246" s="616"/>
      <c r="K246" s="1672">
        <f t="shared" ref="K246:K256" si="21">D246</f>
        <v>10588</v>
      </c>
      <c r="L246" s="466">
        <v>10960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34</v>
      </c>
      <c r="E254" s="616"/>
      <c r="F254" s="616"/>
      <c r="G254" s="616"/>
      <c r="H254" s="616"/>
      <c r="I254" s="616"/>
      <c r="J254" s="616"/>
      <c r="K254" s="1672">
        <f t="shared" si="21"/>
        <v>34</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10622</v>
      </c>
      <c r="E257" s="616"/>
      <c r="F257" s="616"/>
      <c r="G257" s="616"/>
      <c r="H257" s="616"/>
      <c r="I257" s="616"/>
      <c r="J257" s="616"/>
      <c r="K257" s="1670">
        <f>SUM(K245:K256)</f>
        <v>10622</v>
      </c>
      <c r="L257" s="1670">
        <f>SUM(L245:L256)</f>
        <v>10960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12603</v>
      </c>
      <c r="E259" s="616"/>
      <c r="F259" s="616"/>
      <c r="G259" s="616"/>
      <c r="H259" s="616"/>
      <c r="I259" s="616"/>
      <c r="J259" s="616"/>
      <c r="K259" s="1672">
        <f>D259</f>
        <v>12603</v>
      </c>
      <c r="L259" s="481">
        <v>7990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12603</v>
      </c>
      <c r="E261" s="616"/>
      <c r="F261" s="616"/>
      <c r="G261" s="616"/>
      <c r="H261" s="616"/>
      <c r="I261" s="616"/>
      <c r="J261" s="616"/>
      <c r="K261" s="1670">
        <f>SUM(K259:K260)</f>
        <v>12603</v>
      </c>
      <c r="L261" s="1670">
        <f>SUM(L259:L260)</f>
        <v>7990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6268</v>
      </c>
      <c r="E264" s="616"/>
      <c r="F264" s="616"/>
      <c r="G264" s="616"/>
      <c r="H264" s="616"/>
      <c r="I264" s="616"/>
      <c r="J264" s="616"/>
      <c r="K264" s="1672">
        <f t="shared" ref="K264:K269" si="22">D264</f>
        <v>6268</v>
      </c>
      <c r="L264" s="466">
        <v>10040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30448</v>
      </c>
      <c r="E266" s="616"/>
      <c r="F266" s="616"/>
      <c r="G266" s="616"/>
      <c r="H266" s="616"/>
      <c r="I266" s="616"/>
      <c r="J266" s="616"/>
      <c r="K266" s="1672">
        <f t="shared" si="22"/>
        <v>30448</v>
      </c>
      <c r="L266" s="466">
        <v>42535</v>
      </c>
    </row>
    <row r="267" spans="1:14" x14ac:dyDescent="0.2">
      <c r="A267" s="1504" t="s">
        <v>953</v>
      </c>
      <c r="B267" s="614">
        <v>2550</v>
      </c>
      <c r="C267" s="616"/>
      <c r="D267" s="466">
        <v>52235</v>
      </c>
      <c r="E267" s="616"/>
      <c r="F267" s="616"/>
      <c r="G267" s="616"/>
      <c r="H267" s="616"/>
      <c r="I267" s="616"/>
      <c r="J267" s="616"/>
      <c r="K267" s="1672">
        <f t="shared" si="22"/>
        <v>52235</v>
      </c>
      <c r="L267" s="466">
        <v>50554</v>
      </c>
    </row>
    <row r="268" spans="1:14" x14ac:dyDescent="0.2">
      <c r="A268" s="1504" t="s">
        <v>100</v>
      </c>
      <c r="B268" s="614">
        <v>2560</v>
      </c>
      <c r="C268" s="616"/>
      <c r="D268" s="466">
        <v>18065</v>
      </c>
      <c r="E268" s="616"/>
      <c r="F268" s="616"/>
      <c r="G268" s="616"/>
      <c r="H268" s="616"/>
      <c r="I268" s="616"/>
      <c r="J268" s="616"/>
      <c r="K268" s="1672">
        <f t="shared" si="22"/>
        <v>18065</v>
      </c>
      <c r="L268" s="466">
        <v>20025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107016</v>
      </c>
      <c r="E270" s="616"/>
      <c r="F270" s="616"/>
      <c r="G270" s="616"/>
      <c r="H270" s="616"/>
      <c r="I270" s="616"/>
      <c r="J270" s="616"/>
      <c r="K270" s="1670">
        <f>SUM(K263:K269)</f>
        <v>107016</v>
      </c>
      <c r="L270" s="1670">
        <f>SUM(L263:L269)</f>
        <v>123154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10005</v>
      </c>
      <c r="E276" s="616"/>
      <c r="F276" s="616"/>
      <c r="G276" s="616"/>
      <c r="H276" s="616"/>
      <c r="I276" s="616"/>
      <c r="J276" s="616"/>
      <c r="K276" s="1672">
        <f>D276</f>
        <v>10005</v>
      </c>
      <c r="L276" s="466">
        <v>13840</v>
      </c>
    </row>
    <row r="277" spans="1:12" ht="12.75" customHeight="1" thickBot="1" x14ac:dyDescent="0.25">
      <c r="A277" s="1691" t="s">
        <v>37</v>
      </c>
      <c r="B277" s="1669" t="s">
        <v>36</v>
      </c>
      <c r="C277" s="616"/>
      <c r="D277" s="1670">
        <f>SUM(D272:D276)</f>
        <v>10005</v>
      </c>
      <c r="E277" s="616"/>
      <c r="F277" s="616"/>
      <c r="G277" s="616"/>
      <c r="H277" s="616"/>
      <c r="I277" s="616"/>
      <c r="J277" s="616"/>
      <c r="K277" s="1670">
        <f>SUM(K272:K276)</f>
        <v>10005</v>
      </c>
      <c r="L277" s="1670">
        <f>SUM(L272:L276)</f>
        <v>13840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150973</v>
      </c>
      <c r="E279" s="616"/>
      <c r="F279" s="616"/>
      <c r="G279" s="616"/>
      <c r="H279" s="616"/>
      <c r="I279" s="616"/>
      <c r="J279" s="616"/>
      <c r="K279" s="1677">
        <f>SUM(K238,K243,K257,K261,K270,K277,K278)</f>
        <v>150973</v>
      </c>
      <c r="L279" s="1677">
        <f>SUM(L238,L243,L257,L261,L270,L277,L278)</f>
        <v>168094</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234410</v>
      </c>
      <c r="E295" s="616"/>
      <c r="F295" s="616"/>
      <c r="G295" s="616"/>
      <c r="H295" s="1670">
        <f>H293</f>
        <v>0</v>
      </c>
      <c r="I295" s="616"/>
      <c r="J295" s="616"/>
      <c r="K295" s="1670">
        <f>SUM(K229,K279,K280,K285,K293,K294)</f>
        <v>234410</v>
      </c>
      <c r="L295" s="1670">
        <f>SUM(L229,L279,L280,L285,L293,L294)</f>
        <v>283194</v>
      </c>
    </row>
    <row r="296" spans="1:14" ht="13.5" thickTop="1" x14ac:dyDescent="0.2">
      <c r="A296" s="2180" t="s">
        <v>996</v>
      </c>
      <c r="B296" s="2181"/>
      <c r="C296" s="616"/>
      <c r="D296" s="618"/>
      <c r="E296" s="616"/>
      <c r="F296" s="616"/>
      <c r="G296" s="616"/>
      <c r="H296" s="687"/>
      <c r="I296" s="616"/>
      <c r="J296" s="616"/>
      <c r="K296" s="1684">
        <f>'Revenues 9-14'!G268-'Expenditures 15-22'!K295</f>
        <v>79749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92851</v>
      </c>
      <c r="F320" s="467"/>
      <c r="G320" s="467"/>
      <c r="H320" s="467"/>
      <c r="I320" s="467"/>
      <c r="J320" s="467"/>
      <c r="K320" s="1671">
        <f t="shared" ref="K320:K327" si="24">SUM(C320:J320)</f>
        <v>92851</v>
      </c>
      <c r="L320" s="467">
        <v>92851</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v>1004</v>
      </c>
      <c r="F323" s="467"/>
      <c r="G323" s="467"/>
      <c r="H323" s="467"/>
      <c r="I323" s="467"/>
      <c r="J323" s="467"/>
      <c r="K323" s="1671">
        <f t="shared" si="24"/>
        <v>1004</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371949</v>
      </c>
      <c r="D325" s="467">
        <v>56</v>
      </c>
      <c r="E325" s="467">
        <v>30480</v>
      </c>
      <c r="F325" s="467"/>
      <c r="G325" s="467"/>
      <c r="H325" s="467"/>
      <c r="I325" s="467"/>
      <c r="J325" s="467"/>
      <c r="K325" s="1671">
        <f t="shared" si="24"/>
        <v>402485</v>
      </c>
      <c r="L325" s="467">
        <v>406000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6341</v>
      </c>
      <c r="F327" s="467"/>
      <c r="G327" s="467"/>
      <c r="H327" s="467"/>
      <c r="I327" s="467"/>
      <c r="J327" s="467"/>
      <c r="K327" s="1671">
        <f t="shared" si="24"/>
        <v>6341</v>
      </c>
      <c r="L327" s="467">
        <v>6000</v>
      </c>
      <c r="M327" s="665"/>
      <c r="N327" s="665"/>
    </row>
    <row r="328" spans="1:14" s="674" customFormat="1" x14ac:dyDescent="0.2">
      <c r="A328" s="1520" t="s">
        <v>472</v>
      </c>
      <c r="B328" s="690" t="s">
        <v>1132</v>
      </c>
      <c r="C328" s="474"/>
      <c r="D328" s="474"/>
      <c r="E328" s="474">
        <v>74289</v>
      </c>
      <c r="F328" s="474"/>
      <c r="G328" s="474"/>
      <c r="H328" s="474"/>
      <c r="I328" s="474"/>
      <c r="J328" s="474"/>
      <c r="K328" s="1699">
        <f>SUM(C328:J328)</f>
        <v>74289</v>
      </c>
      <c r="L328" s="474">
        <v>74289</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371949</v>
      </c>
      <c r="D330" s="1670">
        <f t="shared" ref="D330:J330" si="25">SUM(D319:D329)</f>
        <v>56</v>
      </c>
      <c r="E330" s="1670">
        <f t="shared" si="25"/>
        <v>204965</v>
      </c>
      <c r="F330" s="1670">
        <f t="shared" si="25"/>
        <v>0</v>
      </c>
      <c r="G330" s="1670">
        <f t="shared" si="25"/>
        <v>0</v>
      </c>
      <c r="H330" s="1670">
        <f t="shared" si="25"/>
        <v>0</v>
      </c>
      <c r="I330" s="1670">
        <f t="shared" si="25"/>
        <v>0</v>
      </c>
      <c r="J330" s="1670">
        <f t="shared" si="25"/>
        <v>0</v>
      </c>
      <c r="K330" s="1670">
        <f>SUM(K319:K329)</f>
        <v>576970</v>
      </c>
      <c r="L330" s="1670">
        <f>SUM(L319:L329)</f>
        <v>589140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371949</v>
      </c>
      <c r="D342" s="1670">
        <f>SUM(D330)</f>
        <v>56</v>
      </c>
      <c r="E342" s="1670">
        <f>SUM(E330)</f>
        <v>204965</v>
      </c>
      <c r="F342" s="1670">
        <f>SUM(F330)</f>
        <v>0</v>
      </c>
      <c r="G342" s="1670">
        <f>SUM(G330)</f>
        <v>0</v>
      </c>
      <c r="H342" s="1670">
        <f>SUM(H330,H334,H340)</f>
        <v>0</v>
      </c>
      <c r="I342" s="1670">
        <f>SUM(I330)</f>
        <v>0</v>
      </c>
      <c r="J342" s="1670">
        <f>SUM(J330)</f>
        <v>0</v>
      </c>
      <c r="K342" s="1670">
        <f>SUM(K330,K334,K340)</f>
        <v>576970</v>
      </c>
      <c r="L342" s="1677">
        <f>SUM(L330,L340,L341)</f>
        <v>589140</v>
      </c>
    </row>
    <row r="343" spans="1:14" ht="12.75" customHeight="1" thickTop="1" x14ac:dyDescent="0.2">
      <c r="A343" s="2166" t="s">
        <v>996</v>
      </c>
      <c r="B343" s="2167"/>
      <c r="C343" s="616"/>
      <c r="D343" s="616"/>
      <c r="E343" s="616"/>
      <c r="F343" s="616"/>
      <c r="G343" s="616"/>
      <c r="H343" s="616"/>
      <c r="I343" s="616"/>
      <c r="J343" s="616"/>
      <c r="K343" s="1684">
        <f>'Revenues 9-14'!J268-'Expenditures 15-22'!K342</f>
        <v>16068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72891</v>
      </c>
      <c r="H349" s="466"/>
      <c r="I349" s="467"/>
      <c r="J349" s="467"/>
      <c r="K349" s="1671">
        <f>SUM(C349:J349)</f>
        <v>72891</v>
      </c>
      <c r="L349" s="466">
        <v>99000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72891</v>
      </c>
      <c r="H350" s="1670">
        <f t="shared" si="26"/>
        <v>0</v>
      </c>
      <c r="I350" s="1670">
        <f t="shared" si="26"/>
        <v>0</v>
      </c>
      <c r="J350" s="1670">
        <f t="shared" si="26"/>
        <v>0</v>
      </c>
      <c r="K350" s="1670">
        <f t="shared" si="26"/>
        <v>72891</v>
      </c>
      <c r="L350" s="1670">
        <f t="shared" si="26"/>
        <v>99000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72891</v>
      </c>
      <c r="H352" s="1670">
        <f t="shared" si="27"/>
        <v>0</v>
      </c>
      <c r="I352" s="1670">
        <f t="shared" si="27"/>
        <v>0</v>
      </c>
      <c r="J352" s="1670">
        <f t="shared" si="27"/>
        <v>0</v>
      </c>
      <c r="K352" s="1670">
        <f t="shared" si="27"/>
        <v>72891</v>
      </c>
      <c r="L352" s="1670">
        <f t="shared" si="27"/>
        <v>99000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72891</v>
      </c>
      <c r="H367" s="1670">
        <f t="shared" si="28"/>
        <v>0</v>
      </c>
      <c r="I367" s="1670">
        <f t="shared" si="28"/>
        <v>0</v>
      </c>
      <c r="J367" s="1670">
        <f t="shared" si="28"/>
        <v>0</v>
      </c>
      <c r="K367" s="1670">
        <f t="shared" si="28"/>
        <v>72891</v>
      </c>
      <c r="L367" s="1670">
        <f t="shared" si="28"/>
        <v>99000</v>
      </c>
    </row>
    <row r="368" spans="1:14" ht="13.5" thickTop="1" x14ac:dyDescent="0.2">
      <c r="A368" s="2180" t="s">
        <v>996</v>
      </c>
      <c r="B368" s="2181"/>
      <c r="C368" s="654"/>
      <c r="D368" s="654"/>
      <c r="E368" s="626"/>
      <c r="F368" s="626"/>
      <c r="G368" s="626"/>
      <c r="H368" s="626"/>
      <c r="I368" s="626"/>
      <c r="J368" s="623"/>
      <c r="K368" s="1671">
        <f>'Revenues 9-14'!K268-'Expenditures 15-22'!K367</f>
        <v>-23348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6ce3111e-7420-4802-b50a-75d4e9a0b980"/>
    <ds:schemaRef ds:uri="http://schemas.microsoft.com/office/2006/metadata/properties"/>
    <ds:schemaRef ds:uri="http://schemas.openxmlformats.org/package/2006/metadata/core-properties"/>
    <ds:schemaRef ds:uri="4d435f69-8686-490b-bd6d-b153bf22ab50"/>
    <ds:schemaRef ds:uri="http://purl.org/dc/dcmitype/"/>
    <ds:schemaRef ds:uri="http://schemas.microsoft.com/office/2006/documentManagement/types"/>
    <ds:schemaRef ds:uri="d21dc803-237d-4c68-8692-8d731fd29118"/>
    <ds:schemaRef ds:uri="http://schemas.microsoft.com/sharepoint/v3"/>
    <ds:schemaRef ds:uri="http://purl.org/dc/terms/"/>
    <ds:schemaRef ds:uri="http://purl.org/dc/elements/1.1/"/>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HEMBERGER MICHELLE</cp:lastModifiedBy>
  <cp:lastPrinted>2019-10-08T16:21:59Z</cp:lastPrinted>
  <dcterms:created xsi:type="dcterms:W3CDTF">2003-10-29T19:06:34Z</dcterms:created>
  <dcterms:modified xsi:type="dcterms:W3CDTF">2019-11-22T20:01:23Z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