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530DC17D-65D7-419C-AEFE-CB408ED9CDD9}" xr6:coauthVersionLast="36" xr6:coauthVersionMax="36" xr10:uidLastSave="{00000000-0000-0000-0000-000000000000}"/>
  <bookViews>
    <workbookView xWindow="22935" yWindow="-105" windowWidth="23250" windowHeight="1272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 i="179" l="1"/>
  <c r="I15" i="179"/>
  <c r="H15" i="179"/>
  <c r="G15" i="179"/>
  <c r="F15" i="179"/>
  <c r="E15" i="17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6" i="108"/>
  <c r="G26" i="108"/>
  <c r="D27" i="108"/>
  <c r="E27" i="108"/>
  <c r="G27" i="108"/>
  <c r="F31" i="108"/>
  <c r="F36" i="108"/>
  <c r="G28"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F67" i="34"/>
  <c r="C68" i="34"/>
  <c r="D68" i="34"/>
  <c r="F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J22" i="37"/>
  <c r="L22" i="37"/>
  <c r="D24" i="37"/>
  <c r="B4270" i="106" s="1"/>
  <c r="D4270" i="106" s="1"/>
  <c r="F36" i="34" l="1"/>
  <c r="J129" i="29"/>
  <c r="B7038" i="106" s="1"/>
  <c r="D7038" i="106" s="1"/>
  <c r="F77" i="4"/>
  <c r="B3255" i="106" s="1"/>
  <c r="D3255" i="106" s="1"/>
  <c r="B3647" i="106"/>
  <c r="D3647" i="106" s="1"/>
  <c r="J210" i="29"/>
  <c r="B7072" i="106" s="1"/>
  <c r="D7072" i="106" s="1"/>
  <c r="F71" i="34"/>
  <c r="D22" i="37"/>
  <c r="B4211" i="106"/>
  <c r="D4211" i="106" s="1"/>
  <c r="C342" i="29"/>
  <c r="B7216" i="106" s="1"/>
  <c r="D7216" i="106" s="1"/>
  <c r="H33" i="118"/>
  <c r="H342" i="29"/>
  <c r="I129" i="29"/>
  <c r="B7037" i="106" s="1"/>
  <c r="D7037" i="106" s="1"/>
  <c r="H112" i="29"/>
  <c r="B7018" i="106" s="1"/>
  <c r="D7018" i="106" s="1"/>
  <c r="C352" i="29"/>
  <c r="B3621" i="106" s="1"/>
  <c r="D3621" i="106" s="1"/>
  <c r="K76" i="4"/>
  <c r="B3586" i="106" s="1"/>
  <c r="D3586" i="106" s="1"/>
  <c r="F70" i="34"/>
  <c r="G30" i="108"/>
  <c r="F19" i="7"/>
  <c r="B1807" i="106" s="1"/>
  <c r="D1807" i="106" s="1"/>
  <c r="G29" i="108"/>
  <c r="D68" i="36"/>
  <c r="E38" i="108"/>
  <c r="D54" i="36"/>
  <c r="F28" i="108"/>
  <c r="B1124" i="106"/>
  <c r="D1124" i="106" s="1"/>
  <c r="F50" i="34"/>
  <c r="I210" i="29"/>
  <c r="B7071" i="106" s="1"/>
  <c r="D7071" i="106" s="1"/>
  <c r="J77" i="4"/>
  <c r="B6262" i="106" s="1"/>
  <c r="D6262" i="106" s="1"/>
  <c r="K184" i="29"/>
  <c r="F13" i="4" s="1"/>
  <c r="B2596" i="106" s="1"/>
  <c r="D2596" i="106" s="1"/>
  <c r="G210" i="29"/>
  <c r="C129" i="29"/>
  <c r="B1225" i="106" s="1"/>
  <c r="D1225" i="106" s="1"/>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F41" i="108" s="1"/>
  <c r="G43" i="108" s="1"/>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L114" i="29" s="1"/>
  <c r="K33" i="29"/>
  <c r="B720" i="106"/>
  <c r="D720" i="106" s="1"/>
  <c r="B2031" i="106"/>
  <c r="D2031"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F66" i="34" l="1"/>
  <c r="B1328" i="106"/>
  <c r="D1328" i="106" s="1"/>
  <c r="D7256" i="106"/>
  <c r="D7251" i="106"/>
  <c r="B7215" i="106"/>
  <c r="D7215" i="106" s="1"/>
  <c r="B7235" i="106"/>
  <c r="D7235" i="106" s="1"/>
  <c r="C367" i="29"/>
  <c r="B3622" i="106" s="1"/>
  <c r="D3622" i="106" s="1"/>
  <c r="K365" i="29"/>
  <c r="C114" i="29"/>
  <c r="B757" i="106" s="1"/>
  <c r="D757" i="106" s="1"/>
  <c r="I7" i="4"/>
  <c r="B4444" i="106" s="1"/>
  <c r="D4444" i="106" s="1"/>
  <c r="L16" i="11"/>
  <c r="B2061" i="106" s="1"/>
  <c r="D2061" i="106" s="1"/>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K17"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<sst xmlns="http://schemas.openxmlformats.org/spreadsheetml/2006/main" count="5122" uniqueCount="2112">
  <si>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</si>
  <si>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</si>
  <si>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</si>
  <si>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</si>
  <si>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</si>
  <si>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</si>
  <si>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</si>
  <si>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</si>
  <si>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</si>
  <si>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</si>
  <si>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</si>
  <si>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</si>
  <si>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</si>
  <si>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</si>
  <si>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</si>
  <si>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</si>
  <si>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</si>
  <si>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</si>
  <si>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</si>
  <si>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</si>
  <si>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</si>
  <si>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</si>
  <si>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</si>
  <si>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</si>
  <si>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</si>
  <si>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</si>
  <si>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</si>
  <si>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</si>
  <si>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</si>
  <si>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</si>
  <si>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</si>
  <si>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</si>
  <si>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</si>
  <si>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</si>
  <si>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</si>
  <si>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</si>
  <si>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</si>
  <si>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</si>
  <si>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</si>
  <si>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</si>
  <si>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</si>
  <si>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</si>
  <si>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</si>
  <si>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</si>
  <si>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</si>
  <si>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</si>
  <si>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</si>
  <si>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</si>
  <si>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</si>
  <si>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</si>
  <si>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</si>
  <si>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</si>
  <si>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</si>
  <si>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</si>
  <si>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</si>
  <si>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</si>
  <si>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</si>
  <si>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</si>
  <si>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</si>
  <si>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</si>
  <si>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</si>
  <si>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</si>
  <si>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</si>
  <si>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</si>
  <si>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</si>
  <si>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</si>
  <si>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</si>
  <si>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</si>
  <si>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</si>
  <si>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</si>
  <si>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</si>
  <si>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</si>
  <si>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</si>
  <si>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</si>
  <si>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</si>
  <si>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</si>
  <si>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</si>
  <si>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</si>
  <si>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</si>
  <si>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</si>
  <si>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</si>
  <si>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</si>
  <si>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</si>
  <si>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</si>
  <si>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</si>
  <si>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</si>
  <si>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</si>
  <si>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</si>
  <si>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</si>
  <si>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</si>
  <si>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</si>
  <si>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</si>
  <si>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</si>
  <si>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</si>
  <si>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</si>
  <si>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</si>
  <si>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</si>
  <si>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</si>
  <si>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</si>
  <si>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</si>
  <si>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</si>
  <si>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</si>
  <si>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</si>
  <si>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</si>
  <si>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</si>
  <si>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</si>
  <si>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</si>
  <si>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</si>
  <si>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</si>
  <si>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</si>
  <si>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</si>
  <si>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</si>
  <si>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</si>
  <si>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</si>
  <si>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</si>
  <si>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</si>
  <si>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</si>
  <si>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</si>
  <si>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</si>
  <si>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</si>
  <si>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</si>
  <si>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</si>
  <si>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</si>
  <si>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</si>
  <si>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</si>
  <si>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</si>
  <si>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</si>
  <si>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</si>
  <si>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</si>
  <si>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</si>
  <si>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</si>
  <si>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</si>
  <si>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</si>
  <si>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</si>
  <si>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</si>
  <si>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</si>
  <si>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</si>
  <si>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</si>
  <si>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</si>
  <si>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</si>
  <si>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</si>
  <si>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</si>
  <si>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</si>
  <si>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</si>
  <si>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</si>
  <si>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</si>
  <si>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</si>
  <si>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</si>
  <si>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</si>
  <si>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</si>
  <si>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</si>
  <si>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</si>
  <si>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</si>
  <si>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</si>
  <si>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</si>
  <si>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</si>
  <si>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</si>
  <si>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</si>
  <si>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</si>
  <si>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</si>
  <si>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</si>
  <si>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</si>
  <si>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</si>
  <si>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</si>
  <si>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</si>
  <si>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</si>
  <si>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</si>
  <si>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</si>
  <si>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</si>
  <si>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</si>
  <si>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</si>
  <si>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</si>
  <si>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</si>
  <si>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</si>
  <si>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</si>
  <si>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</si>
  <si>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</si>
  <si>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</si>
  <si>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</si>
  <si>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</si>
  <si>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</si>
  <si>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</si>
  <si>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</si>
  <si>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</si>
  <si>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</si>
  <si>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</si>
  <si>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</si>
  <si>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</si>
  <si>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</si>
  <si>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</si>
  <si>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</si>
  <si>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</si>
  <si>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</si>
  <si>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</si>
  <si>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</si>
  <si>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</si>
  <si>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</si>
  <si>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</si>
  <si>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</si>
  <si>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</si>
  <si>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</si>
  <si>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</si>
  <si>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</si>
  <si>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</si>
  <si>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</si>
  <si>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</si>
  <si>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</si>
  <si>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</si>
  <si>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</si>
  <si>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</si>
  <si>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</si>
  <si>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</si>
  <si>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</si>
  <si>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</si>
  <si>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</si>
  <si>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</si>
  <si>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</si>
  <si>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</si>
  <si>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</si>
  <si>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</si>
  <si>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</si>
  <si>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</si>
  <si>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</si>
  <si>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</si>
  <si>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</si>
  <si>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</si>
  <si>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</si>
  <si>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</si>
  <si>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</si>
  <si>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</si>
  <si>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</si>
  <si>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</si>
  <si>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</si>
  <si>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</si>
  <si>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</si>
  <si>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</si>
  <si>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</si>
  <si>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</si>
  <si>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</si>
  <si>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</si>
  <si>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</si>
  <si>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</si>
  <si>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</si>
  <si>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</si>
  <si>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</si>
  <si>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</si>
  <si>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</si>
  <si>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</si>
  <si>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</si>
  <si>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</si>
  <si>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</si>
  <si>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</si>
  <si>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</si>
  <si>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</si>
  <si>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</si>
  <si>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</si>
  <si>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</si>
  <si>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</si>
  <si>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</si>
  <si>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</si>
  <si>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</si>
  <si>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</si>
  <si>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</si>
  <si>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</si>
  <si>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</si>
  <si>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</si>
  <si>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</si>
  <si>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</si>
  <si>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</si>
  <si>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</si>
  <si>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</si>
  <si>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</si>
  <si>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</si>
  <si>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</si>
  <si>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</si>
  <si>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</si>
  <si>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</si>
  <si>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</si>
  <si>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</si>
  <si>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</si>
  <si>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</si>
  <si>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</si>
  <si>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</si>
  <si>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</si>
  <si>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</si>
  <si>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</si>
  <si>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</si>
  <si>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</si>
  <si>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</si>
  <si>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</si>
  <si>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</si>
  <si>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</si>
  <si>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</si>
  <si>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</si>
  <si>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</si>
  <si>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</si>
  <si>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</si>
  <si>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</si>
  <si>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</si>
  <si>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</si>
  <si>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</si>
  <si>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</si>
  <si>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</si>
  <si>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</si>
  <si>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</si>
  <si>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</si>
  <si>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</si>
  <si>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</si>
  <si>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</si>
  <si>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</si>
  <si>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</si>
  <si>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</si>
  <si>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</si>
  <si>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</si>
  <si>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</si>
  <si>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</si>
  <si>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</si>
  <si>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</si>
  <si>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</si>
  <si>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</si>
  <si>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</si>
  <si>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</si>
  <si>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</si>
  <si>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</si>
  <si>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</si>
  <si>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</si>
  <si>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</si>
  <si>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</si>
  <si>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</si>
  <si>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</si>
  <si>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</si>
  <si>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</si>
  <si>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</si>
  <si>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</si>
  <si>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</si>
  <si>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</si>
  <si>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</si>
  <si>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</si>
  <si>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</si>
  <si>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</si>
  <si>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</si>
  <si>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</si>
  <si>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</si>
  <si>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</si>
  <si>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</si>
  <si>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</si>
  <si>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</si>
  <si>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</si>
  <si>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</si>
  <si>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</si>
  <si>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</si>
  <si>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</si>
  <si>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</si>
  <si>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</si>
  <si>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</si>
  <si>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</si>
  <si>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</si>
  <si>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</si>
  <si>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</si>
  <si>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</si>
  <si>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</si>
  <si>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</si>
  <si>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</si>
  <si>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</si>
  <si>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</si>
  <si>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</si>
  <si>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</si>
  <si>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</si>
  <si>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</si>
  <si>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</si>
  <si>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</si>
  <si>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</si>
  <si>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</si>
  <si>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</si>
  <si>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</si>
  <si>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</si>
  <si>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</si>
  <si>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</si>
  <si>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</si>
  <si>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</si>
  <si>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</si>
  <si>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</si>
  <si>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</si>
  <si>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</si>
  <si>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</si>
  <si>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</si>
  <si>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</si>
  <si>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</si>
  <si>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</si>
  <si>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</si>
  <si>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</si>
  <si>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</si>
  <si>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</si>
  <si>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</si>
  <si>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</si>
  <si>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</si>
  <si>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</si>
  <si>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</si>
  <si>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</si>
  <si>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</si>
  <si>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</si>
  <si>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</si>
  <si>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</si>
  <si>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</si>
  <si>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</si>
  <si>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</si>
  <si>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</si>
  <si>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</si>
  <si>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</si>
  <si>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</si>
  <si>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</si>
  <si>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</si>
  <si>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</si>
  <si>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</si>
  <si>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</si>
  <si>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</si>
  <si>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</si>
  <si>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</si>
  <si>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</si>
  <si>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</si>
  <si>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</si>
  <si>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</si>
  <si>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</si>
  <si>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</si>
  <si>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</si>
  <si>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</si>
  <si>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</si>
  <si>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</si>
  <si>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</si>
  <si>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</si>
  <si>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</si>
  <si>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</si>
  <si>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</si>
  <si>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</si>
  <si>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</si>
  <si>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</si>
  <si>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</si>
  <si>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</si>
  <si>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</si>
  <si>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</si>
  <si>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</si>
  <si>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</si>
  <si>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</si>
  <si>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</si>
  <si>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</si>
  <si>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</si>
  <si>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</si>
  <si>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</si>
  <si>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</si>
  <si>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</si>
  <si>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</si>
  <si>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</si>
  <si>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</si>
  <si>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</si>
  <si>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</si>
  <si>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</si>
  <si>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</si>
  <si>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</si>
  <si>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</si>
  <si>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</si>
  <si>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</si>
  <si>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</si>
  <si>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</si>
  <si>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</si>
  <si>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</si>
  <si>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</si>
  <si>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</si>
  <si>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</si>
  <si>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</si>
  <si>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</si>
  <si>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</si>
  <si>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</si>
  <si>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</si>
  <si>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</si>
  <si>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</si>
  <si>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</si>
  <si>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</si>
  <si>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</si>
  <si>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</si>
  <si>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</si>
  <si>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</si>
  <si>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</si>
  <si>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</si>
  <si>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</si>
  <si>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</si>
  <si>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</si>
  <si>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</si>
  <si>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</si>
  <si>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</si>
  <si>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</si>
  <si>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</si>
  <si>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</si>
  <si>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</si>
  <si>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</si>
  <si>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</si>
  <si>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</si>
  <si>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</si>
  <si>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</si>
  <si>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</si>
  <si>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</si>
  <si>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</si>
  <si>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</si>
  <si>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</si>
  <si>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</si>
  <si>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</si>
  <si>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</si>
  <si>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</si>
  <si>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</si>
  <si>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</si>
  <si>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</si>
  <si>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</si>
  <si>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</si>
  <si>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</si>
  <si>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</si>
  <si>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</si>
  <si>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</si>
  <si>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</si>
  <si>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</si>
  <si>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</si>
  <si>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</si>
  <si>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</si>
  <si>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</si>
  <si>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</si>
  <si>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</si>
  <si>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</si>
  <si>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</si>
  <si>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</si>
  <si>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</si>
  <si>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</si>
  <si>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</si>
  <si>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</si>
  <si>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</si>
  <si>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</si>
  <si>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</si>
  <si>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</si>
  <si>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</si>
  <si>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</si>
  <si>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</si>
  <si>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</si>
  <si>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</si>
  <si>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</si>
  <si>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</si>
  <si>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</si>
  <si>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</si>
  <si>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</si>
  <si>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</si>
  <si>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</si>
  <si>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</si>
  <si>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</si>
  <si>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</si>
  <si>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</si>
  <si>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</si>
  <si>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</si>
  <si>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</si>
  <si>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</si>
  <si>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</si>
  <si>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</si>
  <si>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</si>
  <si>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</si>
  <si>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</si>
  <si>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</si>
  <si>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</si>
  <si>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</si>
  <si>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</si>
  <si>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</si>
  <si>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</si>
  <si>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</si>
  <si>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</si>
  <si>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</si>
  <si>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</si>
  <si>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</si>
  <si>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</si>
  <si>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</si>
  <si>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</si>
  <si>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</si>
  <si>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</si>
  <si>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</si>
  <si>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</si>
  <si>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</si>
  <si>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</si>
  <si>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</si>
  <si>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</si>
  <si>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</si>
  <si>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</si>
  <si>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</si>
  <si>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</si>
  <si>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</si>
  <si>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</si>
  <si>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</si>
  <si>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</si>
  <si>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</si>
  <si>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</si>
  <si>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</si>
  <si>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</si>
  <si>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</si>
  <si>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</si>
  <si>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</si>
  <si>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</si>
  <si>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</si>
  <si>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</si>
  <si>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</si>
  <si>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</si>
  <si>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</si>
  <si>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</si>
  <si>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</si>
  <si>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</si>
  <si>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</si>
  <si>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</si>
  <si>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</si>
  <si>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</si>
  <si>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</si>
  <si>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</si>
  <si>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</si>
  <si>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</si>
  <si>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</si>
  <si>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</si>
  <si>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</si>
  <si>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</si>
  <si>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</si>
  <si>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</si>
  <si>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</si>
  <si>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</si>
  <si>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</si>
  <si>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</si>
  <si>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</si>
  <si>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</si>
  <si>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</si>
  <si>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</si>
  <si>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</si>
  <si>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</si>
  <si>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</si>
  <si>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</si>
  <si>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</si>
  <si>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</si>
  <si>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</si>
  <si>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</si>
  <si>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</si>
  <si>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</si>
  <si>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</si>
  <si>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</si>
  <si>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</si>
  <si>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</si>
  <si>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</si>
  <si>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</si>
  <si>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</si>
  <si>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</si>
  <si>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</si>
  <si>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</si>
  <si>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</si>
  <si>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</si>
  <si>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</si>
  <si>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</si>
  <si>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</si>
  <si>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</si>
  <si>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</si>
  <si>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</si>
  <si>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</si>
  <si>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</si>
  <si>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</si>
  <si>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</si>
  <si>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</si>
  <si>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</si>
  <si>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</si>
  <si>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</si>
  <si>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</si>
  <si>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</si>
  <si>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</si>
  <si>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</si>
  <si>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</si>
  <si>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</si>
  <si>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</si>
  <si>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</si>
  <si>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</si>
  <si>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</si>
  <si>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</si>
  <si>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</si>
  <si>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</si>
  <si>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</si>
  <si>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</si>
  <si>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</si>
  <si>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</si>
  <si>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</si>
  <si>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</si>
  <si>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</si>
  <si>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</si>
  <si>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</si>
  <si>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</si>
  <si>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</si>
  <si>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</si>
  <si>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</si>
  <si>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</si>
  <si>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</si>
  <si>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</si>
  <si>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</si>
  <si>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</si>
  <si>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</si>
  <si>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</si>
  <si>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</si>
  <si>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</si>
  <si>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</si>
  <si>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</si>
  <si>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</si>
  <si>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</si>
  <si>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</si>
  <si>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</si>
  <si>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</si>
  <si>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</si>
  <si>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</si>
  <si>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</si>
  <si>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</si>
  <si>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</si>
  <si>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</si>
  <si>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</si>
  <si>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</si>
  <si>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</si>
  <si>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</si>
  <si>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</si>
  <si>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</si>
  <si>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</si>
  <si>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</si>
  <si>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</si>
  <si>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</si>
  <si>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</si>
  <si>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</si>
  <si>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</si>
  <si>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</si>
  <si>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</si>
  <si>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</si>
  <si>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</si>
  <si>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</si>
  <si>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</si>
  <si>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</si>
  <si>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</si>
  <si>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</si>
  <si>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</si>
  <si>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</si>
  <si>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</si>
  <si>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</si>
  <si>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</si>
  <si>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</si>
  <si>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</si>
  <si>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</si>
  <si>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</si>
  <si>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</si>
  <si>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</si>
  <si>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</si>
  <si>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</si>
  <si>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</si>
  <si>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</si>
  <si>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</si>
  <si>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</si>
  <si>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</si>
  <si>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</si>
  <si>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</si>
  <si>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</si>
  <si>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</si>
  <si>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</si>
  <si>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</si>
  <si>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</si>
  <si>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</si>
  <si>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</si>
  <si>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</si>
  <si>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</si>
  <si>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</si>
  <si>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</si>
  <si>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</si>
  <si>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</si>
  <si>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</si>
  <si>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</si>
  <si>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</si>
  <si>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</si>
  <si>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</si>
  <si>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</si>
  <si>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</si>
  <si>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</si>
  <si>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</si>
  <si>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</si>
  <si>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</si>
  <si>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</si>
  <si>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</si>
  <si>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</si>
  <si>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</si>
  <si>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</si>
  <si>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</si>
  <si>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</si>
  <si>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</si>
  <si>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</si>
  <si>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</si>
  <si>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</si>
  <si>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</si>
  <si>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</si>
  <si>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</si>
  <si>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</si>
  <si>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</si>
  <si>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</si>
  <si>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</si>
  <si>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</si>
  <si>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</si>
  <si>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</si>
  <si>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</si>
  <si>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</si>
  <si>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</si>
  <si>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</si>
  <si>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</si>
  <si>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</si>
  <si>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</si>
  <si>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</si>
  <si>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</si>
  <si>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</si>
  <si>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</si>
  <si>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</si>
  <si>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</si>
  <si>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</si>
  <si>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</si>
  <si>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</si>
  <si>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</si>
  <si>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</si>
  <si>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</si>
  <si>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</si>
  <si>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</si>
  <si>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</si>
  <si>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</si>
  <si>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</si>
  <si>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</si>
  <si>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</si>
  <si>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</si>
  <si>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</si>
  <si>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</si>
  <si>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</si>
  <si>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</si>
  <si>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</si>
  <si>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</si>
  <si>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</si>
  <si>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</si>
  <si>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</si>
  <si>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</si>
  <si>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</si>
  <si>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</si>
  <si>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</si>
  <si>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</si>
  <si>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</si>
  <si>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</si>
  <si>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</si>
  <si>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</si>
  <si>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</si>
  <si>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</si>
  <si>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</si>
  <si>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</si>
  <si>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</si>
  <si>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</si>
  <si>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</si>
  <si>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</si>
  <si>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</si>
  <si>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</si>
  <si>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</si>
  <si>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</si>
  <si>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</si>
  <si>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</si>
  <si>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</si>
  <si>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</si>
  <si>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</si>
  <si>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</si>
  <si>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</si>
  <si>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</si>
  <si>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</si>
  <si>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</si>
  <si>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</si>
  <si>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</si>
  <si>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</si>
  <si>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</si>
  <si>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</si>
  <si>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</si>
  <si>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</si>
  <si>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</si>
  <si>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</si>
  <si>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</si>
  <si>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</si>
  <si>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</si>
  <si>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</si>
  <si>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</si>
  <si>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</si>
  <si>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</si>
  <si>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</si>
  <si>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</si>
  <si>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</si>
  <si>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</si>
  <si>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</si>
  <si>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</si>
  <si>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</si>
  <si>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</si>
  <si>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</si>
  <si>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</si>
  <si>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</si>
  <si>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</si>
  <si>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</si>
  <si>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</si>
  <si>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</si>
  <si>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</si>
  <si>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</si>
  <si>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</si>
  <si>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</si>
  <si>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</si>
  <si>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</si>
  <si>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</si>
  <si>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</si>
  <si>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</si>
  <si>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</si>
  <si>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</si>
  <si>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</si>
  <si>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</si>
  <si>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</si>
  <si>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</si>
  <si>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</si>
  <si>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</si>
  <si>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</si>
  <si>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</si>
  <si>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</si>
  <si>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</si>
  <si>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</si>
  <si>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</si>
  <si>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</si>
  <si>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</si>
  <si>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</si>
  <si>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</si>
  <si>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</si>
  <si>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</si>
  <si>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</si>
  <si>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</si>
  <si>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</si>
  <si>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</si>
  <si>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</si>
  <si>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</si>
  <si>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</si>
  <si>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</si>
  <si>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</si>
  <si>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</si>
  <si>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</si>
  <si>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</si>
  <si>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</si>
  <si>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</si>
  <si>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</si>
  <si>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</si>
  <si>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</si>
  <si>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</si>
  <si>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</si>
  <si>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</si>
  <si>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</si>
  <si>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</si>
  <si>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</si>
  <si>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</si>
  <si>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</si>
  <si>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</si>
  <si>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</si>
  <si>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</si>
  <si>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</si>
  <si>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</si>
  <si>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</si>
  <si>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</si>
  <si>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</si>
  <si>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</si>
  <si>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</si>
  <si>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</si>
  <si>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</si>
  <si>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</si>
  <si>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</si>
  <si>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</si>
  <si>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</si>
  <si>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</si>
  <si>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</si>
  <si>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</si>
  <si>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</si>
  <si>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</si>
  <si>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</si>
  <si>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</si>
  <si>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</si>
  <si>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</si>
  <si>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</si>
  <si>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</si>
  <si>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</si>
  <si>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</si>
  <si>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</si>
  <si>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</si>
  <si>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</si>
  <si>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</si>
  <si>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</si>
  <si>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</si>
  <si>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</si>
  <si>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</si>
  <si>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</si>
  <si>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</si>
  <si>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</si>
  <si>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</si>
  <si>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</si>
  <si>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</si>
  <si>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</si>
  <si>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</si>
  <si>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</si>
  <si>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</si>
  <si>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</si>
  <si>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</si>
  <si>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</si>
  <si>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</si>
  <si>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</si>
  <si>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</si>
  <si>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</si>
  <si>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</si>
  <si>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</si>
  <si>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</si>
  <si>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</si>
  <si>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</si>
  <si>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</si>
  <si>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</si>
  <si>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</si>
  <si>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</si>
  <si>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</si>
  <si>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</si>
  <si>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</si>
  <si>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</si>
  <si>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</si>
  <si>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</si>
  <si>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</si>
  <si>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</si>
  <si>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</si>
  <si>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</si>
  <si>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</si>
  <si>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</si>
  <si>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</si>
  <si>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</si>
  <si>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</si>
  <si>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</si>
  <si>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</si>
  <si>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</si>
  <si>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</si>
  <si>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</si>
  <si>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</si>
  <si>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</si>
  <si>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</si>
  <si>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</si>
  <si>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</si>
  <si>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</si>
  <si>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</si>
  <si>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</si>
  <si>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</si>
  <si>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</si>
  <si>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</si>
  <si>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</si>
  <si>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</si>
  <si>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</si>
  <si>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</si>
  <si>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</si>
  <si>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</si>
  <si>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</si>
  <si>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</si>
  <si>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</si>
  <si>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</si>
  <si>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</si>
  <si>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</si>
  <si>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</si>
  <si>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</si>
  <si>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</si>
  <si>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</si>
  <si>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</si>
  <si>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</si>
  <si>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</si>
  <si>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</si>
  <si>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</si>
  <si>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</si>
  <si>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</si>
  <si>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</si>
  <si>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</si>
  <si>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</si>
  <si>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</si>
  <si>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</si>
  <si>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</si>
  <si>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</si>
  <si>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</si>
  <si>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</si>
  <si>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</si>
  <si>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</si>
  <si>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</si>
  <si>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</si>
  <si>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</si>
  <si>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</si>
  <si>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</si>
  <si>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</si>
  <si>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</si>
  <si>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</si>
  <si>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</si>
  <si>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</si>
  <si>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</si>
  <si>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</si>
  <si>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</si>
  <si>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</si>
  <si>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</si>
  <si>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</si>
  <si>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</si>
  <si>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</si>
  <si>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</si>
  <si>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</si>
  <si>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</si>
  <si>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</si>
  <si>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</si>
  <si>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</si>
  <si>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</si>
  <si>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</si>
  <si>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</si>
  <si>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</si>
  <si>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</si>
  <si>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</si>
  <si>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</si>
  <si>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</si>
  <si>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</si>
  <si>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</si>
  <si>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</si>
  <si>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</si>
  <si>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</si>
  <si>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</si>
  <si>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</si>
  <si>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</si>
  <si>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</si>
  <si>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</si>
  <si>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</si>
  <si>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</si>
  <si>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</si>
  <si>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</si>
  <si>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</si>
  <si>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</si>
  <si>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</si>
  <si>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</si>
  <si>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</si>
  <si>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</si>
  <si>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</si>
  <si>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</si>
  <si>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</si>
  <si>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</si>
  <si>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</si>
  <si>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</si>
  <si>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</si>
  <si>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</si>
  <si>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</si>
  <si>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</si>
  <si>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</si>
  <si>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</si>
  <si>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</si>
  <si>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</si>
  <si>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</si>
  <si>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</si>
  <si>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</si>
  <si>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</si>
  <si>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</si>
  <si>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</si>
  <si>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</si>
  <si>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</si>
  <si>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</si>
  <si>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</si>
  <si>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</si>
  <si>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</si>
  <si>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</si>
  <si>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</si>
  <si>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</si>
  <si>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</si>
  <si>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</si>
  <si>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</si>
  <si>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</si>
  <si>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</si>
  <si>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</si>
  <si>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</si>
  <si>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</si>
  <si>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</si>
  <si>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</si>
  <si>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</si>
  <si>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</si>
  <si>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</si>
  <si>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</si>
  <si>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</si>
  <si>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</si>
  <si>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</si>
  <si>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</si>
  <si>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</si>
  <si>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</si>
  <si>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</si>
  <si>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</si>
  <si>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</si>
  <si>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</si>
  <si>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</si>
  <si>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</si>
  <si>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</si>
  <si>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</si>
  <si>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</si>
  <si>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</si>
  <si>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</si>
  <si>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</si>
  <si>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</si>
  <si>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</si>
  <si>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</si>
  <si>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</si>
  <si>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</si>
  <si>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</si>
  <si>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</si>
  <si>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</si>
  <si>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</si>
  <si>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</si>
  <si>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</si>
  <si>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</si>
  <si>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</si>
  <si>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</si>
  <si>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</si>
  <si>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</si>
  <si>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</si>
  <si>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</si>
  <si>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</si>
  <si>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</si>
  <si>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</si>
  <si>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</si>
  <si>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</si>
  <si>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</si>
  <si>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</si>
  <si>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</si>
  <si>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</si>
  <si>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</si>
  <si>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</si>
  <si>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</si>
  <si>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</si>
  <si>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</si>
  <si>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</si>
  <si>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</si>
  <si>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</si>
  <si>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</si>
  <si>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</si>
  <si>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</si>
  <si>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</si>
  <si>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</si>
  <si>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</si>
  <si>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</si>
  <si>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</si>
  <si>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</si>
  <si>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</si>
  <si>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</si>
  <si>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</si>
  <si>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</si>
  <si>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</si>
  <si>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</si>
  <si>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</si>
  <si>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</si>
  <si>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</si>
  <si>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</si>
  <si>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</si>
  <si>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</si>
  <si>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</si>
  <si>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</si>
  <si>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</si>
  <si>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</si>
  <si>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</si>
  <si>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</si>
  <si>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</si>
  <si>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</si>
  <si>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</si>
  <si>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</si>
  <si>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</si>
  <si>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</si>
  <si>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</si>
  <si>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</si>
  <si>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</si>
  <si>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</si>
  <si>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</si>
  <si>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</si>
  <si>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</si>
  <si>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</si>
  <si>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</si>
  <si>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</si>
  <si>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</si>
  <si>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</si>
  <si>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</si>
  <si>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</si>
  <si>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</si>
  <si>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</si>
  <si>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</si>
  <si>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</si>
  <si>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</si>
  <si>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</si>
  <si>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</si>
  <si>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</si>
  <si>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</si>
  <si>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</si>
  <si>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</si>
  <si>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</si>
  <si>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</si>
  <si>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</si>
  <si>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</si>
  <si>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</si>
  <si>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</si>
  <si>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</si>
  <si>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</si>
  <si>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</si>
  <si>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</si>
  <si>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</si>
  <si>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</si>
  <si>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</si>
  <si>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</si>
  <si>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</si>
  <si>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</si>
  <si>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</si>
  <si>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</si>
  <si>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</si>
  <si>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</si>
  <si>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</si>
  <si>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</si>
  <si>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</si>
  <si>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</si>
  <si>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</si>
  <si>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</si>
  <si>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</si>
  <si>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</si>
  <si>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</si>
  <si>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</si>
  <si>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</si>
  <si>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</si>
  <si>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</si>
  <si>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</si>
  <si>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</si>
  <si>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</si>
  <si>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</si>
  <si>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</si>
  <si>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</si>
  <si>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</si>
  <si>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</si>
  <si>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</si>
  <si>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</si>
  <si>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</si>
  <si>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</si>
  <si>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</si>
  <si>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</si>
  <si>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</si>
  <si>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</si>
  <si>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</si>
  <si>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</si>
  <si>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</si>
  <si>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</si>
  <si>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</si>
  <si>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</si>
  <si>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</si>
  <si>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</si>
  <si>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</si>
  <si>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</si>
  <si>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</si>
  <si>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</si>
  <si>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</si>
  <si>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</si>
  <si>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</si>
  <si>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</si>
  <si>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</si>
  <si>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</si>
  <si>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</si>
  <si>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</si>
  <si>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</si>
  <si>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</si>
  <si>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</si>
  <si>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</si>
  <si>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</si>
  <si>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</si>
  <si>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</si>
  <si>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</si>
  <si>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</si>
  <si>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</si>
  <si>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</si>
  <si>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</si>
  <si>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</si>
  <si>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</si>
  <si>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</si>
  <si>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</si>
  <si>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</si>
  <si>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</si>
  <si>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</si>
  <si>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</si>
  <si>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</si>
  <si>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</si>
  <si>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</si>
  <si>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</si>
  <si>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</si>
  <si>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</si>
  <si>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</si>
  <si>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</si>
  <si>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</si>
  <si>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</si>
  <si>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</si>
  <si>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</si>
  <si>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</si>
  <si>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</si>
  <si>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</si>
  <si>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</si>
  <si>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</si>
  <si>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</si>
  <si>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</si>
  <si>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</si>
  <si>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</si>
  <si>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</si>
  <si>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</si>
  <si>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</si>
  <si>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</si>
  <si>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</si>
  <si>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</si>
  <si>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</si>
  <si>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</si>
  <si>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</si>
  <si>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</si>
  <si>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</si>
  <si>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</si>
  <si>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</si>
  <si>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</si>
  <si>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</si>
  <si>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</si>
  <si>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</si>
  <si>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</si>
  <si>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</si>
  <si>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</si>
  <si>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</si>
  <si>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</si>
  <si>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</si>
  <si>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</si>
  <si>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</si>
  <si>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</si>
  <si>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</si>
  <si>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</si>
  <si>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</si>
  <si>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</si>
  <si>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</si>
  <si>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</si>
  <si>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</si>
  <si>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</si>
  <si>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</si>
  <si>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</si>
  <si>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</si>
  <si>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</si>
  <si>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</si>
  <si>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</si>
  <si>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</si>
  <si>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</si>
  <si>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</si>
  <si>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</si>
  <si>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</si>
  <si>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</si>
  <si>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</si>
  <si>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</si>
  <si>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</si>
  <si>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</si>
  <si>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</si>
  <si>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</si>
  <si>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</si>
  <si>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</si>
  <si>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</si>
  <si>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</si>
  <si>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</si>
  <si>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</si>
  <si>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</si>
  <si>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</si>
  <si>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</si>
  <si>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</si>
  <si>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</si>
  <si>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</si>
  <si>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</si>
  <si>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</si>
  <si>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</si>
  <si>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</si>
  <si>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</si>
  <si>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</si>
  <si>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</si>
  <si>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</si>
  <si>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</si>
  <si>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</si>
  <si>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</si>
  <si>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</si>
  <si>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</si>
  <si>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</si>
  <si>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</si>
  <si>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</si>
  <si>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</si>
  <si>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</si>
  <si>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</si>
  <si>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</si>
  <si>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</si>
  <si>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</si>
  <si>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</si>
  <si>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</si>
  <si>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</si>
  <si>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</si>
  <si>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</si>
  <si>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</si>
  <si>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</si>
  <si>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</si>
  <si>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</si>
  <si>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</si>
  <si>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</si>
  <si>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</si>
  <si>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</si>
  <si>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</si>
  <si>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</si>
  <si>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</si>
  <si>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</si>
  <si>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</si>
  <si>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</si>
  <si>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</si>
  <si>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</si>
  <si>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</si>
  <si>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</si>
  <si>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</si>
  <si>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</si>
  <si>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</si>
  <si>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</si>
  <si>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</si>
  <si>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</si>
  <si>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</si>
  <si>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</si>
  <si>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</si>
  <si>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</si>
  <si>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</si>
  <si>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</si>
  <si>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</si>
  <si>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</si>
  <si>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</si>
  <si>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</si>
  <si>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</si>
  <si>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</si>
  <si>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</si>
  <si>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</si>
  <si>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</si>
  <si>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</si>
  <si>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</si>
  <si>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</si>
  <si>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</si>
  <si>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</si>
  <si>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</si>
  <si>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</si>
  <si>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</si>
  <si>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</si>
  <si>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</si>
  <si>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</si>
  <si>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</si>
  <si>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</si>
  <si>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</si>
  <si>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</si>
  <si>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</si>
  <si>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</si>
  <si>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</si>
  <si>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</si>
  <si>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</si>
  <si>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</si>
  <si>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</si>
  <si>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</si>
  <si>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</si>
  <si>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</si>
  <si>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</si>
  <si>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</si>
  <si>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</si>
  <si>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</si>
  <si>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</si>
  <si>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</si>
  <si>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</si>
  <si>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</si>
  <si>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</si>
  <si>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</si>
  <si>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</si>
  <si>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</si>
  <si>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</si>
  <si>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</si>
  <si>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</si>
  <si>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</si>
  <si>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</si>
  <si>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</si>
  <si>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</si>
  <si>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</si>
  <si>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</si>
  <si>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</si>
  <si>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</si>
  <si>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</si>
  <si>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</si>
  <si>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</si>
  <si>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</si>
  <si>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</si>
  <si>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</si>
  <si>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</si>
  <si>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</si>
  <si>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</si>
  <si>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</si>
  <si>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</si>
  <si>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</si>
  <si>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</si>
  <si>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</si>
  <si>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</si>
  <si>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</si>
  <si>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</si>
  <si>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</si>
  <si>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</si>
  <si>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</si>
  <si>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</si>
  <si>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</si>
  <si>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</si>
  <si>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</si>
  <si>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</si>
  <si>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</si>
  <si>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</si>
  <si>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</si>
  <si>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</si>
  <si>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</si>
  <si>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</si>
  <si>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</si>
  <si>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</si>
  <si>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</si>
  <si>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</si>
  <si>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</si>
  <si>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</si>
  <si>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</si>
  <si>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</si>
  <si>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</si>
  <si>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</si>
  <si>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</si>
  <si>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</si>
  <si>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</si>
  <si>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</si>
  <si>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</si>
  <si>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</si>
  <si>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</si>
  <si>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</si>
  <si>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</si>
  <si>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</si>
  <si>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</si>
  <si>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</si>
  <si>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</si>
  <si>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</si>
  <si>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</si>
  <si>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</si>
  <si>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</si>
  <si>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</si>
  <si>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</si>
  <si>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</si>
  <si>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</si>
  <si>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</si>
  <si>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</si>
  <si>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</si>
  <si>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</si>
  <si>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</si>
  <si>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</si>
  <si>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</si>
  <si>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</si>
  <si>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</si>
  <si>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</si>
  <si>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</si>
  <si>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</si>
  <si>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</si>
  <si>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</si>
  <si>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</si>
  <si>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</si>
  <si>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</si>
  <si>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</si>
  <si>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</si>
  <si>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</si>
  <si>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</si>
  <si>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</si>
  <si>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</si>
  <si>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</si>
  <si>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</si>
  <si>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</si>
  <si>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</si>
  <si>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</si>
  <si>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</si>
  <si>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</si>
  <si>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</si>
  <si>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</si>
  <si>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</si>
  <si>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</si>
  <si>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</si>
  <si>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</si>
  <si>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</si>
  <si>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</si>
  <si>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</si>
  <si>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</si>
  <si>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</si>
  <si>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</si>
  <si>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</si>
  <si>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</si>
  <si>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</si>
  <si>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</si>
  <si>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</si>
  <si>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</si>
  <si>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</si>
  <si>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</si>
  <si>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</si>
  <si>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</si>
  <si>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</si>
  <si>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</si>
  <si>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</si>
  <si>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</si>
  <si>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</si>
  <si>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</si>
  <si>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</si>
  <si>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</si>
  <si>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</si>
  <si>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</si>
  <si>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</si>
  <si>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</si>
  <si>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</si>
  <si>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</si>
  <si>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</si>
  <si>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</si>
  <si>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</si>
  <si>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</si>
  <si>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</si>
  <si>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</si>
  <si>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</si>
  <si>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</si>
  <si>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</si>
  <si>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</si>
  <si>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</si>
  <si>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</si>
  <si>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</si>
  <si>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</si>
  <si>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</si>
  <si>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</si>
  <si>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</si>
  <si>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</si>
  <si>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</si>
  <si>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</si>
  <si>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</si>
  <si>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</si>
  <si>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</si>
  <si>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</si>
  <si>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</si>
  <si>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</si>
  <si>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</si>
  <si>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</si>
  <si>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</si>
  <si>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</si>
  <si>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</si>
  <si>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</si>
  <si>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</si>
  <si>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</si>
  <si>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</si>
  <si>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</si>
  <si>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</si>
  <si>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</si>
  <si>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</si>
  <si>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</si>
  <si>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</si>
  <si>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</si>
  <si>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</si>
  <si>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</si>
  <si>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</si>
  <si>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</si>
  <si>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</si>
  <si>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</si>
  <si>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</si>
  <si>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</si>
  <si>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</si>
  <si>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</si>
  <si>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</si>
  <si>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</si>
  <si>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</si>
  <si>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</si>
  <si>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</si>
  <si>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</si>
  <si>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</si>
  <si>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</si>
  <si>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</si>
  <si>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</si>
  <si>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</si>
  <si>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</si>
  <si>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</si>
  <si>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</si>
  <si>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</si>
  <si>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</si>
  <si>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</si>
  <si>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</si>
  <si>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</si>
  <si>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</si>
  <si>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</si>
  <si>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</si>
  <si>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</si>
  <si>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</si>
  <si>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</si>
  <si>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</si>
  <si>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</si>
  <si>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</si>
  <si>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</si>
  <si>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</si>
  <si>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</si>
  <si>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</si>
  <si>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</si>
  <si>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</si>
  <si>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</si>
  <si>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</si>
  <si>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</si>
  <si>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</si>
  <si>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</si>
  <si>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</si>
  <si>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</si>
  <si>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</si>
  <si>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</si>
  <si>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</si>
  <si>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</si>
  <si>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</si>
  <si>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</si>
  <si>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</si>
  <si>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</si>
  <si>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</si>
  <si>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</si>
  <si>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</si>
  <si>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</si>
  <si>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</si>
  <si>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</si>
  <si>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</si>
  <si>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</si>
  <si>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</si>
  <si>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</si>
  <si>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</si>
  <si>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</si>
  <si>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</si>
  <si>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</si>
  <si>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</si>
  <si>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</si>
  <si>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</si>
  <si>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</si>
  <si>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</si>
  <si>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</si>
  <si>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</si>
  <si>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</si>
  <si>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</si>
  <si>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</si>
  <si>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</si>
  <si>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</si>
  <si>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</si>
  <si>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</si>
  <si>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</si>
  <si>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</si>
  <si>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</si>
  <si>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</si>
  <si>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</si>
  <si>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</si>
  <si>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</si>
  <si>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</si>
  <si>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</si>
  <si>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</si>
  <si>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</si>
  <si>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</si>
  <si>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</si>
  <si>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</si>
  <si>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</si>
  <si>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</si>
  <si>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</si>
  <si>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</si>
  <si>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</si>
  <si>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</si>
  <si>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</si>
  <si>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</si>
  <si>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</si>
  <si>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</si>
  <si>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</si>
  <si>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</si>
  <si>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</si>
  <si>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</si>
  <si>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</si>
  <si>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</si>
  <si>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</si>
  <si>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</si>
  <si>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</si>
  <si>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</si>
  <si>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</si>
  <si>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</si>
  <si>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</si>
  <si>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</si>
  <si>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</si>
  <si>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</si>
  <si>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</si>
  <si>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</si>
  <si>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</si>
  <si>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</si>
  <si>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</si>
  <si>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</si>
  <si>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</si>
  <si>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</si>
  <si>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</si>
  <si>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</si>
  <si>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</si>
  <si>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</si>
  <si>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</si>
  <si>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</si>
  <si>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</si>
  <si>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</si>
  <si>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</si>
  <si>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</si>
  <si>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</si>
  <si>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</si>
  <si>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</si>
  <si>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</si>
  <si>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</si>
  <si>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</si>
  <si>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</si>
  <si>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</si>
  <si>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</si>
  <si>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</si>
  <si>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</si>
  <si>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</si>
  <si>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</si>
  <si>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</si>
  <si>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</si>
  <si>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</si>
  <si>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</si>
  <si>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</si>
  <si>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</si>
  <si>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</si>
  <si>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</si>
  <si>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</si>
  <si>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</si>
  <si>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</si>
  <si>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</si>
  <si>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</si>
  <si>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</si>
  <si>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</si>
  <si>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</si>
  <si>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</si>
  <si>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</si>
  <si>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</si>
  <si>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</si>
  <si>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</si>
  <si>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</si>
  <si>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</si>
  <si>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</si>
  <si>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</si>
  <si>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</si>
  <si>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</si>
  <si>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</si>
  <si>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</si>
  <si>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</si>
  <si>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</si>
  <si>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</si>
  <si>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</si>
  <si>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</si>
  <si>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</si>
  <si>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</si>
  <si>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</si>
  <si>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</si>
  <si>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</si>
  <si>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</si>
  <si>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</si>
  <si>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</si>
  <si>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</si>
  <si>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</si>
  <si>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</si>
  <si>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</si>
  <si>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</si>
  <si>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</si>
  <si>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</si>
  <si>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</si>
  <si>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</si>
  <si>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</si>
  <si>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</si>
  <si>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</si>
  <si>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</si>
  <si>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</si>
  <si>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</si>
  <si>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</si>
  <si>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</si>
  <si>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</si>
  <si>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</si>
  <si>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</si>
  <si>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</si>
  <si>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</si>
  <si>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</si>
  <si>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</si>
  <si>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</si>
  <si>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</si>
  <si>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</si>
  <si>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</si>
  <si>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</si>
  <si>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</si>
  <si>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</si>
  <si>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</si>
  <si>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</si>
  <si>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</si>
  <si>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</si>
  <si>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</si>
  <si>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</si>
  <si>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</si>
  <si>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</si>
  <si>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</si>
  <si>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</si>
  <si>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</si>
  <si>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</si>
  <si>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</si>
  <si>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</si>
  <si>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</si>
  <si>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</si>
  <si>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</si>
  <si>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</si>
  <si>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</si>
  <si>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</si>
  <si>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</si>
  <si>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</si>
  <si>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</si>
  <si>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</si>
  <si>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</si>
  <si>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</si>
  <si>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</si>
  <si>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</si>
  <si>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</si>
  <si>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</si>
  <si>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</si>
  <si>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</si>
  <si>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</si>
  <si>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</si>
  <si>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</si>
  <si>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</si>
  <si>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</si>
  <si>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</si>
  <si>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</si>
  <si>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</si>
  <si>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</si>
  <si>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</si>
  <si>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</si>
  <si>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</si>
  <si>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</si>
  <si>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</si>
  <si>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</si>
  <si>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</si>
  <si>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</si>
  <si>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</si>
  <si>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</si>
  <si>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</si>
  <si>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</si>
  <si>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</si>
  <si>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</si>
  <si>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</si>
  <si>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</si>
  <si>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</si>
  <si>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</si>
  <si>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</si>
  <si>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</si>
  <si>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</si>
  <si>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</si>
  <si>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</si>
  <si>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</si>
  <si>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</si>
  <si>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</si>
  <si>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</si>
  <si>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</si>
  <si>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</si>
  <si>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</si>
  <si>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</si>
  <si>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</si>
  <si>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</si>
  <si>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</si>
  <si>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</si>
  <si>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</si>
  <si>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</si>
  <si>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</si>
  <si>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</si>
  <si>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</si>
  <si>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</si>
  <si>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</si>
  <si>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</si>
  <si>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</si>
  <si>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</si>
  <si>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</si>
  <si>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</si>
  <si>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Mack &amp; Associates, P.C.</t>
  </si>
  <si>
    <t>Tawnya Mack, CPA</t>
  </si>
  <si>
    <t>116 E. Washington St., Suite One</t>
  </si>
  <si>
    <t>Morris</t>
  </si>
  <si>
    <t>IL</t>
  </si>
  <si>
    <t>815-942-3306</t>
  </si>
  <si>
    <t>815-942-9430</t>
  </si>
  <si>
    <t>066-005100</t>
  </si>
  <si>
    <t>tmack@mackcpas.com</t>
  </si>
  <si>
    <t>x</t>
  </si>
  <si>
    <t>59-099-7110-45</t>
  </si>
  <si>
    <t>Will</t>
  </si>
  <si>
    <t>Three Rivers Education for Employment System</t>
  </si>
  <si>
    <t>1215 Houbolt Road, H1019</t>
  </si>
  <si>
    <t>Joliet</t>
  </si>
  <si>
    <t>iflahive@jjc.edu</t>
  </si>
  <si>
    <t>Brian Gordon</t>
  </si>
  <si>
    <t>bgordon@jjc.edu</t>
  </si>
  <si>
    <t>815-280-2990</t>
  </si>
  <si>
    <t>N/A</t>
  </si>
  <si>
    <t>See PDF in Opinion Page with signature</t>
  </si>
  <si>
    <t>ED- Support Services- Purchased Services</t>
  </si>
  <si>
    <t>McGrath</t>
  </si>
  <si>
    <t>Smith, Koelling, Dykstra, &amp; Ohm</t>
  </si>
  <si>
    <t>Westfield Insurance</t>
  </si>
  <si>
    <t>Mack &amp; Associates</t>
  </si>
  <si>
    <t>Joliet Junior College</t>
  </si>
  <si>
    <t>Arthur J. Gallagner RMS</t>
  </si>
  <si>
    <t>Page 11, Line 106: Administrative assessments charged to participating districts</t>
  </si>
  <si>
    <t>US Department of Education:</t>
  </si>
  <si>
    <t>Passed through Illinois Board if Education</t>
  </si>
  <si>
    <t>Career &amp; Technical Education - Perkins (M) 2019</t>
  </si>
  <si>
    <t>Career &amp; Technical Education - Perkins (M) 2018</t>
  </si>
  <si>
    <t>84.048A</t>
  </si>
  <si>
    <t>2019-4745</t>
  </si>
  <si>
    <t>Grundy Area Vocational Center</t>
  </si>
  <si>
    <t>Joliet Township HSD #204</t>
  </si>
  <si>
    <t>Lincoln Way HSD #210</t>
  </si>
  <si>
    <t>Lockport HSD #205</t>
  </si>
  <si>
    <t>Plainfield HSD #202</t>
  </si>
  <si>
    <t>ValleyView CUSD #365 U</t>
  </si>
  <si>
    <t>WILCO</t>
  </si>
  <si>
    <r>
      <t xml:space="preserve">The following amounts were expended in the form of non-cash assistance by Three Rivers Education for Employment System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</si>
  <si>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Three Rivers Education for Employment System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</si>
  <si>
    <t>Unmodified</t>
  </si>
  <si>
    <t>Career &amp; Technical Education - Perkins</t>
  </si>
  <si>
    <t>NONE</t>
  </si>
  <si>
    <t>2018-4745</t>
  </si>
  <si>
    <t>10-2200-300</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</si>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</sst>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1400-000005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90" zoomScaleNormal="90" workbookViewId="0">
      <selection activeCell="O14" sqref="O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15" t="s">
        <v>405</v>
      </c>
      <c r="J1" s="2016"/>
      <c r="K1" s="2016"/>
      <c r="L1" s="2016"/>
      <c r="M1" s="2016"/>
      <c r="N1" s="2016"/>
      <c r="O1" s="2016"/>
      <c r="P1" s="2016"/>
      <c r="Q1" s="2016"/>
      <c r="R1" s="2016"/>
      <c r="S1" s="2016"/>
    </row>
    <row r="2" spans="1:28" ht="12" customHeight="1" x14ac:dyDescent="0.2">
      <c r="A2" s="47" t="s">
        <v>1989</v>
      </c>
      <c r="D2" s="48"/>
      <c r="I2" s="2017" t="s">
        <v>979</v>
      </c>
      <c r="J2" s="2016"/>
      <c r="K2" s="2016"/>
      <c r="L2" s="2016"/>
      <c r="M2" s="2016"/>
      <c r="N2" s="2016"/>
      <c r="O2" s="2016"/>
      <c r="P2" s="2016"/>
      <c r="Q2" s="2016"/>
      <c r="R2" s="2016"/>
      <c r="S2" s="2016"/>
    </row>
    <row r="3" spans="1:28" ht="12" customHeight="1" x14ac:dyDescent="0.2">
      <c r="A3" s="155" t="s">
        <v>1941</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c r="C5" s="26" t="s">
        <v>910</v>
      </c>
      <c r="D5" s="84"/>
      <c r="E5" s="84"/>
      <c r="H5" s="38"/>
      <c r="I5" s="2024" t="s">
        <v>680</v>
      </c>
      <c r="J5" s="1969"/>
      <c r="K5" s="1969"/>
      <c r="L5" s="1969"/>
      <c r="M5" s="1969"/>
      <c r="N5" s="1969"/>
      <c r="O5" s="1969"/>
      <c r="P5" s="1969"/>
      <c r="Q5" s="1969"/>
      <c r="R5" s="1969"/>
      <c r="S5" s="1969"/>
    </row>
    <row r="6" spans="1:28" ht="14.1" customHeight="1" x14ac:dyDescent="0.2">
      <c r="B6" s="104" t="s">
        <v>2071</v>
      </c>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2071</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t="s">
        <v>2072</v>
      </c>
      <c r="B13" s="1986"/>
      <c r="C13" s="1986"/>
      <c r="D13" s="1986"/>
      <c r="E13" s="1986"/>
      <c r="F13" s="1986"/>
      <c r="G13" s="1986"/>
      <c r="H13" s="1987"/>
      <c r="I13" s="31"/>
      <c r="J13" s="30"/>
      <c r="K13" s="28"/>
      <c r="L13" s="30"/>
      <c r="M13" s="30"/>
      <c r="N13" s="30"/>
      <c r="O13" s="30"/>
      <c r="P13" s="30"/>
      <c r="Q13" s="30"/>
      <c r="R13" s="30"/>
      <c r="S13" s="30"/>
      <c r="T13" s="1990" t="s">
        <v>2062</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2073</v>
      </c>
      <c r="B15" s="1988"/>
      <c r="C15" s="1988"/>
      <c r="D15" s="1988"/>
      <c r="E15" s="1988"/>
      <c r="F15" s="1988"/>
      <c r="G15" s="1988"/>
      <c r="H15" s="1989"/>
      <c r="T15" s="1951" t="s">
        <v>2063</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2074</v>
      </c>
      <c r="B17" s="2013"/>
      <c r="C17" s="2013"/>
      <c r="D17" s="2013"/>
      <c r="E17" s="2013"/>
      <c r="F17" s="2013"/>
      <c r="G17" s="2013"/>
      <c r="H17" s="2014"/>
      <c r="T17" s="2000" t="s">
        <v>2064</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2075</v>
      </c>
      <c r="B19" s="1984"/>
      <c r="C19" s="1984"/>
      <c r="D19" s="1984"/>
      <c r="E19" s="1984"/>
      <c r="F19" s="1984"/>
      <c r="G19" s="1984"/>
      <c r="H19" s="1982"/>
      <c r="I19" s="30"/>
      <c r="J19" s="99"/>
      <c r="K19" s="40"/>
      <c r="L19" s="38"/>
      <c r="M19" s="112" t="s">
        <v>315</v>
      </c>
      <c r="P19" s="27"/>
      <c r="Q19" s="27"/>
      <c r="R19" s="27"/>
      <c r="S19" s="31"/>
      <c r="T19" s="1983" t="s">
        <v>2065</v>
      </c>
      <c r="U19" s="1981"/>
      <c r="V19" s="1981"/>
      <c r="W19" s="1982"/>
      <c r="X19" s="1998" t="s">
        <v>2066</v>
      </c>
      <c r="Y19" s="1999"/>
      <c r="Z19" s="1996">
        <v>60450</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2076</v>
      </c>
      <c r="B21" s="1981"/>
      <c r="C21" s="1981"/>
      <c r="D21" s="1981"/>
      <c r="E21" s="1981"/>
      <c r="F21" s="1981"/>
      <c r="G21" s="1981"/>
      <c r="H21" s="1982"/>
      <c r="I21" s="2006" t="s">
        <v>678</v>
      </c>
      <c r="J21" s="1969"/>
      <c r="K21" s="1969"/>
      <c r="L21" s="1969"/>
      <c r="M21" s="1969"/>
      <c r="N21" s="1969"/>
      <c r="O21" s="1969"/>
      <c r="P21" s="1969"/>
      <c r="Q21" s="1969"/>
      <c r="R21" s="1969"/>
      <c r="S21" s="1970"/>
      <c r="T21" s="1948" t="s">
        <v>2067</v>
      </c>
      <c r="U21" s="1949"/>
      <c r="V21" s="1949"/>
      <c r="W21" s="1949"/>
      <c r="X21" s="1962" t="s">
        <v>2068</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t="s">
        <v>2077</v>
      </c>
      <c r="B23" s="2004"/>
      <c r="C23" s="2004"/>
      <c r="D23" s="2004"/>
      <c r="E23" s="2004"/>
      <c r="F23" s="2004"/>
      <c r="G23" s="2004"/>
      <c r="H23" s="2005"/>
      <c r="T23" s="1943" t="s">
        <v>2069</v>
      </c>
      <c r="U23" s="1944"/>
      <c r="V23" s="1944"/>
      <c r="W23" s="1944"/>
      <c r="X23" s="1959">
        <v>44530</v>
      </c>
      <c r="Y23" s="1960"/>
      <c r="Z23" s="1960"/>
      <c r="AA23" s="1961"/>
    </row>
    <row r="24" spans="1:27" ht="14.1" customHeight="1" x14ac:dyDescent="0.2">
      <c r="A24" s="88" t="s">
        <v>677</v>
      </c>
      <c r="B24" s="49"/>
      <c r="C24" s="49"/>
      <c r="D24" s="49"/>
      <c r="E24" s="49"/>
      <c r="F24" s="49"/>
      <c r="G24" s="49"/>
      <c r="H24" s="61"/>
      <c r="J24" s="2045" t="str">
        <f>IF(B5="x",IF(AUDITCHECK!D29="AFR form Incomplete.","",IF(AUDITCHECK!D29="Deficit reduction plan is required.","School District must complete a deficit reduction plan in the 2019-2020 Budget",)),"")</f>
        <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60431</v>
      </c>
      <c r="B25" s="1981"/>
      <c r="C25" s="1981"/>
      <c r="D25" s="1981"/>
      <c r="E25" s="1981"/>
      <c r="F25" s="1981"/>
      <c r="G25" s="1981"/>
      <c r="H25" s="1982"/>
      <c r="I25" s="113"/>
      <c r="J25" s="2047"/>
      <c r="K25" s="2047"/>
      <c r="L25" s="2047"/>
      <c r="M25" s="2047"/>
      <c r="N25" s="2047"/>
      <c r="O25" s="2047"/>
      <c r="P25" s="2047"/>
      <c r="Q25" s="2047"/>
      <c r="R25" s="2047"/>
      <c r="S25" s="2048"/>
      <c r="T25" s="1940" t="s">
        <v>2070</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2071</v>
      </c>
      <c r="C30" s="124" t="s">
        <v>1164</v>
      </c>
      <c r="D30" s="28"/>
      <c r="E30" s="28"/>
      <c r="F30" s="140"/>
      <c r="G30" s="114"/>
      <c r="H30" s="114"/>
      <c r="I30" s="54"/>
      <c r="J30" s="148" t="s">
        <v>2071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2071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2078</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2079</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2080</v>
      </c>
      <c r="B42" s="2030"/>
      <c r="C42" s="2031"/>
      <c r="D42" s="2044" t="s">
        <v>2081</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76" zoomScale="110" zoomScaleNormal="110" workbookViewId="0">
      <selection activeCell="G76" sqref="G7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11"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2062</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2082</v>
      </c>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52"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3258019</v>
      </c>
      <c r="E16" s="356"/>
      <c r="F16" s="1733">
        <f>SUM('Acct Summary 7-8'!C17,'Acct Summary 7-8'!D17,'Acct Summary 7-8'!F17)</f>
        <v>3140179</v>
      </c>
      <c r="G16" s="356"/>
      <c r="H16" s="1733">
        <f>SUM(D16-F16)</f>
        <v>117840</v>
      </c>
      <c r="I16" s="222"/>
      <c r="J16" s="1733">
        <f>SUM('Acct Summary 7-8'!C81,'Acct Summary 7-8'!D81,'Acct Summary 7-8'!F81,'Acct Summary 7-8'!I81)</f>
        <v>324626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42" sqref="C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Three Rivers Education for Employment System</v>
      </c>
      <c r="E7" s="391"/>
      <c r="G7" s="252"/>
      <c r="H7" s="387"/>
      <c r="I7" s="387"/>
      <c r="J7" s="387"/>
      <c r="K7" s="387"/>
      <c r="L7" s="329"/>
      <c r="M7" s="329"/>
      <c r="N7" s="329"/>
      <c r="O7" s="329"/>
      <c r="P7" s="329"/>
    </row>
    <row r="8" spans="1:18" ht="12.75" x14ac:dyDescent="0.2">
      <c r="A8" s="329"/>
      <c r="B8" s="329"/>
      <c r="C8" s="389" t="s">
        <v>1125</v>
      </c>
      <c r="D8" s="392" t="str">
        <f>COVER!A13</f>
        <v>59-099-7110-45</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324626</v>
      </c>
      <c r="I12" s="404"/>
      <c r="J12" s="404"/>
      <c r="K12" s="405">
        <f>TRUNC((H12/H13*100000),5)/100000</f>
        <v>9.9639075099999988E-2</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3258019</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3140179</v>
      </c>
      <c r="I17" s="404"/>
      <c r="J17" s="416"/>
      <c r="K17" s="405">
        <f>TRUNC((H17/H18*100000),5)/100000</f>
        <v>0.96383078179999992</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3258019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324626</v>
      </c>
      <c r="I24" s="422"/>
      <c r="J24" s="422"/>
      <c r="K24" s="423">
        <f>TRUNC(((H24/H25*100000)/100000),2)</f>
        <v>37.21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8722.7194400000008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ySplit="2" topLeftCell="A25" activePane="bottomLeft" state="frozen"/>
      <selection pane="bottomLeft" activeCell="C25" sqref="C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324626</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324626</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0</v>
      </c>
      <c r="N23" s="1688">
        <f>SUM(N21:N22)</f>
        <v>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324626</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c r="N40" s="497"/>
    </row>
    <row r="41" spans="1:14" ht="13.5" customHeight="1" thickBot="1" x14ac:dyDescent="0.25">
      <c r="A41" s="1736" t="s">
        <v>655</v>
      </c>
      <c r="B41" s="1706"/>
      <c r="C41" s="1688">
        <f>(SUM(C34,C37,C38,C39))</f>
        <v>324626</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0</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90" zoomScaleNormal="90" zoomScaleSheetLayoutView="100" workbookViewId="0">
      <pane ySplit="2" topLeftCell="A62" activePane="bottomLeft" state="frozen"/>
      <selection pane="bottomLeft" activeCell="G62" sqref="G6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89428</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2180895</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987696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3258019</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14672</v>
      </c>
      <c r="D9" s="516"/>
      <c r="E9" s="481"/>
      <c r="F9" s="481"/>
      <c r="G9" s="517"/>
      <c r="H9" s="481"/>
      <c r="I9" s="509" t="s">
        <v>1169</v>
      </c>
      <c r="J9" s="478"/>
      <c r="K9" s="481"/>
      <c r="L9" s="347"/>
    </row>
    <row r="10" spans="1:13" s="519" customFormat="1" ht="13.5" thickBot="1" x14ac:dyDescent="0.25">
      <c r="A10" s="1736" t="s">
        <v>1173</v>
      </c>
      <c r="B10" s="1709"/>
      <c r="C10" s="1688">
        <f>SUM(C8:C9)</f>
        <v>3272691</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139004</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478173</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2523002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3140179</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14672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3154851</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5" t="s">
        <v>1655</v>
      </c>
      <c r="B20" s="2126"/>
      <c r="C20" s="1746">
        <f>C8-C17</f>
        <v>117840</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7" t="s">
        <v>1177</v>
      </c>
      <c r="B77" s="2118"/>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1" t="s">
        <v>597</v>
      </c>
      <c r="B78" s="2122"/>
      <c r="C78" s="1702">
        <f t="shared" ref="C78:K78" si="9">C20+C77</f>
        <v>117840</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1945</v>
      </c>
      <c r="B79" s="534"/>
      <c r="C79" s="478">
        <v>206786</v>
      </c>
      <c r="D79" s="535"/>
      <c r="E79" s="535"/>
      <c r="F79" s="535"/>
      <c r="G79" s="535"/>
      <c r="H79" s="535"/>
      <c r="I79" s="535"/>
      <c r="J79" s="535"/>
      <c r="K79" s="535"/>
      <c r="L79" s="347"/>
    </row>
    <row r="80" spans="1:12" x14ac:dyDescent="0.2">
      <c r="A80" s="2127" t="s">
        <v>1793</v>
      </c>
      <c r="B80" s="2128"/>
      <c r="C80" s="467"/>
      <c r="D80" s="467"/>
      <c r="E80" s="467"/>
      <c r="F80" s="467"/>
      <c r="G80" s="467"/>
      <c r="H80" s="467"/>
      <c r="I80" s="467"/>
      <c r="J80" s="467"/>
      <c r="K80" s="467"/>
      <c r="L80" s="347"/>
    </row>
    <row r="81" spans="1:12" ht="13.5" thickBot="1" x14ac:dyDescent="0.25">
      <c r="A81" s="2119" t="s">
        <v>1946</v>
      </c>
      <c r="B81" s="2120"/>
      <c r="C81" s="1688">
        <f>(SUM(C78:C80))</f>
        <v>324626</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117840</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0.36300234731660436</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66" activePane="bottomLeft" state="frozen"/>
      <selection pane="bottomLeft" activeCell="C266" sqref="C26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1800</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2200</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2200</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3431</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83797</v>
      </c>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87228</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89428</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2180895</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2180895</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2180895</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2180895</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1801</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987696</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987696</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987696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987696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3258019</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108" activePane="bottomLeft" state="frozen"/>
      <selection pane="bottomLeft" activeCell="L122" sqref="L12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v>3708</v>
      </c>
      <c r="F5" s="466">
        <v>20267</v>
      </c>
      <c r="G5" s="466">
        <v>115029</v>
      </c>
      <c r="H5" s="466"/>
      <c r="I5" s="467"/>
      <c r="J5" s="467"/>
      <c r="K5" s="1671">
        <f>SUM(C5:J5)</f>
        <v>139004</v>
      </c>
      <c r="L5" s="466">
        <v>77533</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0</v>
      </c>
      <c r="D33" s="1670">
        <f t="shared" ref="D33:L33" si="1">SUM(D5:D32)</f>
        <v>0</v>
      </c>
      <c r="E33" s="1670">
        <f t="shared" si="1"/>
        <v>3708</v>
      </c>
      <c r="F33" s="1670">
        <f t="shared" si="1"/>
        <v>20267</v>
      </c>
      <c r="G33" s="1670">
        <f t="shared" si="1"/>
        <v>115029</v>
      </c>
      <c r="H33" s="1670">
        <f t="shared" si="1"/>
        <v>0</v>
      </c>
      <c r="I33" s="1670">
        <f t="shared" si="1"/>
        <v>0</v>
      </c>
      <c r="J33" s="1670">
        <f t="shared" si="1"/>
        <v>0</v>
      </c>
      <c r="K33" s="1670">
        <f t="shared" si="1"/>
        <v>139004</v>
      </c>
      <c r="L33" s="1670">
        <f t="shared" si="1"/>
        <v>77533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0</v>
      </c>
      <c r="F42" s="1670">
        <f t="shared" si="3"/>
        <v>0</v>
      </c>
      <c r="G42" s="1670">
        <f t="shared" si="3"/>
        <v>0</v>
      </c>
      <c r="H42" s="1670">
        <f t="shared" si="3"/>
        <v>0</v>
      </c>
      <c r="I42" s="1670">
        <f t="shared" si="3"/>
        <v>0</v>
      </c>
      <c r="J42" s="1670">
        <f t="shared" si="3"/>
        <v>0</v>
      </c>
      <c r="K42" s="1670">
        <f t="shared" si="3"/>
        <v>0</v>
      </c>
      <c r="L42" s="1670">
        <f t="shared" si="3"/>
        <v>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146905</v>
      </c>
      <c r="D44" s="481">
        <v>28591</v>
      </c>
      <c r="E44" s="481">
        <v>62834</v>
      </c>
      <c r="F44" s="481">
        <v>3221</v>
      </c>
      <c r="G44" s="481">
        <v>2227</v>
      </c>
      <c r="H44" s="481"/>
      <c r="I44" s="467"/>
      <c r="J44" s="467"/>
      <c r="K44" s="1672">
        <f>SUM(C44:J44)</f>
        <v>243778</v>
      </c>
      <c r="L44" s="481">
        <v>286069</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146905</v>
      </c>
      <c r="D47" s="1670">
        <f t="shared" ref="D47:K47" si="4">SUM(D44:D46)</f>
        <v>28591</v>
      </c>
      <c r="E47" s="1670">
        <f t="shared" si="4"/>
        <v>62834</v>
      </c>
      <c r="F47" s="1670">
        <f t="shared" si="4"/>
        <v>3221</v>
      </c>
      <c r="G47" s="1670">
        <f t="shared" si="4"/>
        <v>2227</v>
      </c>
      <c r="H47" s="1670">
        <f t="shared" si="4"/>
        <v>0</v>
      </c>
      <c r="I47" s="1670">
        <f t="shared" si="4"/>
        <v>0</v>
      </c>
      <c r="J47" s="1670">
        <f t="shared" si="4"/>
        <v>0</v>
      </c>
      <c r="K47" s="1670">
        <f t="shared" si="4"/>
        <v>243778</v>
      </c>
      <c r="L47" s="1670">
        <f>SUM(L44:L46)</f>
        <v>286069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142169</v>
      </c>
      <c r="D49" s="481">
        <v>64845</v>
      </c>
      <c r="E49" s="481">
        <v>23996</v>
      </c>
      <c r="F49" s="481">
        <v>1827</v>
      </c>
      <c r="G49" s="481">
        <v>80</v>
      </c>
      <c r="H49" s="481">
        <v>972</v>
      </c>
      <c r="I49" s="467"/>
      <c r="J49" s="467"/>
      <c r="K49" s="1672">
        <f>SUM(C49:J49)</f>
        <v>233889</v>
      </c>
      <c r="L49" s="481">
        <v>244127</v>
      </c>
    </row>
    <row r="50" spans="1:14" x14ac:dyDescent="0.2">
      <c r="A50" s="1504" t="s">
        <v>818</v>
      </c>
      <c r="B50" s="614">
        <v>2320</v>
      </c>
      <c r="C50" s="466"/>
      <c r="D50" s="466"/>
      <c r="E50" s="466"/>
      <c r="F50" s="466"/>
      <c r="G50" s="466"/>
      <c r="H50" s="466"/>
      <c r="I50" s="467"/>
      <c r="J50" s="467"/>
      <c r="K50" s="1672">
        <f>SUM(C50:J50)</f>
        <v>0</v>
      </c>
      <c r="L50" s="466"/>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142169</v>
      </c>
      <c r="D53" s="1670">
        <f t="shared" ref="D53:L53" si="5">SUM(D49:D52)</f>
        <v>64845</v>
      </c>
      <c r="E53" s="1670">
        <f t="shared" si="5"/>
        <v>23996</v>
      </c>
      <c r="F53" s="1670">
        <f t="shared" si="5"/>
        <v>1827</v>
      </c>
      <c r="G53" s="1670">
        <f t="shared" si="5"/>
        <v>80</v>
      </c>
      <c r="H53" s="1670">
        <f t="shared" si="5"/>
        <v>972</v>
      </c>
      <c r="I53" s="1670">
        <f t="shared" si="5"/>
        <v>0</v>
      </c>
      <c r="J53" s="1670">
        <f t="shared" si="5"/>
        <v>0</v>
      </c>
      <c r="K53" s="1670">
        <f t="shared" si="5"/>
        <v>233889</v>
      </c>
      <c r="L53" s="1670">
        <f t="shared" si="5"/>
        <v>244127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v>506</v>
      </c>
      <c r="F60" s="466"/>
      <c r="G60" s="466"/>
      <c r="H60" s="466"/>
      <c r="I60" s="467"/>
      <c r="J60" s="467"/>
      <c r="K60" s="1672">
        <f t="shared" si="7"/>
        <v>506</v>
      </c>
      <c r="L60" s="466">
        <v>760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0</v>
      </c>
      <c r="D65" s="1670">
        <f t="shared" ref="D65:L65" si="8">SUM(D59:D64)</f>
        <v>0</v>
      </c>
      <c r="E65" s="1670">
        <f t="shared" si="8"/>
        <v>506</v>
      </c>
      <c r="F65" s="1670">
        <f t="shared" si="8"/>
        <v>0</v>
      </c>
      <c r="G65" s="1670">
        <f t="shared" si="8"/>
        <v>0</v>
      </c>
      <c r="H65" s="1670">
        <f t="shared" si="8"/>
        <v>0</v>
      </c>
      <c r="I65" s="1670">
        <f t="shared" si="8"/>
        <v>0</v>
      </c>
      <c r="J65" s="1670">
        <f t="shared" si="8"/>
        <v>0</v>
      </c>
      <c r="K65" s="1670">
        <f t="shared" si="8"/>
        <v>506</v>
      </c>
      <c r="L65" s="1670">
        <f t="shared" si="8"/>
        <v>760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289074</v>
      </c>
      <c r="D74" s="1677">
        <f t="shared" ref="D74:K74" si="10">SUM(D42,D47,D53,D57,D65,D72,D73)</f>
        <v>93436</v>
      </c>
      <c r="E74" s="1677">
        <f t="shared" si="10"/>
        <v>87336</v>
      </c>
      <c r="F74" s="1677">
        <f t="shared" si="10"/>
        <v>5048</v>
      </c>
      <c r="G74" s="1677">
        <f t="shared" si="10"/>
        <v>2307</v>
      </c>
      <c r="H74" s="1677">
        <f t="shared" si="10"/>
        <v>972</v>
      </c>
      <c r="I74" s="1677">
        <f t="shared" si="10"/>
        <v>0</v>
      </c>
      <c r="J74" s="1677">
        <f t="shared" si="10"/>
        <v>0</v>
      </c>
      <c r="K74" s="1677">
        <f t="shared" si="10"/>
        <v>478173</v>
      </c>
      <c r="L74" s="1677">
        <f>SUM(L42,L47,L53,L57,L65,L72,L73)</f>
        <v>530956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2523002</v>
      </c>
      <c r="I81" s="477"/>
      <c r="J81" s="477"/>
      <c r="K81" s="1671">
        <f t="shared" si="11"/>
        <v>2523002</v>
      </c>
      <c r="L81" s="466">
        <v>2594176</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2523002</v>
      </c>
      <c r="I84" s="477"/>
      <c r="J84" s="477"/>
      <c r="K84" s="1670">
        <f>SUM(K78:K83)</f>
        <v>2523002</v>
      </c>
      <c r="L84" s="1670">
        <f>SUM(L78:L83)</f>
        <v>2594176</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2523002</v>
      </c>
      <c r="I102" s="477"/>
      <c r="J102" s="477"/>
      <c r="K102" s="1677">
        <f>SUM(K84,K92,K100,K101)</f>
        <v>2523002</v>
      </c>
      <c r="L102" s="1677">
        <f>SUM(L84,L92,L100,L101)</f>
        <v>2594176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289074</v>
      </c>
      <c r="D114" s="1670">
        <f t="shared" ref="D114:K114" si="13">SUM(D33,D74,D75,D102,D112,D113)</f>
        <v>93436</v>
      </c>
      <c r="E114" s="1670">
        <f t="shared" si="13"/>
        <v>91044</v>
      </c>
      <c r="F114" s="1670">
        <f t="shared" si="13"/>
        <v>25315</v>
      </c>
      <c r="G114" s="1670">
        <f t="shared" si="13"/>
        <v>117336</v>
      </c>
      <c r="H114" s="1670">
        <f>SUM(H33,H74,H75,H102,H112,H113)</f>
        <v>2523974</v>
      </c>
      <c r="I114" s="1670">
        <f t="shared" si="13"/>
        <v>0</v>
      </c>
      <c r="J114" s="1670">
        <f t="shared" si="13"/>
        <v>0</v>
      </c>
      <c r="K114" s="1670">
        <f t="shared" si="13"/>
        <v>3140179</v>
      </c>
      <c r="L114" s="1670">
        <f>SUM(L33,L74,L75,L102,L112,L113)</f>
        <v>3202665</v>
      </c>
    </row>
    <row r="115" spans="1:14" ht="13.5" thickTop="1" x14ac:dyDescent="0.2">
      <c r="A115" s="2180" t="s">
        <v>996</v>
      </c>
      <c r="B115" s="2181"/>
      <c r="C115" s="618"/>
      <c r="D115" s="618"/>
      <c r="E115" s="618"/>
      <c r="F115" s="618"/>
      <c r="G115" s="618"/>
      <c r="H115" s="618"/>
      <c r="I115" s="618"/>
      <c r="J115" s="618"/>
      <c r="K115" s="1684">
        <f>'Revenues 9-14'!C268-'Expenditures 15-22'!K114</f>
        <v>117840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2"/>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3" t="s">
        <v>1178</v>
      </c>
      <c r="B152" s="2174"/>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0" t="s">
        <v>996</v>
      </c>
      <c r="B175" s="2181"/>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80" t="s">
        <v>996</v>
      </c>
      <c r="B211" s="2181"/>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1803</v>
      </c>
      <c r="B249" s="683" t="s">
        <v>282</v>
      </c>
      <c r="C249" s="616"/>
      <c r="D249" s="474"/>
      <c r="E249" s="616"/>
      <c r="F249" s="616"/>
      <c r="G249" s="616"/>
      <c r="H249" s="616"/>
      <c r="I249" s="616"/>
      <c r="J249" s="616"/>
      <c r="K249" s="1672">
        <f t="shared" si="21"/>
        <v>0</v>
      </c>
      <c r="L249" s="466"/>
    </row>
    <row r="250" spans="1:12" x14ac:dyDescent="0.2">
      <c r="A250" s="1505" t="s">
        <v>1804</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0" t="s">
        <v>996</v>
      </c>
      <c r="B296" s="2181"/>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6" t="s">
        <v>996</v>
      </c>
      <c r="B343" s="2167"/>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0" t="s">
        <v>996</v>
      </c>
      <c r="B368" s="2181"/>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B1" sqref="B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1800</v>
      </c>
      <c r="B2" s="1528" t="s">
        <v>1947</v>
      </c>
      <c r="C2" s="714" t="s">
        <v>1948</v>
      </c>
      <c r="D2" s="714" t="s">
        <v>1949</v>
      </c>
      <c r="E2" s="714" t="s">
        <v>1950</v>
      </c>
      <c r="F2" s="714" t="s">
        <v>1951</v>
      </c>
    </row>
    <row r="3" spans="1:6" ht="12" customHeight="1" x14ac:dyDescent="0.2">
      <c r="A3" s="2183"/>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38" colorId="8" zoomScale="110" zoomScaleNormal="110" workbookViewId="0">
      <selection activeCell="M39" sqref="M3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1800</v>
      </c>
      <c r="B2" s="2198"/>
      <c r="C2" s="1884" t="s">
        <v>1952</v>
      </c>
      <c r="D2" s="723" t="s">
        <v>1953</v>
      </c>
      <c r="E2" s="723" t="s">
        <v>1954</v>
      </c>
      <c r="F2" s="1884" t="s">
        <v>1955</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5">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6" t="s">
        <v>631</v>
      </c>
      <c r="B15" s="2187"/>
      <c r="C15" s="1755">
        <f>SUM(C6:C14)</f>
        <v>0</v>
      </c>
      <c r="D15" s="1755">
        <f>SUM(D6:D14)</f>
        <v>0</v>
      </c>
      <c r="E15" s="1755">
        <f>SUM(E6:E14)</f>
        <v>0</v>
      </c>
      <c r="F15" s="1755">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5">
        <f>SUM(C17+D17)-E17</f>
        <v>0</v>
      </c>
    </row>
    <row r="18" spans="1:11" ht="12.75" customHeight="1" thickTop="1" thickBot="1" x14ac:dyDescent="0.25">
      <c r="A18" s="2209" t="s">
        <v>6</v>
      </c>
      <c r="B18" s="2210"/>
      <c r="C18" s="726"/>
      <c r="D18" s="585"/>
      <c r="E18" s="726"/>
      <c r="F18" s="1755">
        <f>SUM(C18+D18)-E18</f>
        <v>0</v>
      </c>
    </row>
    <row r="19" spans="1:11" ht="12.75" customHeight="1" thickTop="1" thickBot="1" x14ac:dyDescent="0.25">
      <c r="A19" s="2209" t="s">
        <v>388</v>
      </c>
      <c r="B19" s="2210"/>
      <c r="C19" s="726"/>
      <c r="D19" s="585"/>
      <c r="E19" s="726"/>
      <c r="F19" s="1755">
        <f>SUM(C19+D19)-E19</f>
        <v>0</v>
      </c>
    </row>
    <row r="20" spans="1:11" ht="12.75" customHeight="1" thickTop="1" thickBot="1" x14ac:dyDescent="0.25">
      <c r="A20" s="2209" t="s">
        <v>448</v>
      </c>
      <c r="B20" s="2210"/>
      <c r="C20" s="726"/>
      <c r="D20" s="585"/>
      <c r="E20" s="726"/>
      <c r="F20" s="1755">
        <f>SUM(C20+D20)-E20</f>
        <v>0</v>
      </c>
    </row>
    <row r="21" spans="1:11" ht="14.25" thickTop="1" thickBot="1" x14ac:dyDescent="0.25">
      <c r="A21" s="2186" t="s">
        <v>632</v>
      </c>
      <c r="B21" s="2187"/>
      <c r="C21" s="1755">
        <f>SUM(C17:C20)</f>
        <v>0</v>
      </c>
      <c r="D21" s="1755">
        <f>SUM(D17:D20)</f>
        <v>0</v>
      </c>
      <c r="E21" s="1755">
        <f>SUM(E17:E20)</f>
        <v>0</v>
      </c>
      <c r="F21" s="1755">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5">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5">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5">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5" t="s">
        <v>583</v>
      </c>
      <c r="D30" s="1885" t="s">
        <v>1673</v>
      </c>
      <c r="E30" s="1885" t="s">
        <v>1956</v>
      </c>
      <c r="F30" s="1885" t="s">
        <v>1957</v>
      </c>
      <c r="G30" s="1885" t="s">
        <v>1908</v>
      </c>
      <c r="H30" s="1885" t="s">
        <v>1958</v>
      </c>
      <c r="I30" s="1885" t="s">
        <v>1959</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topLeftCell="A29" colorId="8" zoomScaleNormal="100" workbookViewId="0">
      <selection activeCell="H53" sqref="H5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1810</v>
      </c>
      <c r="K2" s="762" t="s">
        <v>138</v>
      </c>
    </row>
    <row r="3" spans="1:11" x14ac:dyDescent="0.2">
      <c r="A3" s="2219" t="s">
        <v>1960</v>
      </c>
      <c r="B3" s="2220"/>
      <c r="C3" s="2220"/>
      <c r="D3" s="2220"/>
      <c r="E3" s="2221"/>
      <c r="F3" s="763"/>
      <c r="G3" s="764"/>
      <c r="H3" s="764"/>
      <c r="I3" s="764"/>
      <c r="J3" s="765"/>
      <c r="K3" s="765"/>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1811</v>
      </c>
      <c r="B10" s="2213"/>
      <c r="C10" s="2213"/>
      <c r="D10" s="2213"/>
      <c r="E10" s="2242"/>
      <c r="F10" s="783" t="s">
        <v>862</v>
      </c>
      <c r="G10" s="782"/>
      <c r="H10" s="784"/>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7"/>
      <c r="G12" s="1758">
        <f>SUM(G5:G11)</f>
        <v>0</v>
      </c>
      <c r="H12" s="1758">
        <f>SUM(H5:H11)</f>
        <v>0</v>
      </c>
      <c r="I12" s="1758">
        <f>SUM(I5:I11)</f>
        <v>0</v>
      </c>
      <c r="J12" s="1758">
        <f>SUM(J5:J11)</f>
        <v>0</v>
      </c>
      <c r="K12" s="1758">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1807</v>
      </c>
      <c r="B19" s="2248"/>
      <c r="C19" s="2248"/>
      <c r="D19" s="2248"/>
      <c r="E19" s="2249"/>
      <c r="F19" s="789" t="s">
        <v>933</v>
      </c>
      <c r="G19" s="782"/>
      <c r="H19" s="782"/>
      <c r="I19" s="782"/>
      <c r="J19" s="765"/>
      <c r="K19" s="795"/>
    </row>
    <row r="20" spans="1:11" x14ac:dyDescent="0.2">
      <c r="A20" s="2227" t="s">
        <v>1812</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9"/>
      <c r="G21" s="792"/>
      <c r="H21" s="796"/>
      <c r="I21" s="796"/>
      <c r="J21" s="1760">
        <f>SUM(J18:J20)</f>
        <v>0</v>
      </c>
      <c r="K21" s="793"/>
    </row>
    <row r="22" spans="1:11" ht="13.5" thickTop="1" x14ac:dyDescent="0.2">
      <c r="A22" s="2213" t="s">
        <v>1813</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61"/>
      <c r="G23" s="1758">
        <f>SUM(G14:G16,G21,G22)</f>
        <v>0</v>
      </c>
      <c r="H23" s="1758">
        <f>SUM(H14:H16,H21,H22)</f>
        <v>0</v>
      </c>
      <c r="I23" s="1758">
        <f>SUM(I14:I16,I21,I22)</f>
        <v>0</v>
      </c>
      <c r="J23" s="1758">
        <f>SUM(J14:J16,J21,J22)</f>
        <v>0</v>
      </c>
      <c r="K23" s="1758">
        <f>SUM(K14:K16,K21,K22)</f>
        <v>0</v>
      </c>
    </row>
    <row r="24" spans="1:11" ht="14.25" thickTop="1" thickBot="1" x14ac:dyDescent="0.25">
      <c r="A24" s="2234" t="s">
        <v>1961</v>
      </c>
      <c r="B24" s="2233"/>
      <c r="C24" s="2233"/>
      <c r="D24" s="2233"/>
      <c r="E24" s="2233"/>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3" colorId="8" zoomScale="110" zoomScaleNormal="110" workbookViewId="0">
      <selection activeCell="C18" sqref="C1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1906</v>
      </c>
      <c r="B1" s="2253"/>
      <c r="C1" s="2254"/>
      <c r="D1" s="826"/>
      <c r="E1" s="827"/>
      <c r="F1" s="827"/>
      <c r="G1" s="828"/>
      <c r="H1" s="829"/>
      <c r="I1" s="830"/>
      <c r="J1" s="2250"/>
      <c r="K1" s="2251"/>
      <c r="L1" s="2251"/>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38481</v>
      </c>
      <c r="D12" s="844"/>
      <c r="E12" s="844"/>
      <c r="F12" s="1760">
        <f>(C12+D12)-E12</f>
        <v>38481</v>
      </c>
      <c r="G12" s="843">
        <v>10</v>
      </c>
      <c r="H12" s="765">
        <v>38026</v>
      </c>
      <c r="I12" s="765">
        <v>455</v>
      </c>
      <c r="J12" s="765"/>
      <c r="K12" s="1769">
        <f>(H12+I12)-J12</f>
        <v>38481</v>
      </c>
      <c r="L12" s="1769">
        <f>F12-K12</f>
        <v>0</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38481</v>
      </c>
      <c r="D16" s="1760">
        <f>SUM(D3,D5:D6,D8:D10,D12:D15)</f>
        <v>0</v>
      </c>
      <c r="E16" s="1760">
        <f>SUM(E3,E5:E6,E8:E10,E12:E15)</f>
        <v>0</v>
      </c>
      <c r="F16" s="1760">
        <f>SUM(F3,F5:F6,F8:F10,F12:F15)</f>
        <v>38481</v>
      </c>
      <c r="G16" s="843"/>
      <c r="H16" s="1760">
        <f>SUM(H3,H6,H8:H10,H12:H14,)</f>
        <v>38026</v>
      </c>
      <c r="I16" s="1760">
        <f>SUM(I3,I6,I8:I10,I12:I14,)</f>
        <v>455</v>
      </c>
      <c r="J16" s="1760">
        <f>SUM(J3,J6,J8:J10,J12:J14,)</f>
        <v>0</v>
      </c>
      <c r="K16" s="1760">
        <f>(H16+I16)-J16</f>
        <v>38481</v>
      </c>
      <c r="L16" s="1760">
        <f>F16-K16</f>
        <v>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455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84" activePane="bottomLeft" state="frozen"/>
      <selection activeCell="A47" sqref="A47"/>
      <selection pane="bottomLeft" activeCell="I184" sqref="I18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1971</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3140179</v>
      </c>
      <c r="G8" s="865"/>
    </row>
    <row r="9" spans="1:7" x14ac:dyDescent="0.2">
      <c r="A9" s="869" t="s">
        <v>460</v>
      </c>
      <c r="B9" s="870" t="s">
        <v>1874</v>
      </c>
      <c r="C9" s="871"/>
      <c r="D9" s="869" t="s">
        <v>501</v>
      </c>
      <c r="E9" s="868"/>
      <c r="F9" s="1909">
        <f>'Expenditures 15-22'!K151</f>
        <v>0</v>
      </c>
      <c r="G9" s="872"/>
    </row>
    <row r="10" spans="1:7" x14ac:dyDescent="0.2">
      <c r="A10" s="869" t="s">
        <v>499</v>
      </c>
      <c r="B10" s="870" t="s">
        <v>1875</v>
      </c>
      <c r="C10" s="871"/>
      <c r="D10" s="869" t="s">
        <v>501</v>
      </c>
      <c r="E10" s="868"/>
      <c r="F10" s="1909">
        <f>'Expenditures 15-22'!K174</f>
        <v>0</v>
      </c>
      <c r="G10" s="872"/>
    </row>
    <row r="11" spans="1:7" x14ac:dyDescent="0.2">
      <c r="A11" s="869" t="s">
        <v>461</v>
      </c>
      <c r="B11" s="870" t="s">
        <v>1876</v>
      </c>
      <c r="C11" s="871"/>
      <c r="D11" s="869" t="s">
        <v>501</v>
      </c>
      <c r="E11" s="868"/>
      <c r="F11" s="1909">
        <f>'Expenditures 15-22'!K210</f>
        <v>0</v>
      </c>
      <c r="G11" s="872"/>
    </row>
    <row r="12" spans="1:7" x14ac:dyDescent="0.2">
      <c r="A12" s="869" t="s">
        <v>462</v>
      </c>
      <c r="B12" s="870" t="s">
        <v>1877</v>
      </c>
      <c r="C12" s="871"/>
      <c r="D12" s="869" t="s">
        <v>501</v>
      </c>
      <c r="E12" s="868"/>
      <c r="F12" s="1909">
        <f>'Expenditures 15-22'!K295</f>
        <v>0</v>
      </c>
      <c r="G12" s="872"/>
    </row>
    <row r="13" spans="1:7" x14ac:dyDescent="0.2">
      <c r="A13" s="869" t="s">
        <v>106</v>
      </c>
      <c r="B13" s="870" t="s">
        <v>1878</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3140179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4">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1998</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2523002</v>
      </c>
      <c r="G53" s="865"/>
    </row>
    <row r="54" spans="1:7" x14ac:dyDescent="0.2">
      <c r="A54" s="869" t="s">
        <v>459</v>
      </c>
      <c r="B54" s="869" t="s">
        <v>1476</v>
      </c>
      <c r="C54" s="889" t="s">
        <v>982</v>
      </c>
      <c r="D54" s="885" t="s">
        <v>1095</v>
      </c>
      <c r="E54" s="868"/>
      <c r="F54" s="1913">
        <f>'Expenditures 15-22'!G114</f>
        <v>117336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0</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2640338</v>
      </c>
      <c r="G76" s="865"/>
    </row>
    <row r="77" spans="1:8" s="893" customFormat="1" ht="12" customHeight="1" thickTop="1" thickBot="1" x14ac:dyDescent="0.25">
      <c r="A77" s="1779"/>
      <c r="B77" s="1776"/>
      <c r="C77" s="1772"/>
      <c r="D77" s="1777" t="s">
        <v>1897</v>
      </c>
      <c r="E77" s="1774"/>
      <c r="F77" s="1780">
        <f>(F14-F76)</f>
        <v>499841</v>
      </c>
      <c r="G77" s="869"/>
    </row>
    <row r="78" spans="1:8" s="893" customFormat="1" ht="12" customHeight="1" thickTop="1" x14ac:dyDescent="0.2">
      <c r="A78" s="1781"/>
      <c r="B78" s="1776"/>
      <c r="C78" s="1772"/>
      <c r="D78" s="1777" t="s">
        <v>2058</v>
      </c>
      <c r="E78" s="1774"/>
      <c r="F78" s="898">
        <v>0</v>
      </c>
      <c r="G78" s="899"/>
      <c r="H78" s="869"/>
    </row>
    <row r="79" spans="1:8" s="893" customFormat="1" ht="12" customHeight="1" thickBot="1" x14ac:dyDescent="0.25">
      <c r="A79" s="1782"/>
      <c r="B79" s="1776"/>
      <c r="C79" s="1772"/>
      <c r="D79" s="1777" t="s">
        <v>1898</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83797</v>
      </c>
      <c r="G104" s="912"/>
    </row>
    <row r="105" spans="1:7" x14ac:dyDescent="0.2">
      <c r="A105" s="908" t="s">
        <v>503</v>
      </c>
      <c r="B105" s="908" t="s">
        <v>1999</v>
      </c>
      <c r="C105" s="913">
        <v>3100</v>
      </c>
      <c r="D105" s="919" t="str">
        <f>'Revenues 9-14'!A132</f>
        <v>Total Special Education</v>
      </c>
      <c r="E105" s="906"/>
      <c r="F105" s="1789">
        <f>SUM('Revenues 9-14'!C132:D132,'Revenues 9-14'!F132)</f>
        <v>0</v>
      </c>
      <c r="G105" s="912"/>
    </row>
    <row r="106" spans="1:7" x14ac:dyDescent="0.2">
      <c r="A106" s="908" t="s">
        <v>673</v>
      </c>
      <c r="B106" s="908" t="s">
        <v>2000</v>
      </c>
      <c r="C106" s="920">
        <v>3200</v>
      </c>
      <c r="D106" s="911" t="str">
        <f>'Revenues 9-14'!A141</f>
        <v>Total Career and Technical Education</v>
      </c>
      <c r="E106" s="906"/>
      <c r="F106" s="1789">
        <f>SUM('Revenues 9-14'!C141,'Revenues 9-14'!D141,'Revenues 9-14'!G141)</f>
        <v>2180895</v>
      </c>
      <c r="G106" s="912"/>
    </row>
    <row r="107" spans="1:7" x14ac:dyDescent="0.2">
      <c r="A107" s="921" t="s">
        <v>664</v>
      </c>
      <c r="B107" s="908" t="s">
        <v>2001</v>
      </c>
      <c r="C107" s="920">
        <v>3300</v>
      </c>
      <c r="D107" s="911" t="str">
        <f>'Revenues 9-14'!A145</f>
        <v>Total Bilingual Ed</v>
      </c>
      <c r="E107" s="906"/>
      <c r="F107" s="1789">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9">
        <f>'Revenues 9-14'!C146</f>
        <v>0</v>
      </c>
      <c r="G108" s="912"/>
    </row>
    <row r="109" spans="1:7" x14ac:dyDescent="0.2">
      <c r="A109" s="908" t="s">
        <v>673</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0</v>
      </c>
      <c r="G110" s="912"/>
    </row>
    <row r="111" spans="1:7" x14ac:dyDescent="0.2">
      <c r="A111" s="908" t="s">
        <v>668</v>
      </c>
      <c r="B111" s="908" t="s">
        <v>2005</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2006</v>
      </c>
      <c r="C112" s="920">
        <f>'Revenues 9-14'!B156</f>
        <v>3610</v>
      </c>
      <c r="D112" s="911" t="str">
        <f>'Revenues 9-14'!A156</f>
        <v>Learning Improvement - Change Grants</v>
      </c>
      <c r="E112" s="906"/>
      <c r="F112" s="1789">
        <f>'Revenues 9-14'!C156</f>
        <v>0</v>
      </c>
      <c r="G112" s="912"/>
    </row>
    <row r="113" spans="1:7" x14ac:dyDescent="0.2">
      <c r="A113" s="908" t="s">
        <v>668</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7">
        <f>SUM('Revenues 9-14'!C163:G163)</f>
        <v>0</v>
      </c>
      <c r="G118" s="912"/>
    </row>
    <row r="119" spans="1:7" x14ac:dyDescent="0.2">
      <c r="A119" s="923" t="s">
        <v>504</v>
      </c>
      <c r="B119" s="923" t="s">
        <v>2013</v>
      </c>
      <c r="C119" s="924">
        <f>'Revenues 9-14'!B164</f>
        <v>3815</v>
      </c>
      <c r="D119" s="925" t="str">
        <f>'Revenues 9-14'!A164</f>
        <v>State Charter Schools</v>
      </c>
      <c r="E119" s="906"/>
      <c r="F119" s="1907">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9">
        <f>'Revenues 9-14'!D167</f>
        <v>0</v>
      </c>
      <c r="G120" s="930"/>
    </row>
    <row r="121" spans="1:7" x14ac:dyDescent="0.2">
      <c r="A121" s="927" t="s">
        <v>500</v>
      </c>
      <c r="B121" s="927" t="s">
        <v>2015</v>
      </c>
      <c r="C121" s="928">
        <f>'Revenues 9-14'!B168</f>
        <v>3999</v>
      </c>
      <c r="D121" s="929" t="s">
        <v>543</v>
      </c>
      <c r="E121" s="931"/>
      <c r="F121" s="1789">
        <f>SUM('Revenues 9-14'!C168:G168,'Revenues 9-14'!J168)</f>
        <v>0</v>
      </c>
      <c r="G121" s="930"/>
    </row>
    <row r="122" spans="1:7" x14ac:dyDescent="0.2">
      <c r="A122" s="927" t="s">
        <v>459</v>
      </c>
      <c r="B122" s="927" t="s">
        <v>2016</v>
      </c>
      <c r="C122" s="932">
        <f>'Revenues 9-14'!B177</f>
        <v>4045</v>
      </c>
      <c r="D122" s="929" t="str">
        <f>'Revenues 9-14'!A177 &amp; " (Subtract)"</f>
        <v>Head Start (Subtract)</v>
      </c>
      <c r="E122" s="906"/>
      <c r="F122" s="1789">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2018</v>
      </c>
      <c r="C124" s="932">
        <v>4100</v>
      </c>
      <c r="D124" s="933" t="str">
        <f>'Revenues 9-14'!A188</f>
        <v>Total Title V</v>
      </c>
      <c r="E124" s="906"/>
      <c r="F124" s="1789">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9">
        <f>SUM('Revenues 9-14'!C198,'Revenues 9-14'!G198)</f>
        <v>0</v>
      </c>
      <c r="G125" s="930"/>
    </row>
    <row r="126" spans="1:7" x14ac:dyDescent="0.2">
      <c r="A126" s="927" t="s">
        <v>668</v>
      </c>
      <c r="B126" s="927" t="s">
        <v>2020</v>
      </c>
      <c r="C126" s="932">
        <v>4300</v>
      </c>
      <c r="D126" s="933" t="str">
        <f>'Revenues 9-14'!A204</f>
        <v>Total Title I</v>
      </c>
      <c r="E126" s="906"/>
      <c r="F126" s="1789">
        <f>SUM('Revenues 9-14'!C204,'Revenues 9-14'!D204,'Revenues 9-14'!F204,'Revenues 9-14'!G204)</f>
        <v>0</v>
      </c>
      <c r="G126" s="930"/>
    </row>
    <row r="127" spans="1:7" x14ac:dyDescent="0.2">
      <c r="A127" s="927" t="s">
        <v>668</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2025</v>
      </c>
      <c r="C132" s="932">
        <v>4700</v>
      </c>
      <c r="D132" s="929" t="str">
        <f>'Revenues 9-14'!A221</f>
        <v>Total CTE - Perkins</v>
      </c>
      <c r="E132" s="906"/>
      <c r="F132" s="1789">
        <f>SUM('Revenues 9-14'!C221,'Revenues 9-14'!D221,'Revenues 9-14'!G221)</f>
        <v>987696</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2040</v>
      </c>
      <c r="C157" s="940" t="s">
        <v>841</v>
      </c>
      <c r="D157" s="941" t="s">
        <v>777</v>
      </c>
      <c r="E157" s="942"/>
      <c r="F157" s="1789">
        <f>SUM(F133:F156)</f>
        <v>0</v>
      </c>
      <c r="G157" s="905"/>
    </row>
    <row r="158" spans="1:7" s="867" customFormat="1" x14ac:dyDescent="0.2">
      <c r="A158" s="938" t="s">
        <v>459</v>
      </c>
      <c r="B158" s="939" t="s">
        <v>2041</v>
      </c>
      <c r="C158" s="940" t="s">
        <v>1427</v>
      </c>
      <c r="D158" s="941" t="s">
        <v>1428</v>
      </c>
      <c r="E158" s="942"/>
      <c r="F158" s="1789">
        <f>SUM('Revenues 9-14'!C253)</f>
        <v>0</v>
      </c>
      <c r="G158" s="905"/>
    </row>
    <row r="159" spans="1:7" s="867" customFormat="1" x14ac:dyDescent="0.2">
      <c r="A159" s="938" t="s">
        <v>500</v>
      </c>
      <c r="B159" s="939" t="s">
        <v>2042</v>
      </c>
      <c r="C159" s="940" t="s">
        <v>1466</v>
      </c>
      <c r="D159" s="941" t="s">
        <v>1467</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2050</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958</v>
      </c>
      <c r="F174" s="1788">
        <f>SUM(F84:F132,F157:F172)</f>
        <v>3252388</v>
      </c>
    </row>
    <row r="175" spans="1:7" ht="12" customHeight="1" x14ac:dyDescent="0.2">
      <c r="A175" s="1770"/>
      <c r="B175" s="1784"/>
      <c r="C175" s="1785"/>
      <c r="D175" s="1786" t="s">
        <v>2053</v>
      </c>
      <c r="E175" s="1787"/>
      <c r="F175" s="1789">
        <f>'PCTC-OEPP 27-28'!F77-F174</f>
        <v>-2752547</v>
      </c>
    </row>
    <row r="176" spans="1:7" ht="12" customHeight="1" x14ac:dyDescent="0.2">
      <c r="A176" s="1770"/>
      <c r="B176" s="1784"/>
      <c r="C176" s="1785"/>
      <c r="D176" s="1786" t="s">
        <v>1815</v>
      </c>
      <c r="E176" s="1787"/>
      <c r="F176" s="1789">
        <f>'Cap Outlay Deprec 26'!I18</f>
        <v>455</v>
      </c>
    </row>
    <row r="177" spans="1:7" ht="12" customHeight="1" x14ac:dyDescent="0.2">
      <c r="A177" s="1770"/>
      <c r="B177" s="1784"/>
      <c r="C177" s="1785"/>
      <c r="D177" s="1786" t="s">
        <v>2054</v>
      </c>
      <c r="E177" s="1787"/>
      <c r="F177" s="1789">
        <f>F175+F176</f>
        <v>-2752092</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2055</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7" zoomScaleNormal="100" workbookViewId="0">
      <selection activeCell="C24" sqref="C24"/>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1816</v>
      </c>
      <c r="B4" s="2270"/>
      <c r="C4" s="2270"/>
      <c r="D4" s="2270"/>
      <c r="E4" s="2270"/>
      <c r="F4" s="2270"/>
      <c r="G4" s="2271"/>
    </row>
    <row r="5" spans="1:7" x14ac:dyDescent="0.25">
      <c r="A5" s="2272"/>
      <c r="B5" s="2273"/>
      <c r="C5" s="2273"/>
      <c r="D5" s="2273"/>
      <c r="E5" s="2273"/>
      <c r="F5" s="2273"/>
      <c r="G5" s="2274"/>
    </row>
    <row r="6" spans="1:7" ht="18.75" x14ac:dyDescent="0.25">
      <c r="A6" s="1534" t="s">
        <v>1817</v>
      </c>
      <c r="B6" s="1535"/>
      <c r="C6" s="1535"/>
      <c r="D6" s="1535"/>
      <c r="E6" s="1535"/>
      <c r="F6" s="1535"/>
      <c r="G6" s="1536"/>
    </row>
    <row r="7" spans="1:7" ht="30.75" customHeight="1" x14ac:dyDescent="0.25">
      <c r="A7" s="2275" t="s">
        <v>1929</v>
      </c>
      <c r="B7" s="2276"/>
      <c r="C7" s="2276"/>
      <c r="D7" s="2276"/>
      <c r="E7" s="2276"/>
      <c r="F7" s="2276"/>
      <c r="G7" s="2277"/>
    </row>
    <row r="8" spans="1:7" ht="15.75" customHeight="1" x14ac:dyDescent="0.25">
      <c r="A8" s="2278" t="s">
        <v>1904</v>
      </c>
      <c r="B8" s="2279"/>
      <c r="C8" s="2279"/>
      <c r="D8" s="2279"/>
      <c r="E8" s="2279"/>
      <c r="F8" s="2279"/>
      <c r="G8" s="2280"/>
    </row>
    <row r="9" spans="1:7" ht="35.25" customHeight="1" x14ac:dyDescent="0.25">
      <c r="A9" s="2275" t="s">
        <v>2061</v>
      </c>
      <c r="B9" s="2276"/>
      <c r="C9" s="2276"/>
      <c r="D9" s="2276"/>
      <c r="E9" s="2276"/>
      <c r="F9" s="2276"/>
      <c r="G9" s="2277"/>
    </row>
    <row r="10" spans="1:7" ht="15" customHeight="1" x14ac:dyDescent="0.25">
      <c r="A10" s="1537" t="s">
        <v>1818</v>
      </c>
      <c r="B10" s="1538"/>
      <c r="C10" s="1538"/>
      <c r="D10" s="1538"/>
      <c r="E10" s="1538"/>
      <c r="F10" s="1538"/>
      <c r="G10" s="1539"/>
    </row>
    <row r="11" spans="1:7" ht="17.25" customHeight="1" x14ac:dyDescent="0.25">
      <c r="A11" s="2275" t="s">
        <v>1931</v>
      </c>
      <c r="B11" s="2276"/>
      <c r="C11" s="2276"/>
      <c r="D11" s="2276"/>
      <c r="E11" s="2276"/>
      <c r="F11" s="2276"/>
      <c r="G11" s="2277"/>
    </row>
    <row r="12" spans="1:7" ht="15" customHeight="1" x14ac:dyDescent="0.25">
      <c r="A12" s="1537" t="s">
        <v>1823</v>
      </c>
      <c r="B12" s="1538"/>
      <c r="C12" s="1538"/>
      <c r="D12" s="1538"/>
      <c r="E12" s="1538"/>
      <c r="F12" s="1538"/>
      <c r="G12" s="1539"/>
    </row>
    <row r="13" spans="1:7" ht="32.25" customHeight="1" x14ac:dyDescent="0.25">
      <c r="A13" s="2266" t="s">
        <v>1972</v>
      </c>
      <c r="B13" s="2267"/>
      <c r="C13" s="2267"/>
      <c r="D13" s="2267"/>
      <c r="E13" s="2267"/>
      <c r="F13" s="2267"/>
      <c r="G13" s="2268"/>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2083</v>
      </c>
      <c r="B17" s="1939" t="s">
        <v>2110</v>
      </c>
      <c r="C17" s="1938" t="s">
        <v>2084</v>
      </c>
      <c r="D17" s="1844">
        <v>2334</v>
      </c>
      <c r="E17" s="1540">
        <f t="shared" ref="E17:E141" si="0">IF(D17&lt;=25000,D17,IF(D17&gt;25000,25000,0))</f>
        <v>2334</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2334</v>
      </c>
      <c r="G17" s="1793">
        <f>IF(F17=0,0,D17-F17)</f>
        <v>0</v>
      </c>
      <c r="H17" s="1647"/>
    </row>
    <row r="18" spans="1:8" x14ac:dyDescent="0.25">
      <c r="A18" s="1937" t="s">
        <v>2083</v>
      </c>
      <c r="B18" s="1939" t="s">
        <v>2110</v>
      </c>
      <c r="C18" s="1938" t="s">
        <v>2085</v>
      </c>
      <c r="D18" s="1844">
        <v>980</v>
      </c>
      <c r="E18" s="1540">
        <f t="shared" ref="E18:E140" si="2">IF(D18&lt;=25000,D18,IF(D18&gt;25000,25000,0))</f>
        <v>980</v>
      </c>
      <c r="F18" s="1932">
        <f t="shared" si="1"/>
        <v>980</v>
      </c>
      <c r="G18" s="1793">
        <f t="shared" ref="G18:G140" si="3">IF(F18=0,0,D18-F18)</f>
        <v>0</v>
      </c>
    </row>
    <row r="19" spans="1:8" x14ac:dyDescent="0.25">
      <c r="A19" s="1937" t="s">
        <v>2083</v>
      </c>
      <c r="B19" s="1939" t="s">
        <v>2110</v>
      </c>
      <c r="C19" s="1938" t="s">
        <v>2086</v>
      </c>
      <c r="D19" s="1844">
        <v>983</v>
      </c>
      <c r="E19" s="1540">
        <f t="shared" si="2"/>
        <v>983</v>
      </c>
      <c r="F19" s="1932">
        <f t="shared" si="1"/>
        <v>983</v>
      </c>
      <c r="G19" s="1793">
        <f t="shared" si="3"/>
        <v>0</v>
      </c>
    </row>
    <row r="20" spans="1:8" x14ac:dyDescent="0.25">
      <c r="A20" s="1937" t="s">
        <v>2083</v>
      </c>
      <c r="B20" s="1939" t="s">
        <v>2111</v>
      </c>
      <c r="C20" s="1938" t="s">
        <v>2087</v>
      </c>
      <c r="D20" s="1844">
        <v>5350</v>
      </c>
      <c r="E20" s="1540">
        <f t="shared" si="2"/>
        <v>5350</v>
      </c>
      <c r="F20" s="1932">
        <f t="shared" si="1"/>
        <v>5350</v>
      </c>
      <c r="G20" s="1793">
        <f t="shared" si="3"/>
        <v>0</v>
      </c>
    </row>
    <row r="21" spans="1:8" x14ac:dyDescent="0.25">
      <c r="A21" s="1937" t="s">
        <v>2083</v>
      </c>
      <c r="B21" s="1939" t="s">
        <v>2111</v>
      </c>
      <c r="C21" s="1938" t="s">
        <v>2088</v>
      </c>
      <c r="D21" s="1844">
        <v>12000</v>
      </c>
      <c r="E21" s="1540">
        <f t="shared" si="2"/>
        <v>12000</v>
      </c>
      <c r="F21" s="1932">
        <f t="shared" si="1"/>
        <v>12000</v>
      </c>
      <c r="G21" s="1793">
        <f t="shared" si="3"/>
        <v>0</v>
      </c>
    </row>
    <row r="22" spans="1:8" x14ac:dyDescent="0.25">
      <c r="A22" s="1937" t="s">
        <v>2083</v>
      </c>
      <c r="B22" s="1939" t="s">
        <v>2111</v>
      </c>
      <c r="C22" s="1938" t="s">
        <v>2089</v>
      </c>
      <c r="D22" s="1844">
        <v>2325</v>
      </c>
      <c r="E22" s="1540">
        <f t="shared" si="2"/>
        <v>2325</v>
      </c>
      <c r="F22" s="1932">
        <f t="shared" si="1"/>
        <v>2325</v>
      </c>
      <c r="G22" s="1793">
        <f t="shared" si="3"/>
        <v>0</v>
      </c>
    </row>
    <row r="23" spans="1:8" x14ac:dyDescent="0.25">
      <c r="A23" s="1937" t="s">
        <v>2083</v>
      </c>
      <c r="B23" s="1939" t="s">
        <v>2111</v>
      </c>
      <c r="C23" s="1938" t="s">
        <v>2086</v>
      </c>
      <c r="D23" s="1844">
        <v>749</v>
      </c>
      <c r="E23" s="1540">
        <f t="shared" si="2"/>
        <v>749</v>
      </c>
      <c r="F23" s="1932">
        <f t="shared" si="1"/>
        <v>749</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24721</v>
      </c>
      <c r="E141" s="1541">
        <f t="shared" si="0"/>
        <v>24721</v>
      </c>
      <c r="F141" s="1933">
        <f>SUM(F17:F140)</f>
        <v>24721</v>
      </c>
      <c r="G141" s="179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10" colorId="8" zoomScale="110" zoomScaleNormal="110" workbookViewId="0">
      <selection activeCell="F15" sqref="F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286" t="s">
        <v>1973</v>
      </c>
      <c r="B11" s="2287"/>
      <c r="C11" s="2287"/>
      <c r="D11" s="2288"/>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23975</v>
      </c>
      <c r="F19" s="1799"/>
      <c r="G19" s="1801">
        <f>'Expenditures 15-22'!K33-SUM('Expenditures 15-22'!G33,'Expenditures 15-22'!I33)+'Expenditures 15-22'!D229</f>
        <v>23975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0</v>
      </c>
      <c r="F21" s="1802"/>
      <c r="G21" s="1805">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564</v>
      </c>
      <c r="B22" s="995"/>
      <c r="C22" s="993">
        <v>2200</v>
      </c>
      <c r="D22" s="1802"/>
      <c r="E22" s="1804">
        <f>'Expenditures 15-22'!K47-SUM('Expenditures 15-22'!G47,'Expenditures 15-22'!I47)+'Expenditures 15-22'!D243</f>
        <v>241551</v>
      </c>
      <c r="F22" s="1802"/>
      <c r="G22" s="1805">
        <f>'Expenditures 15-22'!K47-SUM('Expenditures 15-22'!G47,'Expenditures 15-22'!I47)+'Expenditures 15-22'!D243</f>
        <v>241551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233809</v>
      </c>
      <c r="F23" s="1802"/>
      <c r="G23" s="1804">
        <f>'Expenditures 15-22'!K53-SUM('Expenditures 15-22'!G53,'Expenditures 15-22'!I53)+'Expenditures 15-22'!D257+'Expenditures 15-22'!K330-SUM('Expenditures 15-22'!G330,'Expenditures 15-22'!I330)</f>
        <v>233809</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506</v>
      </c>
      <c r="E27" s="1804">
        <f>E8</f>
        <v>0</v>
      </c>
      <c r="F27" s="1804">
        <f>'Expenditures 15-22'!K60-SUM('Expenditures 15-22'!G60,'Expenditures 15-22'!I60)+'Expenditures 15-22'!D264-E8</f>
        <v>506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506</v>
      </c>
      <c r="E41" s="1806">
        <f>SUM(E19:E40)</f>
        <v>499335</v>
      </c>
      <c r="F41" s="1806">
        <f>SUM(F19:F39)</f>
        <v>506</v>
      </c>
      <c r="G41" s="1806">
        <f>SUM(G19:G40)</f>
        <v>499335</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506</v>
      </c>
      <c r="F43" s="1807" t="s">
        <v>473</v>
      </c>
      <c r="G43" s="1808">
        <f>F41</f>
        <v>506</v>
      </c>
    </row>
    <row r="44" spans="1:7" ht="12" customHeight="1" x14ac:dyDescent="0.2">
      <c r="A44" s="987"/>
      <c r="B44" s="162"/>
      <c r="C44" s="1001"/>
      <c r="D44" s="1807" t="s">
        <v>474</v>
      </c>
      <c r="E44" s="1808">
        <f>E41</f>
        <v>499335</v>
      </c>
      <c r="F44" s="1807" t="s">
        <v>474</v>
      </c>
      <c r="G44" s="1808">
        <f>G41</f>
        <v>499335</v>
      </c>
    </row>
    <row r="45" spans="1:7" ht="12" customHeight="1" x14ac:dyDescent="0.2">
      <c r="A45" s="987"/>
      <c r="B45" s="162"/>
      <c r="C45" s="162"/>
      <c r="D45" s="1809" t="s">
        <v>1006</v>
      </c>
      <c r="E45" s="1810">
        <f>(E43/E44)</f>
        <v>1.0133477525108394E-3</v>
      </c>
      <c r="F45" s="1809" t="s">
        <v>1006</v>
      </c>
      <c r="G45" s="1810">
        <f>(G43/G44)</f>
        <v>1.0133477525108394E-3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pane ySplit="4" topLeftCell="A5" activePane="bottomLeft" state="frozen"/>
      <selection activeCell="A47" sqref="A47"/>
      <selection pane="bottomLeft" activeCell="A38" sqref="A38:F3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2" t="s">
        <v>1379</v>
      </c>
      <c r="B1" s="2292"/>
      <c r="C1" s="2292"/>
      <c r="D1" s="2292"/>
      <c r="E1" s="2292"/>
      <c r="F1" s="2292"/>
    </row>
    <row r="2" spans="1:10" x14ac:dyDescent="0.2">
      <c r="A2" s="1887" t="s">
        <v>1909</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293" t="s">
        <v>1546</v>
      </c>
      <c r="B5" s="2294"/>
      <c r="C5" s="2295"/>
      <c r="D5" s="2295"/>
      <c r="E5" s="2295"/>
      <c r="F5" s="2295"/>
    </row>
    <row r="6" spans="1:10" ht="12" customHeight="1" x14ac:dyDescent="0.25">
      <c r="A6" s="1850"/>
      <c r="B6" s="1851"/>
      <c r="C6" s="2296" t="str">
        <f>COVER!A17</f>
        <v>Three Rivers Education for Employment System</v>
      </c>
      <c r="D6" s="2296"/>
      <c r="E6" s="2296"/>
      <c r="F6" s="1852"/>
    </row>
    <row r="7" spans="1:10" ht="11.25" customHeight="1" thickBot="1" x14ac:dyDescent="0.3">
      <c r="A7" s="1850"/>
      <c r="B7" s="1851"/>
      <c r="C7" s="2297" t="str">
        <f>COVER!A13</f>
        <v>59-099-7110-45</v>
      </c>
      <c r="D7" s="2297"/>
      <c r="E7" s="2297"/>
      <c r="F7" s="1852"/>
    </row>
    <row r="8" spans="1:10" ht="25.5" customHeight="1" thickBot="1" x14ac:dyDescent="0.25">
      <c r="A8" s="1893" t="s">
        <v>1905</v>
      </c>
      <c r="B8" s="1853" t="s">
        <v>2071</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3"/>
      <c r="B39" s="1873"/>
      <c r="C39" s="1873"/>
      <c r="D39" s="1873"/>
      <c r="E39" s="1873"/>
      <c r="F39" s="1873"/>
    </row>
    <row r="40" spans="1:11" s="1870" customFormat="1" ht="12" customHeight="1" x14ac:dyDescent="0.25">
      <c r="A40" s="1874" t="s">
        <v>1391</v>
      </c>
      <c r="B40" s="1875"/>
      <c r="C40" s="2306"/>
      <c r="D40" s="2306"/>
      <c r="E40" s="2306"/>
      <c r="F40" s="2307"/>
      <c r="H40" s="1879"/>
      <c r="I40" s="1879"/>
      <c r="J40" s="1879"/>
      <c r="K40" s="1879"/>
    </row>
    <row r="41" spans="1:11" s="1870" customFormat="1" ht="12" customHeight="1" x14ac:dyDescent="0.25">
      <c r="A41" s="2308"/>
      <c r="B41" s="2309"/>
      <c r="C41" s="2309"/>
      <c r="D41" s="2309"/>
      <c r="E41" s="2309"/>
      <c r="F41" s="2310"/>
      <c r="H41" s="1879"/>
      <c r="I41" s="1879"/>
      <c r="J41" s="1879"/>
      <c r="K41" s="1879"/>
    </row>
    <row r="42" spans="1:11" s="1870" customFormat="1" ht="12" customHeight="1" x14ac:dyDescent="0.25">
      <c r="A42" s="2308"/>
      <c r="B42" s="2309"/>
      <c r="C42" s="2309"/>
      <c r="D42" s="2309"/>
      <c r="E42" s="2309"/>
      <c r="F42" s="2310"/>
      <c r="H42" s="1879"/>
      <c r="I42" s="1879"/>
      <c r="J42" s="1879"/>
      <c r="K42" s="1879"/>
    </row>
    <row r="43" spans="1:11" s="1870" customFormat="1" ht="15" x14ac:dyDescent="0.25">
      <c r="A43" s="2300"/>
      <c r="B43" s="2301"/>
      <c r="C43" s="2301"/>
      <c r="D43" s="2301"/>
      <c r="E43" s="2301"/>
      <c r="F43" s="2302"/>
      <c r="H43" s="1879"/>
      <c r="I43" s="1879"/>
      <c r="J43" s="1879"/>
      <c r="K43" s="1879"/>
    </row>
    <row r="44" spans="1:11" s="1870" customFormat="1" ht="12" hidden="1" customHeight="1" x14ac:dyDescent="0.25">
      <c r="A44" s="2300"/>
      <c r="B44" s="2301"/>
      <c r="C44" s="2301"/>
      <c r="D44" s="2301"/>
      <c r="E44" s="2301"/>
      <c r="F44" s="230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15" colorId="8" zoomScale="110" zoomScaleNormal="110" workbookViewId="0">
      <selection activeCell="G32" sqref="G3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Three Rivers Education for Employment System</v>
      </c>
      <c r="J6" s="2317"/>
      <c r="Q6" s="1664"/>
    </row>
    <row r="7" spans="1:17" x14ac:dyDescent="0.2">
      <c r="A7" s="2318" t="s">
        <v>869</v>
      </c>
      <c r="B7" s="2319"/>
      <c r="C7" s="2319"/>
      <c r="D7" s="2319"/>
      <c r="E7" s="2320"/>
      <c r="F7" s="1017"/>
      <c r="G7" s="1009"/>
      <c r="H7" s="1016" t="s">
        <v>372</v>
      </c>
      <c r="I7" s="2321" t="str">
        <f>COVER!A13</f>
        <v>59-099-7110-45</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0</v>
      </c>
      <c r="F12" s="1039"/>
      <c r="G12" s="1811">
        <f t="shared" ref="G12:G18" si="0">SUM(E12:F12)</f>
        <v>0</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0</v>
      </c>
      <c r="F19" s="1813">
        <f t="shared" si="2"/>
        <v>0</v>
      </c>
      <c r="G19" s="1813">
        <f t="shared" si="2"/>
        <v>0</v>
      </c>
      <c r="H19" s="1813">
        <f t="shared" si="2"/>
        <v>0</v>
      </c>
      <c r="I19" s="1813">
        <f t="shared" si="2"/>
        <v>0</v>
      </c>
      <c r="J19" s="1813">
        <f t="shared" si="2"/>
        <v>0</v>
      </c>
    </row>
    <row r="20" spans="1:10" ht="13.5" thickTop="1" x14ac:dyDescent="0.2">
      <c r="A20" s="1035">
        <v>9</v>
      </c>
      <c r="B20" s="2328" t="s">
        <v>1977</v>
      </c>
      <c r="C20" s="2328"/>
      <c r="D20" s="2329"/>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t="s">
        <v>2078</v>
      </c>
      <c r="D28" s="2332"/>
      <c r="E28" s="1054"/>
      <c r="F28" s="2332" t="s">
        <v>2080</v>
      </c>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1979</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7" sqref="B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2090</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Three Rivers Education for Employment System</v>
      </c>
    </row>
    <row r="65" spans="2:2" x14ac:dyDescent="0.2">
      <c r="B65" s="1070" t="str">
        <f>COVER!A13</f>
        <v>59-099-7110-45</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20:F27"/>
  <sheetViews>
    <sheetView showGridLines="0" zoomScale="110" zoomScaleNormal="110" workbookViewId="0">
      <selection activeCell="B17" sqref="B17"/>
    </sheetView>
  </sheetViews>
  <sheetFormatPr defaultRowHeight="12.75" x14ac:dyDescent="0.2"/>
  <cols>
    <col min="1" max="1" width="1.85546875" style="329" customWidth="1"/>
    <col min="2" max="2" width="59.7109375" style="329" customWidth="1"/>
    <col min="3" max="16384" width="9.140625" style="329"/>
  </cols>
  <sheetData>
    <row r="20" spans="1:6" x14ac:dyDescent="0.2">
      <c r="B20" s="1071"/>
      <c r="C20" s="1071"/>
      <c r="D20" s="1071"/>
      <c r="E20" s="1071"/>
      <c r="F20" s="1071"/>
    </row>
    <row r="22" spans="1:6" x14ac:dyDescent="0.2">
      <c r="A22" s="1072" t="s">
        <v>1493</v>
      </c>
    </row>
    <row r="24" spans="1:6" x14ac:dyDescent="0.2">
      <c r="A24" s="389" t="s">
        <v>857</v>
      </c>
    </row>
    <row r="25" spans="1:6" s="1071" customFormat="1" ht="45" customHeight="1" x14ac:dyDescent="0.2">
      <c r="A25" s="1073"/>
      <c r="B25" s="1073" t="s">
        <v>1684</v>
      </c>
    </row>
    <row r="26" spans="1:6" ht="6" customHeight="1" x14ac:dyDescent="0.2"/>
    <row r="27" spans="1:6" ht="24.75" customHeight="1" x14ac:dyDescent="0.2">
      <c r="A27" s="2335" t="s">
        <v>1685</v>
      </c>
      <c r="B27" s="2335"/>
    </row>
  </sheetData>
  <sheetProtection selectLockedCells="1"/>
  <mergeCells count="1">
    <mergeCell ref="A27:B27"/>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50177" r:id="rId4"/>
      </mc:Fallback>
    </mc:AlternateContent>
    <mc:AlternateContent xmlns:mc="http://schemas.openxmlformats.org/markup-compatibility/2006">
      <mc:Choice Requires="x14">
        <oleObject progId="AcroExch.Document.DC" dvAspect="DVASPECT_ICON" shapeId="50178" r:id="rId6">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Exch.Document.DC" dvAspect="DVASPECT_ICON" shapeId="50178" r:id="rId6"/>
      </mc:Fallback>
    </mc:AlternateContent>
    <mc:AlternateContent xmlns:mc="http://schemas.openxmlformats.org/markup-compatibility/2006">
      <mc:Choice Requires="x14">
        <oleObject progId="AcroExch.Document.DC" dvAspect="DVASPECT_ICON" shapeId="50179" r:id="rId7">
          <objectPr defaultSize="0" r:id="rId5">
            <anchor moveWithCells="1">
              <from>
                <xdr:col>1</xdr:col>
                <xdr:colOff>0</xdr:colOff>
                <xdr:row>11</xdr:row>
                <xdr:rowOff>0</xdr:rowOff>
              </from>
              <to>
                <xdr:col>1</xdr:col>
                <xdr:colOff>914400</xdr:colOff>
                <xdr:row>15</xdr:row>
                <xdr:rowOff>38100</xdr:rowOff>
              </to>
            </anchor>
          </objectPr>
        </oleObject>
      </mc:Choice>
      <mc:Fallback>
        <oleObject progId="AcroExch.Document.DC" dvAspect="DVASPECT_ICON" shapeId="50179" r:id="rId7"/>
      </mc:Fallback>
    </mc:AlternateContent>
    <mc:AlternateContent xmlns:mc="http://schemas.openxmlformats.org/markup-compatibility/2006">
      <mc:Choice Requires="x14">
        <oleObject progId="AcroExch.Document.DC" dvAspect="DVASPECT_ICON" shapeId="50181" r:id="rId8">
          <objectPr defaultSize="0" r:id="rId5">
            <anchor moveWithCells="1">
              <from>
                <xdr:col>1</xdr:col>
                <xdr:colOff>0</xdr:colOff>
                <xdr:row>16</xdr:row>
                <xdr:rowOff>0</xdr:rowOff>
              </from>
              <to>
                <xdr:col>1</xdr:col>
                <xdr:colOff>914400</xdr:colOff>
                <xdr:row>20</xdr:row>
                <xdr:rowOff>38100</xdr:rowOff>
              </to>
            </anchor>
          </objectPr>
        </oleObject>
      </mc:Choice>
      <mc:Fallback>
        <oleObject progId="AcroExch.Document.DC" dvAspect="DVASPECT_ICON" shapeId="5018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6" zoomScale="110" zoomScaleNormal="110" workbookViewId="0">
      <selection activeCell="A6" sqref="A6:F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1983</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1984</v>
      </c>
      <c r="B4" s="2356"/>
      <c r="C4" s="2356"/>
      <c r="D4" s="2356"/>
      <c r="E4" s="2356"/>
      <c r="F4" s="2357"/>
      <c r="G4" s="1074"/>
      <c r="H4" s="1074"/>
    </row>
    <row r="5" spans="1:8" ht="14.25" customHeight="1" x14ac:dyDescent="0.2">
      <c r="A5" s="2358" t="s">
        <v>1980</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3258019</v>
      </c>
      <c r="C8" s="1815">
        <f>'Acct Summary 7-8'!D8</f>
        <v>0</v>
      </c>
      <c r="D8" s="1815">
        <f>'Acct Summary 7-8'!F8</f>
        <v>0</v>
      </c>
      <c r="E8" s="1815">
        <f>'Acct Summary 7-8'!I8</f>
        <v>0</v>
      </c>
      <c r="F8" s="1815">
        <f>SUM(B8:E8)</f>
        <v>3258019</v>
      </c>
    </row>
    <row r="9" spans="1:8" s="1079" customFormat="1" ht="14.25" customHeight="1" thickBot="1" x14ac:dyDescent="0.25">
      <c r="A9" s="1078" t="s">
        <v>1369</v>
      </c>
      <c r="B9" s="1816">
        <f>'Acct Summary 7-8'!C17</f>
        <v>3140179</v>
      </c>
      <c r="C9" s="1816">
        <f>'Acct Summary 7-8'!D17</f>
        <v>0</v>
      </c>
      <c r="D9" s="1816">
        <f>'Acct Summary 7-8'!F17</f>
        <v>0</v>
      </c>
      <c r="E9" s="1815"/>
      <c r="F9" s="1815">
        <f>SUM(B9:E9)</f>
        <v>3140179</v>
      </c>
    </row>
    <row r="10" spans="1:8" s="1079" customFormat="1" ht="14.25" thickTop="1" thickBot="1" x14ac:dyDescent="0.25">
      <c r="A10" s="1080" t="s">
        <v>1370</v>
      </c>
      <c r="B10" s="1817">
        <f>(B8-B9)</f>
        <v>117840</v>
      </c>
      <c r="C10" s="1817">
        <f>(C8-C9)</f>
        <v>0</v>
      </c>
      <c r="D10" s="1817">
        <f>(D8-D9)</f>
        <v>0</v>
      </c>
      <c r="E10" s="1816">
        <f>(E8-E9)</f>
        <v>0</v>
      </c>
      <c r="F10" s="1818">
        <f>SUM(F8-F9)</f>
        <v>117840</v>
      </c>
    </row>
    <row r="11" spans="1:8" s="1079" customFormat="1" ht="14.25" thickTop="1" thickBot="1" x14ac:dyDescent="0.25">
      <c r="A11" s="1081" t="s">
        <v>1981</v>
      </c>
      <c r="B11" s="1819">
        <f>'Acct Summary 7-8'!C81</f>
        <v>324626</v>
      </c>
      <c r="C11" s="1819">
        <f>'Acct Summary 7-8'!D81</f>
        <v>0</v>
      </c>
      <c r="D11" s="1819">
        <f>'Acct Summary 7-8'!F81</f>
        <v>0</v>
      </c>
      <c r="E11" s="1819">
        <f>'Acct Summary 7-8'!I81</f>
        <v>0</v>
      </c>
      <c r="F11" s="1820">
        <f>SUM(B11:E11)</f>
        <v>324626</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90" sqref="D9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59-099-7110-45</v>
      </c>
    </row>
    <row r="3" spans="1:2" x14ac:dyDescent="0.2">
      <c r="A3" t="s">
        <v>956</v>
      </c>
      <c r="B3" s="138" t="str">
        <f>COVER!A15</f>
        <v>Will</v>
      </c>
    </row>
    <row r="4" spans="1:2" x14ac:dyDescent="0.2">
      <c r="A4" t="s">
        <v>1007</v>
      </c>
      <c r="B4" s="138" t="str">
        <f>COVER!A17</f>
        <v>Three Rivers Education for Employment System</v>
      </c>
    </row>
    <row r="5" spans="1:2" x14ac:dyDescent="0.2">
      <c r="A5" t="s">
        <v>704</v>
      </c>
      <c r="B5" s="138" t="str">
        <f>COVER!A38</f>
        <v>Brian Gordon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066-005100</v>
      </c>
    </row>
    <row r="16" spans="1:2" x14ac:dyDescent="0.2">
      <c r="A16" t="s">
        <v>422</v>
      </c>
      <c r="B16" s="138" t="str">
        <f>COVER!T13</f>
        <v>Mack &amp; Associates, P.C.</v>
      </c>
    </row>
    <row r="17" spans="1:2" x14ac:dyDescent="0.2">
      <c r="A17" t="s">
        <v>884</v>
      </c>
      <c r="B17" s="138" t="str">
        <f>COVER!T15</f>
        <v>Tawnya Mack, CPA</v>
      </c>
    </row>
    <row r="18" spans="1:2" x14ac:dyDescent="0.2">
      <c r="A18" t="s">
        <v>1150</v>
      </c>
      <c r="B18" s="138" t="str">
        <f>COVER!T17</f>
        <v>116 E. Washington St., Suite One</v>
      </c>
    </row>
    <row r="19" spans="1:2" x14ac:dyDescent="0.2">
      <c r="A19" t="s">
        <v>886</v>
      </c>
      <c r="B19" s="138" t="str">
        <f>COVER!T25</f>
        <v>tmack@mackcpas.com</v>
      </c>
    </row>
    <row r="20" spans="1:2" x14ac:dyDescent="0.2">
      <c r="A20" t="s">
        <v>887</v>
      </c>
      <c r="B20" s="138" t="str">
        <f>COVER!T19</f>
        <v>Morris</v>
      </c>
    </row>
    <row r="21" spans="1:2" x14ac:dyDescent="0.2">
      <c r="A21" t="s">
        <v>479</v>
      </c>
      <c r="B21" s="138" t="str">
        <f>COVER!X19</f>
        <v>IL</v>
      </c>
    </row>
    <row r="22" spans="1:2" x14ac:dyDescent="0.2">
      <c r="A22" t="s">
        <v>888</v>
      </c>
      <c r="B22" s="138">
        <f>COVER!Z19</f>
        <v>60450</v>
      </c>
    </row>
    <row r="23" spans="1:2" x14ac:dyDescent="0.2">
      <c r="A23" t="s">
        <v>1152</v>
      </c>
      <c r="B23" s="138" t="str">
        <f>COVER!T21</f>
        <v>815-942-3306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324626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324626</v>
      </c>
      <c r="D92" s="2" t="str">
        <f t="shared" si="0"/>
        <v>Error?</v>
      </c>
    </row>
    <row r="93" spans="1:4" x14ac:dyDescent="0.2">
      <c r="A93" s="5">
        <v>32</v>
      </c>
      <c r="B93" s="138">
        <f>'Assets-Liab 5-6'!C41</f>
        <v>324626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146905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146905</v>
      </c>
      <c r="C731" s="2" t="s">
        <v>573</v>
      </c>
      <c r="D731" s="2" t="str">
        <f t="shared" si="10"/>
        <v>Error?</v>
      </c>
    </row>
    <row r="732" spans="1:4" x14ac:dyDescent="0.2">
      <c r="A732" s="5">
        <v>671</v>
      </c>
      <c r="B732" s="138">
        <f>'Expenditures 15-22'!C49</f>
        <v>142169</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142169</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289074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289074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28591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28591</v>
      </c>
      <c r="C789" s="2" t="s">
        <v>573</v>
      </c>
      <c r="D789" s="2" t="str">
        <f t="shared" si="11"/>
        <v>Error?</v>
      </c>
    </row>
    <row r="790" spans="1:4" x14ac:dyDescent="0.2">
      <c r="A790" s="5">
        <v>729</v>
      </c>
      <c r="B790" s="138">
        <f>'Expenditures 15-22'!D49</f>
        <v>64845</v>
      </c>
      <c r="D790" s="2" t="str">
        <f t="shared" si="11"/>
        <v>Error?</v>
      </c>
    </row>
    <row r="791" spans="1:4" x14ac:dyDescent="0.2">
      <c r="A791" s="5">
        <v>730</v>
      </c>
      <c r="B791" s="138">
        <f>'Expenditures 15-22'!D50</f>
        <v>0</v>
      </c>
      <c r="D791" s="2" t="str">
        <f t="shared" si="11"/>
        <v>Error?</v>
      </c>
    </row>
    <row r="792" spans="1:4" x14ac:dyDescent="0.2">
      <c r="A792" s="5">
        <v>731</v>
      </c>
      <c r="B792" s="138">
        <f>'Expenditures 15-22'!D53</f>
        <v>64845</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93436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93436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3708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62834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62834</v>
      </c>
      <c r="C847" s="2" t="s">
        <v>573</v>
      </c>
      <c r="D847" s="2" t="str">
        <f t="shared" si="12"/>
        <v>Error?</v>
      </c>
    </row>
    <row r="848" spans="1:4" x14ac:dyDescent="0.2">
      <c r="A848" s="5">
        <v>787</v>
      </c>
      <c r="B848" s="138">
        <f>'Expenditures 15-22'!E49</f>
        <v>23996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23996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506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506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87336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91044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20267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20267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3221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3221</v>
      </c>
      <c r="C905" s="2" t="s">
        <v>573</v>
      </c>
      <c r="D905" s="2" t="str">
        <f t="shared" si="13"/>
        <v>Error?</v>
      </c>
    </row>
    <row r="906" spans="1:4" x14ac:dyDescent="0.2">
      <c r="A906" s="5">
        <v>845</v>
      </c>
      <c r="B906" s="138">
        <f>'Expenditures 15-22'!F49</f>
        <v>1827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1827</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5048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25315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115029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115029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2227</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2227</v>
      </c>
      <c r="C963" s="2" t="s">
        <v>573</v>
      </c>
      <c r="D963" s="2" t="str">
        <f t="shared" si="14"/>
        <v>Error?</v>
      </c>
    </row>
    <row r="964" spans="1:4" x14ac:dyDescent="0.2">
      <c r="A964" s="5">
        <v>903</v>
      </c>
      <c r="B964" s="138">
        <f>'Expenditures 15-22'!G49</f>
        <v>80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80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2307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117336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972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972</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972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2523002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2523974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139004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139004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243778</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243778</v>
      </c>
      <c r="C1119" s="2" t="s">
        <v>573</v>
      </c>
      <c r="D1119" s="2" t="str">
        <f t="shared" si="16"/>
        <v>Error?</v>
      </c>
    </row>
    <row r="1120" spans="1:4" x14ac:dyDescent="0.2">
      <c r="A1120" s="5">
        <v>1059</v>
      </c>
      <c r="B1120" s="138">
        <f>'Expenditures 15-22'!K49</f>
        <v>233889</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233889</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506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506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478173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2523002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3140179</v>
      </c>
      <c r="C1152" s="2" t="s">
        <v>573</v>
      </c>
      <c r="D1152" s="2" t="str">
        <f t="shared" si="17"/>
        <v>Error?</v>
      </c>
    </row>
    <row r="1153" spans="1:4" x14ac:dyDescent="0.2">
      <c r="A1153" s="5">
        <v>1092</v>
      </c>
      <c r="B1153" s="138">
        <f>'Expenditures 15-22'!K115</f>
        <v>117840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206786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324626</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38481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38481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38481</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38481</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38026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38026</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455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455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38481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38481</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2523002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2523002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89428</v>
      </c>
      <c r="C2551" s="2" t="s">
        <v>573</v>
      </c>
      <c r="D2551" s="2" t="str">
        <f t="shared" si="38"/>
        <v>Error?</v>
      </c>
    </row>
    <row r="2552" spans="1:4" x14ac:dyDescent="0.2">
      <c r="A2552" s="10">
        <v>2491</v>
      </c>
      <c r="D2552" s="2" t="str">
        <f t="shared" si="38"/>
        <v>OK</v>
      </c>
    </row>
    <row r="2553" spans="1:4" x14ac:dyDescent="0.2">
      <c r="A2553" s="5">
        <v>2492</v>
      </c>
      <c r="B2553" s="138">
        <f>'Acct Summary 7-8'!C6</f>
        <v>2180895</v>
      </c>
      <c r="C2553" s="2" t="s">
        <v>573</v>
      </c>
      <c r="D2553" s="2" t="str">
        <f t="shared" si="38"/>
        <v>Error?</v>
      </c>
    </row>
    <row r="2554" spans="1:4" x14ac:dyDescent="0.2">
      <c r="A2554" s="5">
        <v>2493</v>
      </c>
      <c r="B2554" s="138">
        <f>'Acct Summary 7-8'!C7</f>
        <v>987696</v>
      </c>
      <c r="C2554" s="2" t="s">
        <v>573</v>
      </c>
      <c r="D2554" s="2" t="str">
        <f t="shared" si="38"/>
        <v>Error?</v>
      </c>
    </row>
    <row r="2555" spans="1:4" x14ac:dyDescent="0.2">
      <c r="A2555" s="5">
        <v>2494</v>
      </c>
      <c r="B2555" s="138">
        <f>'Acct Summary 7-8'!C8</f>
        <v>3258019</v>
      </c>
      <c r="C2555" s="2" t="s">
        <v>573</v>
      </c>
      <c r="D2555" s="2" t="str">
        <f t="shared" si="38"/>
        <v>Error?</v>
      </c>
    </row>
    <row r="2556" spans="1:4" x14ac:dyDescent="0.2">
      <c r="A2556" s="5">
        <v>2495</v>
      </c>
      <c r="B2556" s="138">
        <f>'Acct Summary 7-8'!C12</f>
        <v>139004</v>
      </c>
      <c r="C2556" s="2" t="s">
        <v>573</v>
      </c>
      <c r="D2556" s="2" t="str">
        <f t="shared" si="38"/>
        <v>Error?</v>
      </c>
    </row>
    <row r="2557" spans="1:4" x14ac:dyDescent="0.2">
      <c r="A2557" s="5">
        <v>2496</v>
      </c>
      <c r="B2557" s="138">
        <f>'Acct Summary 7-8'!C13</f>
        <v>478173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2523002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3140179</v>
      </c>
      <c r="C2561" s="2" t="s">
        <v>573</v>
      </c>
      <c r="D2561" s="2" t="str">
        <f t="shared" si="39"/>
        <v>Error?</v>
      </c>
    </row>
    <row r="2562" spans="1:4" x14ac:dyDescent="0.2">
      <c r="A2562" s="5">
        <v>2501</v>
      </c>
      <c r="B2562" s="138">
        <f>'Acct Summary 7-8'!C20</f>
        <v>117840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2523002</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2523002</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117840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324626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14672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3272691</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14672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3154851</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324626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2200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2200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3431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83797</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87228</v>
      </c>
      <c r="C5120" s="2" t="s">
        <v>573</v>
      </c>
      <c r="D5120" s="2" t="str">
        <f t="shared" si="79"/>
        <v>Error?</v>
      </c>
    </row>
    <row r="5121" spans="1:4" x14ac:dyDescent="0.2">
      <c r="A5121" s="5">
        <v>5060</v>
      </c>
      <c r="B5121" s="138">
        <f>'Revenues 9-14'!C109</f>
        <v>89428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2180895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2180895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2180895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2180895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987696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987696</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987696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987696</v>
      </c>
      <c r="C5326" s="2" t="s">
        <v>573</v>
      </c>
      <c r="D5326" s="2" t="str">
        <f t="shared" si="82"/>
        <v>Error?</v>
      </c>
    </row>
    <row r="5327" spans="1:5" x14ac:dyDescent="0.2">
      <c r="A5327" s="5">
        <v>5266</v>
      </c>
      <c r="B5327" s="138">
        <f>'Revenues 9-14'!C268</f>
        <v>3258019</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117840</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0.36300234731660436</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24721</v>
      </c>
      <c r="D7797" s="2" t="str">
        <f t="shared" si="127"/>
        <v>Error?</v>
      </c>
      <c r="E7797" s="4" t="s">
        <v>1901</v>
      </c>
    </row>
    <row r="7798" spans="1:5" x14ac:dyDescent="0.2">
      <c r="A7798">
        <v>7737</v>
      </c>
      <c r="B7798" s="138">
        <f>'Contracts Paid in CY 29'!F141</f>
        <v>24721</v>
      </c>
      <c r="D7798" s="2" t="str">
        <f t="shared" si="127"/>
        <v>Error?</v>
      </c>
      <c r="E7798" s="4" t="s">
        <v>1901</v>
      </c>
    </row>
    <row r="7799" spans="1:5" x14ac:dyDescent="0.2">
      <c r="A7799">
        <v>7738</v>
      </c>
      <c r="B7799" s="138">
        <f>'Contracts Paid in CY 29'!G141</f>
        <v>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25" zoomScale="110" zoomScaleNormal="110" workbookViewId="0">
      <selection activeCell="L50" sqref="L50"/>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1985</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Three Rivers Education for Employment System</v>
      </c>
      <c r="B7" s="2403"/>
      <c r="C7" s="2403"/>
      <c r="D7" s="2404"/>
      <c r="E7" s="2405" t="str">
        <f>COVER!A13</f>
        <v>59-099-7110-45</v>
      </c>
      <c r="F7" s="2406"/>
      <c r="G7" s="2412" t="str">
        <f>COVER!T23</f>
        <v>066-005100</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Mack &amp; Associates, P.C.</v>
      </c>
      <c r="H9" s="2418"/>
      <c r="I9" s="2418"/>
      <c r="J9" s="2418"/>
      <c r="K9" s="2418"/>
      <c r="L9" s="2419"/>
    </row>
    <row r="10" spans="1:29" ht="13.5" customHeight="1" x14ac:dyDescent="0.2">
      <c r="A10" s="2392" t="str">
        <f>COVER!A38</f>
        <v>Brian Gordon</v>
      </c>
      <c r="B10" s="2393"/>
      <c r="C10" s="2393"/>
      <c r="D10" s="2393"/>
      <c r="E10" s="2393"/>
      <c r="F10" s="2394"/>
      <c r="G10" s="2386" t="str">
        <f>COVER!T17</f>
        <v>116 E. Washington St., Suite One</v>
      </c>
      <c r="H10" s="2387"/>
      <c r="I10" s="2387"/>
      <c r="J10" s="2387"/>
      <c r="K10" s="2387"/>
      <c r="L10" s="2388"/>
    </row>
    <row r="11" spans="1:29" ht="13.5" customHeight="1" x14ac:dyDescent="0.2">
      <c r="A11" s="1184" t="s">
        <v>1519</v>
      </c>
      <c r="B11" s="1185"/>
      <c r="C11" s="1186"/>
      <c r="D11" s="1191"/>
      <c r="E11" s="1186"/>
      <c r="F11" s="1190"/>
      <c r="G11" s="2386" t="str">
        <f>COVER!T19</f>
        <v>Morris</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tmack@mackcpas.com</v>
      </c>
      <c r="J13" s="2399"/>
      <c r="K13" s="2399"/>
      <c r="L13" s="2400"/>
    </row>
    <row r="14" spans="1:29" ht="13.5" customHeight="1" x14ac:dyDescent="0.2">
      <c r="A14" s="2386" t="str">
        <f>COVER!A19</f>
        <v>1215 Houbolt Road, H1019</v>
      </c>
      <c r="B14" s="2387"/>
      <c r="C14" s="2387"/>
      <c r="D14" s="2387"/>
      <c r="E14" s="2387"/>
      <c r="F14" s="2388"/>
      <c r="G14" s="1195" t="s">
        <v>1185</v>
      </c>
      <c r="H14" s="1193"/>
      <c r="I14" s="1193"/>
      <c r="J14" s="1193"/>
      <c r="K14" s="1193"/>
      <c r="L14" s="1194"/>
    </row>
    <row r="15" spans="1:29" ht="13.5" customHeight="1" x14ac:dyDescent="0.2">
      <c r="A15" s="2386" t="str">
        <f>COVER!A21</f>
        <v>Joliet</v>
      </c>
      <c r="B15" s="2387"/>
      <c r="C15" s="2387"/>
      <c r="D15" s="2387"/>
      <c r="E15" s="2387"/>
      <c r="F15" s="2388"/>
      <c r="G15" s="2383" t="str">
        <f>COVER!T15</f>
        <v>Tawnya Mack, CPA</v>
      </c>
      <c r="H15" s="2384"/>
      <c r="I15" s="2384"/>
      <c r="J15" s="2384"/>
      <c r="K15" s="2384"/>
      <c r="L15" s="2385"/>
    </row>
    <row r="16" spans="1:29" ht="12.2" customHeight="1" x14ac:dyDescent="0.2">
      <c r="A16" s="2408">
        <f>COVER!A25</f>
        <v>60431</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815-942-3306</v>
      </c>
      <c r="H18" s="2403"/>
      <c r="I18" s="2403"/>
      <c r="J18" s="2403"/>
      <c r="K18" s="2402" t="str">
        <f>COVER!X21</f>
        <v>815-942-9430</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2071</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2071</v>
      </c>
      <c r="C26" s="1202" t="s">
        <v>1699</v>
      </c>
    </row>
    <row r="27" spans="1:13" s="1198" customFormat="1" ht="9" customHeight="1" x14ac:dyDescent="0.2">
      <c r="B27" s="1203"/>
      <c r="C27" s="1202"/>
    </row>
    <row r="28" spans="1:13" s="1198" customFormat="1" ht="12.2" customHeight="1" x14ac:dyDescent="0.2">
      <c r="A28" s="1205"/>
      <c r="B28" s="1201" t="s">
        <v>2071</v>
      </c>
      <c r="C28" s="1202" t="s">
        <v>1700</v>
      </c>
    </row>
    <row r="29" spans="1:13" s="1198" customFormat="1" ht="9" customHeight="1" x14ac:dyDescent="0.2">
      <c r="A29" s="1205"/>
      <c r="B29" s="1203"/>
      <c r="C29" s="1202"/>
    </row>
    <row r="30" spans="1:13" s="1198" customFormat="1" ht="12.2" customHeight="1" x14ac:dyDescent="0.2">
      <c r="B30" s="1201" t="s">
        <v>2071</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2071</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2071</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2071</v>
      </c>
      <c r="C38" s="1202" t="s">
        <v>1566</v>
      </c>
    </row>
    <row r="39" spans="1:8" ht="9" customHeight="1" x14ac:dyDescent="0.2">
      <c r="B39" s="1203"/>
      <c r="C39" s="1206"/>
    </row>
    <row r="40" spans="1:8" s="1198" customFormat="1" ht="13.5" customHeight="1" x14ac:dyDescent="0.2">
      <c r="B40" s="1201" t="s">
        <v>2071</v>
      </c>
      <c r="C40" s="1202" t="s">
        <v>1567</v>
      </c>
    </row>
    <row r="41" spans="1:8" ht="9" customHeight="1" x14ac:dyDescent="0.2">
      <c r="A41" s="1207"/>
      <c r="B41" s="1203"/>
      <c r="C41" s="1206"/>
    </row>
    <row r="42" spans="1:8" s="1198" customFormat="1" ht="13.5" customHeight="1" x14ac:dyDescent="0.2">
      <c r="B42" s="1201" t="s">
        <v>2071</v>
      </c>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t="s">
        <v>2071</v>
      </c>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119" zoomScale="125" zoomScaleNormal="125" workbookViewId="0">
      <selection activeCell="B123" sqref="B12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Three Rivers Education for Employment System</v>
      </c>
      <c r="B1" s="2401"/>
      <c r="C1" s="2401"/>
      <c r="D1" s="2401"/>
    </row>
    <row r="2" spans="1:11" s="1212" customFormat="1" ht="12.75" x14ac:dyDescent="0.2">
      <c r="A2" s="2425" t="str">
        <f>'Single Audit Cover'!E7</f>
        <v>59-099-7110-45</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58" sqref="D58"/>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Three Rivers Education for Employment System</v>
      </c>
      <c r="B1" s="2428"/>
      <c r="C1" s="2428"/>
      <c r="D1" s="2428"/>
      <c r="E1" s="2428"/>
    </row>
    <row r="2" spans="1:5" x14ac:dyDescent="0.2">
      <c r="A2" s="2429" t="str">
        <f>'Single Audit Cover'!E7</f>
        <v>59-099-7110-45</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987696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1841</v>
      </c>
      <c r="B16" s="1259"/>
      <c r="C16" s="1259"/>
    </row>
    <row r="17" spans="1:4" x14ac:dyDescent="0.2">
      <c r="A17" s="1258" t="s">
        <v>2057</v>
      </c>
      <c r="B17" s="1259" t="s">
        <v>1236</v>
      </c>
      <c r="C17" s="1259"/>
      <c r="D17" s="1261">
        <f>-SUM('Revenues 9-14'!C264:D264,'Revenues 9-14'!F264:G264)</f>
        <v>0</v>
      </c>
    </row>
    <row r="19" spans="1:4" ht="13.5" thickBot="1" x14ac:dyDescent="0.25">
      <c r="A19" s="1262" t="s">
        <v>1235</v>
      </c>
      <c r="D19" s="1263">
        <f>SUM(D10:D17)</f>
        <v>987696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987696</v>
      </c>
    </row>
    <row r="33" spans="1:4" x14ac:dyDescent="0.2">
      <c r="D33" s="1266"/>
    </row>
    <row r="34" spans="1:4" x14ac:dyDescent="0.2">
      <c r="A34" s="317" t="s">
        <v>1232</v>
      </c>
    </row>
    <row r="35" spans="1:4" x14ac:dyDescent="0.2">
      <c r="A35" s="317" t="s">
        <v>1231</v>
      </c>
      <c r="B35" s="1255" t="s">
        <v>1230</v>
      </c>
      <c r="D35" s="1267">
        <v>987696</v>
      </c>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987696</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zoomScaleNormal="100" workbookViewId="0">
      <selection activeCell="D14" sqref="D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Three Rivers Education for Employment System</v>
      </c>
      <c r="C1" s="2432"/>
      <c r="D1" s="2432"/>
      <c r="E1" s="2432"/>
      <c r="F1" s="2432"/>
      <c r="G1" s="2432"/>
      <c r="H1" s="2432"/>
      <c r="I1" s="2432"/>
      <c r="J1" s="2432"/>
      <c r="K1" s="2432"/>
      <c r="L1" s="2432"/>
      <c r="M1" s="2432"/>
    </row>
    <row r="2" spans="2:14" ht="15" x14ac:dyDescent="0.2">
      <c r="B2" s="2433" t="str">
        <f>'Single Audit Cover'!E7</f>
        <v>59-099-7110-45</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2091</v>
      </c>
      <c r="C11" s="1335"/>
      <c r="D11" s="1336"/>
      <c r="E11" s="1337"/>
      <c r="F11" s="1337"/>
      <c r="G11" s="1337"/>
      <c r="H11" s="1337"/>
      <c r="I11" s="1337"/>
      <c r="J11" s="1337"/>
      <c r="K11" s="1337"/>
      <c r="L11" s="1337">
        <f>+G11+I11+K11</f>
        <v>0</v>
      </c>
      <c r="M11" s="1337"/>
    </row>
    <row r="12" spans="2:14" ht="20.100000000000001" customHeight="1" x14ac:dyDescent="0.2">
      <c r="B12" s="1334" t="s">
        <v>2092</v>
      </c>
      <c r="C12" s="1338"/>
      <c r="D12" s="1339"/>
      <c r="E12" s="1340"/>
      <c r="F12" s="1340"/>
      <c r="G12" s="1340"/>
      <c r="H12" s="1340"/>
      <c r="I12" s="1340"/>
      <c r="J12" s="1340"/>
      <c r="K12" s="1340"/>
      <c r="L12" s="1337">
        <f t="shared" ref="L12:L27" si="0">+G12+I12+K12</f>
        <v>0</v>
      </c>
      <c r="M12" s="1340"/>
    </row>
    <row r="13" spans="2:14" ht="20.100000000000001" customHeight="1" x14ac:dyDescent="0.2">
      <c r="B13" s="1334" t="s">
        <v>2093</v>
      </c>
      <c r="C13" s="1338" t="s">
        <v>2095</v>
      </c>
      <c r="D13" s="1339" t="s">
        <v>2096</v>
      </c>
      <c r="E13" s="1340"/>
      <c r="F13" s="1340">
        <v>914956</v>
      </c>
      <c r="G13" s="1340"/>
      <c r="H13" s="1340"/>
      <c r="I13" s="1340">
        <v>914956</v>
      </c>
      <c r="J13" s="1340">
        <v>786862</v>
      </c>
      <c r="K13" s="1340"/>
      <c r="L13" s="1337">
        <f t="shared" si="0"/>
        <v>914956</v>
      </c>
      <c r="M13" s="1340">
        <v>914956</v>
      </c>
    </row>
    <row r="14" spans="2:14" ht="20.100000000000001" customHeight="1" x14ac:dyDescent="0.2">
      <c r="B14" s="1334" t="s">
        <v>2094</v>
      </c>
      <c r="C14" s="1338" t="s">
        <v>2095</v>
      </c>
      <c r="D14" s="1339" t="s">
        <v>2109</v>
      </c>
      <c r="E14" s="1340">
        <v>898286</v>
      </c>
      <c r="F14" s="1340">
        <v>72740</v>
      </c>
      <c r="G14" s="1340">
        <v>859292</v>
      </c>
      <c r="H14" s="1340">
        <v>725206</v>
      </c>
      <c r="I14" s="1340">
        <v>109876</v>
      </c>
      <c r="J14" s="1340">
        <v>72740</v>
      </c>
      <c r="K14" s="1340"/>
      <c r="L14" s="1337">
        <f t="shared" si="0"/>
        <v>969168</v>
      </c>
      <c r="M14" s="1340">
        <v>971026</v>
      </c>
    </row>
    <row r="15" spans="2:14" ht="20.100000000000001" customHeight="1" x14ac:dyDescent="0.2">
      <c r="B15" s="1334" t="s">
        <v>156</v>
      </c>
      <c r="C15" s="1338"/>
      <c r="D15" s="1339"/>
      <c r="E15" s="1340">
        <f t="shared" ref="E15:J15" si="1">SUM(E13:E14)</f>
        <v>898286</v>
      </c>
      <c r="F15" s="1340">
        <f t="shared" si="1"/>
        <v>987696</v>
      </c>
      <c r="G15" s="1340">
        <f t="shared" si="1"/>
        <v>859292</v>
      </c>
      <c r="H15" s="1340">
        <f t="shared" si="1"/>
        <v>725206</v>
      </c>
      <c r="I15" s="1340">
        <f t="shared" si="1"/>
        <v>1024832</v>
      </c>
      <c r="J15" s="1340">
        <f t="shared" si="1"/>
        <v>859602</v>
      </c>
      <c r="K15" s="1340"/>
      <c r="L15" s="1337">
        <f t="shared" si="0"/>
        <v>1884124</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43" zoomScale="120" zoomScaleNormal="120" workbookViewId="0">
      <selection activeCell="D56" sqref="D5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Three Rivers Education for Employment System</v>
      </c>
      <c r="B1" s="2445"/>
      <c r="C1" s="2445"/>
      <c r="D1" s="2445"/>
      <c r="E1" s="2445"/>
      <c r="F1" s="2445"/>
    </row>
    <row r="2" spans="1:7" ht="13.5" customHeight="1" x14ac:dyDescent="0.2">
      <c r="A2" s="2433" t="str">
        <f>'Single Audit Cover'!E7</f>
        <v>59-099-7110-45</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2105</v>
      </c>
      <c r="B7" s="2444"/>
      <c r="C7" s="2444"/>
      <c r="D7" s="2444"/>
      <c r="E7" s="2444"/>
      <c r="F7" s="244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2071</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4" t="s">
        <v>1730</v>
      </c>
      <c r="B13" s="2444"/>
      <c r="C13" s="2444"/>
      <c r="D13" s="2444"/>
      <c r="E13" s="2444"/>
      <c r="F13" s="2444"/>
    </row>
    <row r="14" spans="1:7" ht="9.75" customHeight="1" x14ac:dyDescent="0.2">
      <c r="C14" s="1257"/>
      <c r="D14" s="1257"/>
    </row>
    <row r="15" spans="1:7" ht="13.5" customHeight="1" x14ac:dyDescent="0.2">
      <c r="C15" s="1846" t="s">
        <v>1270</v>
      </c>
      <c r="D15" s="2442" t="s">
        <v>1269</v>
      </c>
      <c r="E15" s="2442"/>
      <c r="F15" s="2442"/>
    </row>
    <row r="16" spans="1:7" ht="13.5" customHeight="1" x14ac:dyDescent="0.2">
      <c r="A16" s="1279"/>
      <c r="B16" s="1273" t="s">
        <v>1268</v>
      </c>
      <c r="C16" s="1846" t="s">
        <v>1267</v>
      </c>
      <c r="D16" s="2443" t="s">
        <v>1588</v>
      </c>
      <c r="E16" s="2443"/>
      <c r="F16" s="2443"/>
    </row>
    <row r="17" spans="1:6" ht="20.45" customHeight="1" x14ac:dyDescent="0.2">
      <c r="A17" s="1280"/>
      <c r="B17" s="1281" t="s">
        <v>2097</v>
      </c>
      <c r="C17" s="1282" t="s">
        <v>2095</v>
      </c>
      <c r="D17" s="2437">
        <v>79203</v>
      </c>
      <c r="E17" s="2437"/>
      <c r="F17" s="2437"/>
    </row>
    <row r="18" spans="1:6" ht="20.65" customHeight="1" x14ac:dyDescent="0.2">
      <c r="A18" s="1280"/>
      <c r="B18" s="1281" t="s">
        <v>2098</v>
      </c>
      <c r="C18" s="1282" t="s">
        <v>2095</v>
      </c>
      <c r="D18" s="2437">
        <v>218070</v>
      </c>
      <c r="E18" s="2437"/>
      <c r="F18" s="2437"/>
    </row>
    <row r="19" spans="1:6" ht="20.65" customHeight="1" x14ac:dyDescent="0.2">
      <c r="A19" s="1280"/>
      <c r="B19" s="1281" t="s">
        <v>2099</v>
      </c>
      <c r="C19" s="1282" t="s">
        <v>2095</v>
      </c>
      <c r="D19" s="2437">
        <v>90800</v>
      </c>
      <c r="E19" s="2437"/>
      <c r="F19" s="2437"/>
    </row>
    <row r="20" spans="1:6" ht="20.65" customHeight="1" x14ac:dyDescent="0.2">
      <c r="A20" s="1280"/>
      <c r="B20" s="1281" t="s">
        <v>2100</v>
      </c>
      <c r="C20" s="1282" t="s">
        <v>2095</v>
      </c>
      <c r="D20" s="2437">
        <v>73080</v>
      </c>
      <c r="E20" s="2437"/>
      <c r="F20" s="2437"/>
    </row>
    <row r="21" spans="1:6" ht="20.65" customHeight="1" x14ac:dyDescent="0.2">
      <c r="A21" s="1280"/>
      <c r="B21" s="1281" t="s">
        <v>2101</v>
      </c>
      <c r="C21" s="1282" t="s">
        <v>2095</v>
      </c>
      <c r="D21" s="2437">
        <v>99200</v>
      </c>
      <c r="E21" s="2437"/>
      <c r="F21" s="2437"/>
    </row>
    <row r="22" spans="1:6" ht="20.65" customHeight="1" x14ac:dyDescent="0.2">
      <c r="A22" s="1280"/>
      <c r="B22" s="1281" t="s">
        <v>2102</v>
      </c>
      <c r="C22" s="1282" t="s">
        <v>2095</v>
      </c>
      <c r="D22" s="2437">
        <v>105000</v>
      </c>
      <c r="E22" s="2437"/>
      <c r="F22" s="2437"/>
    </row>
    <row r="23" spans="1:6" ht="20.65" customHeight="1" x14ac:dyDescent="0.2">
      <c r="A23" s="1280"/>
      <c r="B23" s="1281" t="s">
        <v>2103</v>
      </c>
      <c r="C23" s="1282" t="s">
        <v>2095</v>
      </c>
      <c r="D23" s="2437">
        <v>121509</v>
      </c>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8" t="s">
        <v>2104</v>
      </c>
      <c r="B32" s="2438"/>
      <c r="C32" s="2438"/>
      <c r="D32" s="2438"/>
      <c r="E32" s="2438"/>
      <c r="F32" s="2438"/>
    </row>
    <row r="33" spans="1:6" ht="13.5" customHeight="1" x14ac:dyDescent="0.2">
      <c r="A33" s="328" t="s">
        <v>1434</v>
      </c>
      <c r="B33" s="328"/>
      <c r="C33" s="1285">
        <v>0</v>
      </c>
      <c r="D33" s="1903"/>
      <c r="E33" s="1283"/>
    </row>
    <row r="34" spans="1:6" ht="13.5" customHeight="1" x14ac:dyDescent="0.2">
      <c r="A34" s="328" t="s">
        <v>1836</v>
      </c>
      <c r="B34" s="328"/>
      <c r="C34" s="1286">
        <v>0</v>
      </c>
      <c r="D34" s="1903" t="s">
        <v>1589</v>
      </c>
      <c r="E34" s="2439">
        <f>+C33+C34</f>
        <v>0</v>
      </c>
      <c r="F34" s="244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77</v>
      </c>
      <c r="D40" s="1903"/>
      <c r="E40" s="1283"/>
    </row>
    <row r="41" spans="1:6" ht="14.25" customHeight="1" x14ac:dyDescent="0.2">
      <c r="A41" s="328"/>
      <c r="B41" s="328" t="s">
        <v>1438</v>
      </c>
      <c r="C41" s="1289">
        <v>894</v>
      </c>
      <c r="D41" s="1903"/>
      <c r="E41" s="1283"/>
    </row>
    <row r="42" spans="1:6" ht="14.25" customHeight="1" x14ac:dyDescent="0.2">
      <c r="A42" s="328" t="s">
        <v>1439</v>
      </c>
      <c r="B42" s="328"/>
      <c r="C42" s="1901">
        <v>0</v>
      </c>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5"/>
      <c r="C50" s="1845"/>
      <c r="D50" s="1845"/>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44" zoomScale="110" zoomScaleNormal="110" workbookViewId="0">
      <selection activeCell="I44" sqref="I44"/>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Three Rivers Education for Employment System</v>
      </c>
      <c r="C1" s="2460"/>
      <c r="D1" s="2460"/>
      <c r="E1" s="2460"/>
      <c r="F1" s="2460"/>
      <c r="G1" s="2460"/>
      <c r="H1" s="2460"/>
      <c r="I1" s="2460"/>
      <c r="J1" s="1406"/>
    </row>
    <row r="2" spans="2:10" s="317" customFormat="1" ht="12.75" customHeight="1" x14ac:dyDescent="0.2">
      <c r="B2" s="2461" t="str">
        <f>'Single Audit Cover'!E7</f>
        <v>59-099-7110-45</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t="s">
        <v>1164</v>
      </c>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2071</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2071</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2071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2071</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2071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t="s">
        <v>2106</v>
      </c>
      <c r="E29" s="2466"/>
      <c r="F29" s="2466"/>
      <c r="G29" s="2466"/>
      <c r="H29" s="2466"/>
      <c r="I29" s="2466"/>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2071</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7" t="s">
        <v>1749</v>
      </c>
      <c r="D37" s="2468"/>
      <c r="E37" s="2468"/>
      <c r="F37" s="2469"/>
      <c r="G37" s="2467" t="s">
        <v>1592</v>
      </c>
      <c r="H37" s="2468"/>
      <c r="I37" s="2469"/>
    </row>
    <row r="38" spans="2:9" ht="16.5" customHeight="1" x14ac:dyDescent="0.2">
      <c r="B38" s="1428" t="s">
        <v>2095</v>
      </c>
      <c r="C38" s="2455" t="s">
        <v>2107</v>
      </c>
      <c r="D38" s="2456"/>
      <c r="E38" s="2456"/>
      <c r="F38" s="2457"/>
      <c r="G38" s="2470">
        <v>1024832</v>
      </c>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1024832</v>
      </c>
      <c r="H43" s="2451"/>
      <c r="I43" s="2451"/>
    </row>
    <row r="44" spans="2:9" ht="12.75" customHeight="1" x14ac:dyDescent="0.2"/>
    <row r="45" spans="2:9" ht="12.75" customHeight="1" x14ac:dyDescent="0.2">
      <c r="B45" s="1419" t="s">
        <v>2060</v>
      </c>
      <c r="D45" s="2452">
        <v>1024832</v>
      </c>
      <c r="E45" s="2453"/>
    </row>
    <row r="46" spans="2:9" ht="5.25" customHeight="1" x14ac:dyDescent="0.2">
      <c r="B46" s="1429"/>
      <c r="D46" s="1430"/>
      <c r="E46" s="1431"/>
    </row>
    <row r="47" spans="2:9" ht="12.75" customHeight="1" x14ac:dyDescent="0.2">
      <c r="B47" s="1297" t="s">
        <v>1594</v>
      </c>
      <c r="C47" s="1297"/>
      <c r="D47" s="1432">
        <f>+G43/D45</f>
        <v>1</v>
      </c>
      <c r="E47" s="1433"/>
      <c r="F47" s="1434"/>
      <c r="I47" s="1435"/>
    </row>
    <row r="48" spans="2:9" ht="9.9499999999999993" customHeight="1" x14ac:dyDescent="0.2"/>
    <row r="49" spans="1:9" x14ac:dyDescent="0.2">
      <c r="B49" s="1365" t="s">
        <v>1273</v>
      </c>
      <c r="C49" s="1279"/>
      <c r="D49" s="1279"/>
      <c r="E49" s="2454">
        <v>750000</v>
      </c>
      <c r="F49" s="2454"/>
      <c r="G49" s="2454"/>
      <c r="H49" s="322"/>
    </row>
    <row r="51" spans="1:9" ht="13.5" customHeight="1" x14ac:dyDescent="0.2">
      <c r="B51" s="1365" t="s">
        <v>1272</v>
      </c>
      <c r="C51" s="1279"/>
      <c r="E51" s="1422"/>
      <c r="F51" s="1297" t="s">
        <v>885</v>
      </c>
      <c r="G51" s="1422" t="s">
        <v>2071</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Three Rivers Education for Employment System</v>
      </c>
      <c r="C1" s="2459"/>
      <c r="D1" s="2459"/>
      <c r="E1" s="2459"/>
      <c r="F1" s="2459"/>
      <c r="G1" s="2459"/>
      <c r="H1" s="2459"/>
      <c r="I1" s="2459"/>
      <c r="J1" s="2459"/>
      <c r="K1" s="2459"/>
      <c r="L1" s="1371"/>
      <c r="M1" s="1371"/>
    </row>
    <row r="2" spans="1:13" ht="12" customHeight="1" x14ac:dyDescent="0.2">
      <c r="B2" s="2461" t="str">
        <f>'Single Audit Cover'!E7</f>
        <v>59-099-7110-45</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1987</v>
      </c>
      <c r="D10" s="1383" t="s">
        <v>2081</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Three Rivers Education for Employment System</v>
      </c>
      <c r="C1" s="2482"/>
      <c r="D1" s="2482"/>
      <c r="E1" s="2482"/>
      <c r="F1" s="2482"/>
      <c r="G1" s="2482"/>
      <c r="H1" s="2482"/>
      <c r="I1" s="2482"/>
      <c r="J1" s="2482"/>
      <c r="K1" s="2482"/>
      <c r="L1" s="1449"/>
    </row>
    <row r="2" spans="1:12" ht="12.75" customHeight="1" x14ac:dyDescent="0.2">
      <c r="B2" s="2483" t="str">
        <f>'Single Audit Cover'!E7</f>
        <v>59-099-7110-45</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1987</v>
      </c>
      <c r="D8" s="1452" t="s">
        <v>2081</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Three Rivers Education for Employment System</v>
      </c>
      <c r="C1" s="2459"/>
      <c r="D1" s="2459"/>
      <c r="E1" s="1469"/>
    </row>
    <row r="2" spans="2:5" s="1279" customFormat="1" ht="12.75" customHeight="1" x14ac:dyDescent="0.2">
      <c r="B2" s="2461" t="str">
        <f>'Single Audit Cover'!E7</f>
        <v>59-099-7110-45</v>
      </c>
      <c r="C2" s="2461"/>
      <c r="D2" s="2461"/>
      <c r="E2" s="1470"/>
    </row>
    <row r="3" spans="2:5" ht="12.75" customHeight="1" x14ac:dyDescent="0.2">
      <c r="B3" s="2475" t="s">
        <v>1764</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t="s">
        <v>2108</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terms/"/>
    <ds:schemaRef ds:uri="6ce3111e-7420-4802-b50a-75d4e9a0b980"/>
    <ds:schemaRef ds:uri="d21dc803-237d-4c68-8692-8d731fd29118"/>
    <ds:schemaRef ds:uri="4d435f69-8686-490b-bd6d-b153bf22ab50"/>
    <ds:schemaRef ds:uri="http://purl.org/dc/elements/1.1/"/>
    <ds:schemaRef ds:uri="http://schemas.microsoft.com/office/infopath/2007/PartnerControls"/>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2019-08-30T19:45:34Z</cp:lastPrinted>
  <dcterms:created xsi:type="dcterms:W3CDTF">2003-10-29T19:06:34Z</dcterms:created>
  <dcterms:modified xsi:type="dcterms:W3CDTF">2019-10-31T15:33:23Z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WPCSUniqueID">
    <vt:lpwstr>75909dee-00cd-4204-b586-9e28f882b989</vt:lpwstr>
  </property>
</Properties>
</file>