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45C5B0B1-EE2E-4FE7-BFA5-19334C03E738}" xr6:coauthVersionLast="36" xr6:coauthVersionMax="36" xr10:uidLastSave="{00000000-0000-0000-0000-000000000000}"/>
  <bookViews>
    <workbookView xWindow="-120" yWindow="-120" windowWidth="20730" windowHeight="1131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9" i="183" l="1"/>
  <c r="G19" i="183"/>
  <c r="F19" i="183"/>
  <c r="E19" i="183"/>
  <c r="I27" i="179"/>
  <c r="G27" i="179"/>
  <c r="F27" i="179"/>
  <c r="E27" i="179"/>
  <c r="M18" i="179"/>
  <c r="M22" i="179" s="1"/>
  <c r="M21" i="183" s="1"/>
  <c r="I18" i="179"/>
  <c r="I22" i="179" s="1"/>
  <c r="G18" i="179"/>
  <c r="G22" i="179" s="1"/>
  <c r="F18" i="179"/>
  <c r="F22" i="179" s="1"/>
  <c r="E18" i="179"/>
  <c r="E22" i="179" s="1"/>
  <c r="L27" i="183"/>
  <c r="L26" i="183"/>
  <c r="L25" i="183"/>
  <c r="L24" i="183"/>
  <c r="L23" i="183"/>
  <c r="L22" i="183"/>
  <c r="L20" i="183"/>
  <c r="L18" i="183"/>
  <c r="L17" i="183"/>
  <c r="L16" i="183"/>
  <c r="L15" i="183"/>
  <c r="L14" i="183"/>
  <c r="L13" i="183"/>
  <c r="L12" i="183"/>
  <c r="L11" i="183"/>
  <c r="B4" i="183"/>
  <c r="E21" i="183" l="1"/>
  <c r="F21" i="183"/>
  <c r="I21" i="183"/>
  <c r="L21" i="183" s="1"/>
  <c r="L19" i="183"/>
  <c r="G21" i="183"/>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82" i="36"/>
  <c r="D78" i="36"/>
  <c r="K75" i="29"/>
  <c r="C14" i="4" s="1"/>
  <c r="B2558" i="106" s="1"/>
  <c r="D2558" i="106" s="1"/>
  <c r="K130" i="29"/>
  <c r="B2805" i="106" s="1"/>
  <c r="D2805" i="106" s="1"/>
  <c r="K185" i="29"/>
  <c r="F62" i="34"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K95" i="29"/>
  <c r="K96" i="29"/>
  <c r="B7003" i="106" s="1"/>
  <c r="D7003" i="106" s="1"/>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6" i="108"/>
  <c r="D27" i="108"/>
  <c r="E27" i="108"/>
  <c r="F27" i="108"/>
  <c r="G27" i="108"/>
  <c r="F28" i="108"/>
  <c r="G28" i="108"/>
  <c r="G29" i="108"/>
  <c r="D36" i="108"/>
  <c r="E31" i="108"/>
  <c r="G31" i="108"/>
  <c r="E33"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F67" i="34"/>
  <c r="C68" i="34"/>
  <c r="D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D22" i="37"/>
  <c r="L22" i="37"/>
  <c r="H33" i="118" l="1"/>
  <c r="H28" i="118"/>
  <c r="D14" i="4"/>
  <c r="B2570" i="106" s="1"/>
  <c r="D2570" i="106" s="1"/>
  <c r="G30" i="108"/>
  <c r="F19" i="7"/>
  <c r="B1807" i="106" s="1"/>
  <c r="D1807" i="106" s="1"/>
  <c r="E38" i="108"/>
  <c r="D31" i="108"/>
  <c r="D69" i="36"/>
  <c r="B4211" i="106"/>
  <c r="D4211" i="106" s="1"/>
  <c r="F69" i="34"/>
  <c r="F56" i="34"/>
  <c r="F42" i="34"/>
  <c r="H342" i="29"/>
  <c r="F36" i="108"/>
  <c r="J129" i="29"/>
  <c r="B7038" i="106" s="1"/>
  <c r="D7038" i="106" s="1"/>
  <c r="F68" i="34"/>
  <c r="I129" i="29"/>
  <c r="B7037" i="106" s="1"/>
  <c r="D7037" i="106" s="1"/>
  <c r="H76" i="4"/>
  <c r="B3298" i="106" s="1"/>
  <c r="D3298" i="106" s="1"/>
  <c r="C342" i="29"/>
  <c r="B7216" i="106" s="1"/>
  <c r="D7216" i="106" s="1"/>
  <c r="J22" i="37"/>
  <c r="G26" i="108"/>
  <c r="D68" i="36"/>
  <c r="J210" i="29"/>
  <c r="B7072" i="106" s="1"/>
  <c r="D7072" i="106" s="1"/>
  <c r="B7047" i="106"/>
  <c r="D7047" i="106" s="1"/>
  <c r="J41" i="3"/>
  <c r="B6216" i="106" s="1"/>
  <c r="D6216" i="106" s="1"/>
  <c r="B3647" i="106"/>
  <c r="D3647" i="106" s="1"/>
  <c r="C352" i="29"/>
  <c r="B3621" i="106" s="1"/>
  <c r="D3621" i="106" s="1"/>
  <c r="K76" i="4"/>
  <c r="B3586" i="106" s="1"/>
  <c r="D3586" i="106" s="1"/>
  <c r="B1124" i="106"/>
  <c r="D1124" i="106" s="1"/>
  <c r="G15" i="145"/>
  <c r="F77" i="4"/>
  <c r="B3255" i="106" s="1"/>
  <c r="D3255" i="106" s="1"/>
  <c r="D24" i="37"/>
  <c r="B4270" i="106" s="1"/>
  <c r="D4270" i="106" s="1"/>
  <c r="F34" i="34"/>
  <c r="B1274" i="106"/>
  <c r="D1274" i="106" s="1"/>
  <c r="L13" i="11"/>
  <c r="B2060" i="106" s="1"/>
  <c r="D2060" i="106" s="1"/>
  <c r="D54" i="36"/>
  <c r="F50" i="34"/>
  <c r="I210" i="29"/>
  <c r="B7071" i="106" s="1"/>
  <c r="D7071" i="106" s="1"/>
  <c r="J77" i="4"/>
  <c r="B6262" i="106" s="1"/>
  <c r="D6262" i="106" s="1"/>
  <c r="K184" i="29"/>
  <c r="F13" i="4" s="1"/>
  <c r="B2596" i="106" s="1"/>
  <c r="D2596" i="106" s="1"/>
  <c r="G210" i="29"/>
  <c r="C129" i="29"/>
  <c r="B1225" i="106" s="1"/>
  <c r="D1225" i="106" s="1"/>
  <c r="L367" i="29"/>
  <c r="L5" i="11"/>
  <c r="B2056" i="106" s="1"/>
  <c r="D2056" i="106" s="1"/>
  <c r="F46" i="34"/>
  <c r="J352" i="29"/>
  <c r="J367" i="29" s="1"/>
  <c r="B7245" i="106" s="1"/>
  <c r="D7245" i="106" s="1"/>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F41" i="108" s="1"/>
  <c r="G43" i="108" s="1"/>
  <c r="D26" i="108"/>
  <c r="D31" i="36"/>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B1381" i="106" l="1"/>
  <c r="D1381" i="106" s="1"/>
  <c r="J16" i="4"/>
  <c r="B6226" i="106" s="1"/>
  <c r="D6226" i="106" s="1"/>
  <c r="B7235" i="106"/>
  <c r="D7235" i="106" s="1"/>
  <c r="C367" i="29"/>
  <c r="B3622" i="106" s="1"/>
  <c r="D3622" i="106" s="1"/>
  <c r="C151" i="29"/>
  <c r="B1226" i="106" s="1"/>
  <c r="D1226" i="106" s="1"/>
  <c r="I7" i="4"/>
  <c r="B4444" i="106" s="1"/>
  <c r="D4444" i="106" s="1"/>
  <c r="D41" i="108"/>
  <c r="E43" i="108" s="1"/>
  <c r="K77" i="4"/>
  <c r="B3587" i="106" s="1"/>
  <c r="D3587" i="106" s="1"/>
  <c r="K365" i="29"/>
  <c r="B7243" i="106" s="1"/>
  <c r="D7243" i="106" s="1"/>
  <c r="D7254" i="106"/>
  <c r="H151" i="29"/>
  <c r="B1273" i="106" s="1"/>
  <c r="D1273" i="106" s="1"/>
  <c r="D7256" i="106"/>
  <c r="D7251" i="106"/>
  <c r="L114" i="29"/>
  <c r="L16" i="11"/>
  <c r="B2061" i="106" s="1"/>
  <c r="D2061" i="106" s="1"/>
  <c r="C114" i="29"/>
  <c r="B757" i="106" s="1"/>
  <c r="D757" i="106" s="1"/>
  <c r="D44" i="36"/>
  <c r="B5778" i="106"/>
  <c r="D5778" i="106" s="1"/>
  <c r="G6" i="4"/>
  <c r="B2604" i="106" s="1"/>
  <c r="D2604" i="106" s="1"/>
  <c r="K342" i="29"/>
  <c r="F13" i="34" s="1"/>
  <c r="B5770" i="106"/>
  <c r="D5770" i="106"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B6227" i="106" l="1"/>
  <c r="D6227" i="106" s="1"/>
  <c r="J20" i="4"/>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<sst xmlns="http://schemas.openxmlformats.org/spreadsheetml/2006/main" count="5229" uniqueCount="2156">
  <si>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</si>
  <si>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</si>
  <si>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</si>
  <si>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</si>
  <si>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</si>
  <si>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</si>
  <si>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</si>
  <si>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</si>
  <si>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</si>
  <si>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</si>
  <si>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</si>
  <si>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</si>
  <si>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</si>
  <si>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</si>
  <si>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</si>
  <si>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</si>
  <si>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</si>
  <si>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</si>
  <si>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</si>
  <si>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</si>
  <si>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</si>
  <si>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</si>
  <si>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</si>
  <si>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</si>
  <si>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</si>
  <si>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</si>
  <si>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</si>
  <si>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</si>
  <si>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</si>
  <si>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</si>
  <si>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</si>
  <si>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</si>
  <si>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</si>
  <si>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</si>
  <si>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</si>
  <si>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</si>
  <si>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</si>
  <si>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</si>
  <si>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</si>
  <si>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</si>
  <si>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</si>
  <si>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</si>
  <si>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</si>
  <si>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</si>
  <si>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</si>
  <si>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</si>
  <si>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</si>
  <si>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</si>
  <si>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</si>
  <si>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</si>
  <si>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</si>
  <si>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</si>
  <si>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</si>
  <si>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</si>
  <si>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</si>
  <si>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</si>
  <si>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</si>
  <si>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</si>
  <si>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</si>
  <si>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</si>
  <si>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</si>
  <si>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</si>
  <si>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</si>
  <si>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</si>
  <si>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</si>
  <si>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</si>
  <si>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</si>
  <si>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</si>
  <si>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</si>
  <si>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</si>
  <si>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</si>
  <si>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</si>
  <si>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</si>
  <si>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</si>
  <si>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</si>
  <si>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</si>
  <si>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</si>
  <si>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</si>
  <si>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</si>
  <si>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</si>
  <si>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</si>
  <si>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</si>
  <si>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</si>
  <si>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</si>
  <si>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</si>
  <si>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</si>
  <si>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</si>
  <si>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</si>
  <si>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</si>
  <si>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</si>
  <si>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</si>
  <si>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</si>
  <si>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</si>
  <si>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</si>
  <si>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</si>
  <si>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</si>
  <si>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</si>
  <si>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</si>
  <si>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</si>
  <si>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</si>
  <si>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</si>
  <si>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</si>
  <si>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</si>
  <si>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</si>
  <si>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</si>
  <si>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</si>
  <si>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</si>
  <si>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</si>
  <si>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</si>
  <si>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</si>
  <si>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</si>
  <si>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</si>
  <si>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</si>
  <si>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</si>
  <si>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</si>
  <si>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</si>
  <si>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</si>
  <si>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</si>
  <si>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</si>
  <si>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</si>
  <si>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</si>
  <si>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</si>
  <si>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</si>
  <si>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</si>
  <si>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</si>
  <si>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</si>
  <si>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</si>
  <si>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</si>
  <si>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</si>
  <si>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</si>
  <si>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</si>
  <si>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</si>
  <si>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</si>
  <si>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</si>
  <si>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</si>
  <si>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</si>
  <si>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</si>
  <si>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</si>
  <si>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</si>
  <si>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</si>
  <si>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</si>
  <si>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</si>
  <si>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</si>
  <si>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</si>
  <si>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</si>
  <si>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</si>
  <si>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</si>
  <si>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</si>
  <si>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</si>
  <si>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</si>
  <si>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</si>
  <si>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</si>
  <si>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</si>
  <si>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</si>
  <si>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</si>
  <si>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</si>
  <si>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</si>
  <si>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</si>
  <si>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</si>
  <si>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</si>
  <si>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</si>
  <si>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</si>
  <si>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</si>
  <si>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</si>
  <si>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</si>
  <si>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</si>
  <si>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</si>
  <si>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</si>
  <si>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</si>
  <si>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</si>
  <si>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</si>
  <si>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</si>
  <si>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</si>
  <si>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</si>
  <si>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</si>
  <si>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</si>
  <si>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</si>
  <si>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</si>
  <si>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</si>
  <si>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</si>
  <si>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</si>
  <si>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</si>
  <si>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</si>
  <si>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</si>
  <si>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</si>
  <si>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</si>
  <si>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</si>
  <si>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</si>
  <si>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</si>
  <si>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</si>
  <si>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</si>
  <si>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</si>
  <si>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</si>
  <si>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</si>
  <si>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</si>
  <si>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</si>
  <si>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</si>
  <si>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</si>
  <si>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</si>
  <si>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</si>
  <si>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</si>
  <si>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</si>
  <si>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</si>
  <si>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</si>
  <si>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</si>
  <si>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</si>
  <si>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</si>
  <si>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</si>
  <si>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</si>
  <si>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</si>
  <si>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</si>
  <si>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</si>
  <si>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</si>
  <si>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</si>
  <si>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</si>
  <si>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</si>
  <si>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</si>
  <si>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</si>
  <si>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</si>
  <si>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</si>
  <si>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</si>
  <si>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</si>
  <si>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</si>
  <si>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</si>
  <si>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</si>
  <si>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</si>
  <si>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</si>
  <si>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</si>
  <si>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</si>
  <si>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</si>
  <si>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</si>
  <si>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</si>
  <si>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</si>
  <si>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</si>
  <si>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</si>
  <si>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</si>
  <si>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</si>
  <si>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</si>
  <si>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</si>
  <si>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</si>
  <si>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</si>
  <si>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</si>
  <si>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</si>
  <si>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</si>
  <si>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</si>
  <si>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</si>
  <si>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</si>
  <si>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</si>
  <si>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</si>
  <si>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</si>
  <si>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</si>
  <si>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</si>
  <si>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</si>
  <si>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</si>
  <si>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</si>
  <si>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</si>
  <si>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</si>
  <si>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</si>
  <si>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</si>
  <si>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</si>
  <si>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</si>
  <si>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</si>
  <si>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</si>
  <si>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</si>
  <si>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</si>
  <si>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</si>
  <si>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</si>
  <si>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</si>
  <si>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</si>
  <si>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</si>
  <si>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</si>
  <si>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</si>
  <si>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</si>
  <si>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</si>
  <si>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</si>
  <si>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</si>
  <si>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</si>
  <si>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</si>
  <si>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</si>
  <si>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</si>
  <si>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</si>
  <si>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</si>
  <si>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</si>
  <si>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</si>
  <si>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</si>
  <si>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</si>
  <si>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</si>
  <si>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</si>
  <si>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</si>
  <si>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</si>
  <si>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</si>
  <si>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</si>
  <si>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</si>
  <si>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</si>
  <si>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</si>
  <si>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</si>
  <si>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</si>
  <si>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</si>
  <si>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</si>
  <si>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</si>
  <si>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</si>
  <si>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</si>
  <si>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</si>
  <si>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</si>
  <si>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</si>
  <si>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</si>
  <si>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</si>
  <si>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</si>
  <si>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</si>
  <si>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</si>
  <si>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</si>
  <si>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</si>
  <si>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</si>
  <si>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</si>
  <si>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</si>
  <si>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</si>
  <si>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</si>
  <si>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</si>
  <si>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</si>
  <si>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</si>
  <si>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</si>
  <si>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</si>
  <si>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</si>
  <si>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</si>
  <si>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</si>
  <si>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</si>
  <si>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</si>
  <si>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</si>
  <si>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</si>
  <si>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</si>
  <si>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</si>
  <si>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</si>
  <si>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</si>
  <si>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</si>
  <si>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</si>
  <si>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</si>
  <si>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</si>
  <si>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</si>
  <si>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</si>
  <si>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</si>
  <si>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</si>
  <si>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</si>
  <si>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</si>
  <si>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</si>
  <si>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</si>
  <si>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</si>
  <si>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</si>
  <si>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</si>
  <si>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</si>
  <si>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</si>
  <si>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</si>
  <si>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</si>
  <si>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</si>
  <si>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</si>
  <si>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</si>
  <si>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</si>
  <si>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</si>
  <si>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</si>
  <si>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</si>
  <si>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</si>
  <si>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</si>
  <si>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</si>
  <si>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</si>
  <si>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</si>
  <si>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</si>
  <si>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</si>
  <si>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</si>
  <si>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</si>
  <si>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</si>
  <si>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</si>
  <si>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</si>
  <si>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</si>
  <si>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</si>
  <si>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</si>
  <si>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</si>
  <si>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</si>
  <si>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</si>
  <si>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</si>
  <si>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</si>
  <si>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</si>
  <si>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</si>
  <si>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</si>
  <si>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</si>
  <si>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</si>
  <si>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</si>
  <si>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</si>
  <si>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</si>
  <si>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</si>
  <si>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</si>
  <si>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</si>
  <si>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</si>
  <si>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</si>
  <si>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</si>
  <si>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</si>
  <si>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</si>
  <si>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</si>
  <si>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</si>
  <si>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</si>
  <si>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</si>
  <si>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</si>
  <si>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</si>
  <si>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</si>
  <si>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</si>
  <si>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</si>
  <si>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</si>
  <si>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</si>
  <si>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</si>
  <si>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</si>
  <si>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</si>
  <si>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</si>
  <si>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</si>
  <si>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</si>
  <si>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</si>
  <si>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</si>
  <si>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</si>
  <si>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</si>
  <si>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</si>
  <si>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</si>
  <si>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</si>
  <si>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</si>
  <si>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</si>
  <si>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</si>
  <si>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</si>
  <si>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</si>
  <si>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</si>
  <si>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</si>
  <si>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</si>
  <si>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</si>
  <si>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</si>
  <si>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</si>
  <si>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</si>
  <si>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</si>
  <si>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</si>
  <si>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</si>
  <si>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</si>
  <si>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</si>
  <si>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</si>
  <si>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</si>
  <si>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</si>
  <si>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</si>
  <si>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</si>
  <si>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</si>
  <si>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</si>
  <si>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</si>
  <si>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</si>
  <si>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</si>
  <si>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</si>
  <si>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</si>
  <si>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</si>
  <si>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</si>
  <si>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</si>
  <si>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</si>
  <si>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</si>
  <si>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</si>
  <si>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</si>
  <si>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</si>
  <si>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</si>
  <si>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</si>
  <si>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</si>
  <si>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</si>
  <si>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</si>
  <si>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</si>
  <si>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</si>
  <si>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</si>
  <si>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</si>
  <si>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</si>
  <si>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</si>
  <si>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</si>
  <si>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</si>
  <si>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</si>
  <si>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</si>
  <si>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</si>
  <si>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</si>
  <si>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</si>
  <si>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</si>
  <si>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</si>
  <si>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</si>
  <si>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</si>
  <si>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</si>
  <si>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</si>
  <si>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</si>
  <si>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</si>
  <si>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</si>
  <si>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</si>
  <si>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</si>
  <si>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</si>
  <si>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</si>
  <si>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</si>
  <si>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</si>
  <si>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</si>
  <si>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</si>
  <si>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</si>
  <si>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</si>
  <si>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</si>
  <si>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</si>
  <si>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</si>
  <si>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</si>
  <si>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</si>
  <si>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</si>
  <si>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</si>
  <si>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</si>
  <si>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</si>
  <si>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</si>
  <si>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</si>
  <si>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</si>
  <si>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</si>
  <si>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</si>
  <si>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</si>
  <si>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</si>
  <si>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</si>
  <si>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</si>
  <si>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</si>
  <si>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</si>
  <si>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</si>
  <si>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</si>
  <si>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</si>
  <si>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</si>
  <si>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</si>
  <si>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</si>
  <si>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</si>
  <si>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</si>
  <si>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</si>
  <si>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</si>
  <si>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</si>
  <si>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</si>
  <si>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</si>
  <si>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</si>
  <si>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</si>
  <si>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</si>
  <si>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</si>
  <si>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</si>
  <si>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</si>
  <si>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</si>
  <si>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</si>
  <si>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</si>
  <si>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</si>
  <si>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</si>
  <si>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</si>
  <si>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</si>
  <si>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</si>
  <si>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</si>
  <si>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</si>
  <si>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</si>
  <si>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</si>
  <si>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</si>
  <si>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</si>
  <si>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</si>
  <si>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</si>
  <si>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</si>
  <si>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</si>
  <si>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</si>
  <si>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</si>
  <si>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</si>
  <si>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</si>
  <si>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</si>
  <si>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</si>
  <si>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</si>
  <si>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</si>
  <si>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</si>
  <si>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</si>
  <si>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</si>
  <si>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</si>
  <si>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</si>
  <si>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</si>
  <si>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</si>
  <si>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</si>
  <si>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</si>
  <si>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</si>
  <si>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</si>
  <si>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</si>
  <si>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</si>
  <si>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</si>
  <si>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</si>
  <si>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</si>
  <si>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</si>
  <si>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</si>
  <si>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</si>
  <si>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</si>
  <si>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</si>
  <si>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</si>
  <si>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</si>
  <si>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</si>
  <si>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</si>
  <si>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</si>
  <si>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</si>
  <si>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</si>
  <si>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</si>
  <si>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</si>
  <si>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</si>
  <si>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</si>
  <si>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</si>
  <si>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</si>
  <si>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</si>
  <si>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</si>
  <si>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</si>
  <si>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</si>
  <si>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</si>
  <si>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</si>
  <si>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</si>
  <si>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</si>
  <si>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</si>
  <si>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</si>
  <si>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</si>
  <si>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</si>
  <si>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</si>
  <si>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</si>
  <si>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</si>
  <si>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</si>
  <si>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</si>
  <si>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</si>
  <si>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</si>
  <si>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</si>
  <si>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</si>
  <si>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</si>
  <si>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</si>
  <si>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</si>
  <si>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</si>
  <si>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</si>
  <si>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</si>
  <si>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</si>
  <si>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</si>
  <si>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</si>
  <si>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</si>
  <si>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</si>
  <si>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</si>
  <si>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</si>
  <si>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</si>
  <si>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</si>
  <si>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</si>
  <si>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</si>
  <si>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</si>
  <si>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</si>
  <si>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</si>
  <si>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</si>
  <si>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</si>
  <si>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</si>
  <si>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</si>
  <si>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</si>
  <si>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</si>
  <si>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</si>
  <si>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</si>
  <si>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</si>
  <si>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</si>
  <si>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</si>
  <si>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</si>
  <si>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</si>
  <si>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</si>
  <si>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</si>
  <si>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</si>
  <si>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</si>
  <si>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</si>
  <si>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</si>
  <si>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</si>
  <si>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</si>
  <si>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</si>
  <si>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</si>
  <si>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</si>
  <si>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</si>
  <si>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</si>
  <si>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</si>
  <si>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</si>
  <si>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</si>
  <si>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</si>
  <si>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</si>
  <si>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</si>
  <si>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</si>
  <si>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</si>
  <si>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</si>
  <si>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</si>
  <si>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</si>
  <si>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</si>
  <si>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</si>
  <si>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</si>
  <si>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</si>
  <si>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</si>
  <si>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</si>
  <si>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</si>
  <si>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</si>
  <si>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</si>
  <si>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</si>
  <si>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</si>
  <si>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</si>
  <si>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</si>
  <si>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</si>
  <si>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</si>
  <si>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</si>
  <si>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</si>
  <si>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</si>
  <si>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</si>
  <si>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</si>
  <si>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</si>
  <si>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</si>
  <si>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</si>
  <si>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</si>
  <si>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</si>
  <si>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</si>
  <si>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</si>
  <si>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</si>
  <si>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</si>
  <si>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</si>
  <si>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</si>
  <si>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</si>
  <si>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</si>
  <si>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</si>
  <si>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</si>
  <si>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</si>
  <si>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</si>
  <si>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</si>
  <si>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</si>
  <si>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</si>
  <si>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</si>
  <si>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</si>
  <si>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</si>
  <si>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</si>
  <si>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</si>
  <si>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</si>
  <si>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</si>
  <si>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</si>
  <si>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</si>
  <si>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</si>
  <si>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</si>
  <si>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</si>
  <si>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</si>
  <si>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</si>
  <si>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</si>
  <si>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</si>
  <si>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</si>
  <si>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</si>
  <si>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</si>
  <si>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</si>
  <si>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</si>
  <si>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</si>
  <si>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</si>
  <si>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</si>
  <si>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</si>
  <si>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</si>
  <si>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</si>
  <si>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</si>
  <si>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</si>
  <si>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</si>
  <si>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</si>
  <si>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</si>
  <si>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</si>
  <si>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</si>
  <si>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</si>
  <si>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</si>
  <si>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</si>
  <si>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</si>
  <si>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</si>
  <si>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</si>
  <si>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</si>
  <si>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</si>
  <si>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</si>
  <si>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</si>
  <si>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</si>
  <si>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</si>
  <si>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</si>
  <si>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</si>
  <si>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</si>
  <si>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</si>
  <si>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</si>
  <si>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</si>
  <si>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</si>
  <si>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</si>
  <si>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</si>
  <si>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</si>
  <si>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</si>
  <si>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</si>
  <si>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</si>
  <si>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</si>
  <si>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</si>
  <si>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</si>
  <si>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</si>
  <si>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</si>
  <si>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</si>
  <si>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</si>
  <si>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</si>
  <si>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</si>
  <si>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</si>
  <si>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</si>
  <si>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</si>
  <si>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</si>
  <si>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</si>
  <si>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</si>
  <si>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</si>
  <si>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</si>
  <si>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</si>
  <si>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</si>
  <si>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</si>
  <si>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</si>
  <si>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</si>
  <si>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</si>
  <si>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</si>
  <si>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</si>
  <si>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</si>
  <si>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</si>
  <si>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</si>
  <si>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</si>
  <si>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</si>
  <si>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</si>
  <si>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</si>
  <si>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</si>
  <si>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</si>
  <si>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</si>
  <si>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</si>
  <si>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</si>
  <si>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</si>
  <si>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</si>
  <si>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</si>
  <si>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</si>
  <si>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</si>
  <si>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</si>
  <si>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</si>
  <si>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</si>
  <si>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</si>
  <si>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</si>
  <si>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</si>
  <si>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</si>
  <si>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</si>
  <si>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</si>
  <si>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</si>
  <si>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</si>
  <si>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</si>
  <si>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</si>
  <si>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</si>
  <si>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</si>
  <si>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</si>
  <si>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</si>
  <si>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</si>
  <si>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</si>
  <si>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</si>
  <si>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</si>
  <si>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</si>
  <si>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</si>
  <si>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</si>
  <si>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</si>
  <si>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</si>
  <si>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</si>
  <si>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</si>
  <si>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</si>
  <si>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</si>
  <si>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</si>
  <si>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</si>
  <si>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</si>
  <si>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</si>
  <si>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</si>
  <si>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</si>
  <si>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</si>
  <si>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</si>
  <si>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</si>
  <si>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</si>
  <si>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</si>
  <si>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</si>
  <si>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</si>
  <si>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</si>
  <si>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</si>
  <si>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</si>
  <si>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</si>
  <si>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</si>
  <si>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</si>
  <si>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</si>
  <si>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</si>
  <si>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</si>
  <si>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</si>
  <si>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</si>
  <si>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</si>
  <si>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</si>
  <si>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</si>
  <si>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</si>
  <si>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</si>
  <si>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</si>
  <si>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</si>
  <si>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</si>
  <si>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</si>
  <si>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</si>
  <si>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</si>
  <si>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</si>
  <si>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</si>
  <si>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</si>
  <si>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</si>
  <si>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</si>
  <si>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</si>
  <si>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</si>
  <si>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</si>
  <si>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</si>
  <si>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</si>
  <si>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</si>
  <si>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</si>
  <si>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</si>
  <si>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</si>
  <si>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</si>
  <si>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</si>
  <si>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</si>
  <si>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</si>
  <si>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</si>
  <si>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</si>
  <si>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</si>
  <si>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</si>
  <si>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</si>
  <si>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</si>
  <si>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</si>
  <si>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</si>
  <si>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</si>
  <si>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</si>
  <si>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</si>
  <si>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</si>
  <si>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</si>
  <si>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</si>
  <si>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</si>
  <si>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</si>
  <si>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</si>
  <si>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</si>
  <si>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</si>
  <si>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</si>
  <si>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</si>
  <si>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</si>
  <si>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</si>
  <si>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</si>
  <si>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</si>
  <si>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</si>
  <si>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</si>
  <si>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</si>
  <si>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</si>
  <si>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</si>
  <si>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</si>
  <si>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</si>
  <si>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</si>
  <si>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</si>
  <si>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</si>
  <si>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</si>
  <si>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</si>
  <si>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</si>
  <si>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</si>
  <si>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</si>
  <si>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</si>
  <si>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</si>
  <si>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</si>
  <si>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</si>
  <si>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</si>
  <si>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</si>
  <si>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</si>
  <si>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</si>
  <si>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</si>
  <si>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</si>
  <si>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</si>
  <si>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</si>
  <si>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</si>
  <si>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</si>
  <si>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</si>
  <si>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</si>
  <si>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</si>
  <si>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</si>
  <si>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</si>
  <si>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</si>
  <si>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</si>
  <si>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</si>
  <si>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</si>
  <si>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</si>
  <si>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</si>
  <si>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</si>
  <si>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</si>
  <si>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</si>
  <si>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</si>
  <si>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</si>
  <si>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</si>
  <si>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</si>
  <si>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</si>
  <si>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</si>
  <si>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</si>
  <si>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</si>
  <si>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</si>
  <si>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</si>
  <si>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</si>
  <si>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</si>
  <si>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</si>
  <si>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</si>
  <si>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</si>
  <si>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</si>
  <si>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</si>
  <si>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</si>
  <si>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</si>
  <si>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</si>
  <si>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</si>
  <si>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</si>
  <si>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</si>
  <si>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</si>
  <si>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</si>
  <si>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</si>
  <si>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</si>
  <si>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</si>
  <si>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</si>
  <si>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</si>
  <si>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</si>
  <si>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</si>
  <si>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</si>
  <si>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</si>
  <si>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</si>
  <si>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</si>
  <si>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</si>
  <si>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</si>
  <si>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</si>
  <si>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</si>
  <si>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</si>
  <si>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</si>
  <si>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</si>
  <si>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</si>
  <si>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</si>
  <si>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</si>
  <si>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</si>
  <si>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</si>
  <si>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</si>
  <si>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</si>
  <si>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</si>
  <si>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</si>
  <si>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</si>
  <si>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</si>
  <si>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</si>
  <si>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</si>
  <si>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</si>
  <si>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</si>
  <si>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</si>
  <si>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</si>
  <si>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</si>
  <si>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</si>
  <si>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</si>
  <si>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</si>
  <si>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</si>
  <si>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</si>
  <si>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</si>
  <si>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</si>
  <si>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</si>
  <si>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</si>
  <si>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</si>
  <si>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</si>
  <si>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</si>
  <si>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</si>
  <si>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</si>
  <si>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</si>
  <si>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</si>
  <si>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</si>
  <si>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</si>
  <si>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</si>
  <si>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</si>
  <si>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</si>
  <si>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</si>
  <si>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</si>
  <si>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</si>
  <si>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</si>
  <si>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</si>
  <si>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</si>
  <si>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</si>
  <si>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</si>
  <si>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</si>
  <si>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</si>
  <si>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</si>
  <si>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</si>
  <si>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</si>
  <si>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</si>
  <si>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</si>
  <si>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</si>
  <si>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</si>
  <si>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</si>
  <si>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</si>
  <si>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</si>
  <si>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</si>
  <si>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</si>
  <si>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</si>
  <si>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</si>
  <si>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</si>
  <si>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</si>
  <si>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</si>
  <si>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</si>
  <si>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</si>
  <si>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</si>
  <si>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</si>
  <si>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</si>
  <si>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</si>
  <si>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</si>
  <si>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</si>
  <si>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</si>
  <si>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</si>
  <si>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</si>
  <si>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</si>
  <si>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</si>
  <si>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</si>
  <si>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</si>
  <si>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</si>
  <si>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</si>
  <si>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</si>
  <si>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</si>
  <si>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</si>
  <si>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</si>
  <si>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</si>
  <si>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</si>
  <si>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</si>
  <si>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</si>
  <si>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</si>
  <si>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</si>
  <si>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</si>
  <si>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</si>
  <si>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</si>
  <si>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</si>
  <si>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</si>
  <si>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</si>
  <si>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</si>
  <si>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</si>
  <si>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</si>
  <si>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</si>
  <si>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</si>
  <si>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</si>
  <si>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</si>
  <si>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</si>
  <si>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</si>
  <si>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</si>
  <si>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</si>
  <si>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</si>
  <si>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</si>
  <si>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</si>
  <si>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</si>
  <si>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</si>
  <si>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</si>
  <si>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</si>
  <si>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</si>
  <si>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</si>
  <si>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</si>
  <si>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</si>
  <si>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</si>
  <si>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</si>
  <si>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</si>
  <si>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</si>
  <si>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</si>
  <si>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</si>
  <si>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</si>
  <si>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</si>
  <si>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</si>
  <si>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</si>
  <si>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</si>
  <si>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</si>
  <si>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</si>
  <si>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</si>
  <si>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</si>
  <si>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</si>
  <si>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</si>
  <si>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</si>
  <si>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</si>
  <si>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</si>
  <si>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</si>
  <si>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</si>
  <si>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</si>
  <si>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</si>
  <si>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</si>
  <si>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</si>
  <si>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</si>
  <si>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</si>
  <si>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</si>
  <si>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</si>
  <si>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</si>
  <si>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</si>
  <si>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</si>
  <si>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</si>
  <si>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</si>
  <si>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</si>
  <si>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</si>
  <si>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</si>
  <si>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</si>
  <si>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</si>
  <si>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</si>
  <si>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</si>
  <si>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</si>
  <si>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</si>
  <si>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</si>
  <si>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</si>
  <si>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</si>
  <si>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</si>
  <si>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</si>
  <si>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</si>
  <si>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</si>
  <si>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</si>
  <si>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</si>
  <si>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</si>
  <si>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</si>
  <si>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</si>
  <si>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</si>
  <si>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</si>
  <si>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</si>
  <si>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</si>
  <si>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</si>
  <si>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</si>
  <si>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</si>
  <si>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</si>
  <si>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</si>
  <si>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</si>
  <si>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</si>
  <si>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</si>
  <si>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</si>
  <si>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</si>
  <si>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</si>
  <si>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</si>
  <si>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</si>
  <si>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</si>
  <si>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</si>
  <si>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</si>
  <si>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</si>
  <si>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</si>
  <si>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</si>
  <si>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</si>
  <si>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</si>
  <si>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</si>
  <si>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</si>
  <si>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</si>
  <si>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</si>
  <si>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</si>
  <si>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</si>
  <si>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</si>
  <si>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</si>
  <si>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</si>
  <si>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</si>
  <si>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</si>
  <si>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</si>
  <si>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</si>
  <si>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</si>
  <si>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</si>
  <si>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</si>
  <si>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</si>
  <si>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</si>
  <si>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</si>
  <si>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</si>
  <si>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</si>
  <si>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</si>
  <si>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</si>
  <si>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</si>
  <si>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</si>
  <si>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</si>
  <si>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</si>
  <si>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</si>
  <si>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</si>
  <si>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</si>
  <si>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</si>
  <si>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</si>
  <si>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</si>
  <si>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</si>
  <si>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</si>
  <si>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</si>
  <si>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</si>
  <si>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</si>
  <si>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</si>
  <si>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</si>
  <si>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</si>
  <si>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</si>
  <si>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</si>
  <si>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</si>
  <si>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</si>
  <si>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</si>
  <si>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</si>
  <si>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</si>
  <si>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</si>
  <si>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</si>
  <si>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</si>
  <si>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</si>
  <si>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</si>
  <si>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</si>
  <si>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</si>
  <si>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</si>
  <si>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</si>
  <si>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</si>
  <si>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</si>
  <si>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</si>
  <si>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</si>
  <si>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</si>
  <si>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</si>
  <si>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</si>
  <si>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</si>
  <si>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</si>
  <si>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</si>
  <si>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</si>
  <si>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</si>
  <si>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</si>
  <si>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</si>
  <si>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</si>
  <si>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</si>
  <si>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</si>
  <si>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</si>
  <si>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</si>
  <si>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</si>
  <si>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</si>
  <si>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</si>
  <si>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</si>
  <si>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</si>
  <si>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</si>
  <si>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</si>
  <si>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</si>
  <si>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</si>
  <si>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</si>
  <si>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</si>
  <si>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</si>
  <si>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</si>
  <si>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</si>
  <si>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</si>
  <si>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</si>
  <si>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</si>
  <si>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</si>
  <si>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</si>
  <si>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</si>
  <si>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</si>
  <si>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</si>
  <si>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</si>
  <si>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</si>
  <si>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</si>
  <si>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</si>
  <si>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</si>
  <si>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</si>
  <si>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</si>
  <si>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</si>
  <si>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</si>
  <si>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</si>
  <si>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</si>
  <si>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</si>
  <si>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</si>
  <si>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</si>
  <si>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</si>
  <si>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</si>
  <si>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</si>
  <si>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</si>
  <si>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</si>
  <si>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</si>
  <si>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</si>
  <si>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</si>
  <si>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</si>
  <si>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</si>
  <si>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</si>
  <si>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</si>
  <si>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</si>
  <si>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</si>
  <si>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</si>
  <si>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</si>
  <si>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</si>
  <si>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</si>
  <si>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</si>
  <si>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</si>
  <si>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</si>
  <si>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</si>
  <si>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</si>
  <si>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</si>
  <si>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</si>
  <si>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</si>
  <si>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</si>
  <si>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</si>
  <si>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</si>
  <si>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</si>
  <si>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</si>
  <si>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</si>
  <si>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</si>
  <si>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</si>
  <si>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</si>
  <si>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</si>
  <si>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</si>
  <si>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</si>
  <si>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</si>
  <si>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</si>
  <si>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</si>
  <si>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</si>
  <si>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</si>
  <si>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</si>
  <si>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</si>
  <si>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</si>
  <si>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</si>
  <si>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</si>
  <si>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</si>
  <si>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</si>
  <si>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</si>
  <si>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</si>
  <si>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</si>
  <si>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</si>
  <si>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</si>
  <si>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</si>
  <si>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</si>
  <si>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</si>
  <si>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</si>
  <si>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</si>
  <si>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</si>
  <si>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</si>
  <si>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</si>
  <si>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</si>
  <si>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</si>
  <si>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</si>
  <si>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</si>
  <si>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</si>
  <si>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</si>
  <si>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</si>
  <si>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</si>
  <si>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</si>
  <si>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</si>
  <si>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</si>
  <si>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</si>
  <si>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</si>
  <si>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</si>
  <si>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</si>
  <si>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</si>
  <si>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</si>
  <si>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</si>
  <si>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</si>
  <si>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</si>
  <si>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</si>
  <si>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</si>
  <si>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</si>
  <si>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</si>
  <si>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</si>
  <si>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</si>
  <si>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</si>
  <si>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</si>
  <si>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</si>
  <si>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</si>
  <si>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</si>
  <si>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</si>
  <si>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</si>
  <si>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</si>
  <si>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</si>
  <si>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</si>
  <si>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</si>
  <si>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</si>
  <si>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</si>
  <si>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</si>
  <si>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</si>
  <si>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</si>
  <si>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</si>
  <si>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</si>
  <si>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</si>
  <si>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</si>
  <si>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</si>
  <si>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</si>
  <si>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</si>
  <si>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</si>
  <si>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</si>
  <si>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</si>
  <si>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</si>
  <si>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</si>
  <si>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</si>
  <si>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</si>
  <si>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</si>
  <si>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</si>
  <si>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</si>
  <si>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</si>
  <si>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</si>
  <si>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</si>
  <si>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</si>
  <si>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</si>
  <si>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</si>
  <si>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</si>
  <si>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</si>
  <si>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</si>
  <si>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</si>
  <si>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</si>
  <si>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</si>
  <si>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</si>
  <si>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</si>
  <si>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</si>
  <si>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</si>
  <si>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</si>
  <si>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</si>
  <si>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</si>
  <si>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</si>
  <si>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</si>
  <si>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</si>
  <si>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</si>
  <si>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</si>
  <si>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</si>
  <si>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</si>
  <si>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</si>
  <si>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</si>
  <si>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</si>
  <si>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</si>
  <si>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</si>
  <si>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</si>
  <si>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</si>
  <si>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</si>
  <si>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</si>
  <si>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</si>
  <si>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</si>
  <si>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</si>
  <si>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</si>
  <si>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</si>
  <si>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</si>
  <si>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</si>
  <si>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</si>
  <si>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</si>
  <si>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</si>
  <si>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</si>
  <si>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</si>
  <si>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</si>
  <si>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</si>
  <si>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</si>
  <si>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</si>
  <si>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</si>
  <si>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</si>
  <si>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</si>
  <si>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</si>
  <si>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</si>
  <si>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</si>
  <si>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</si>
  <si>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</si>
  <si>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</si>
  <si>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</si>
  <si>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</si>
  <si>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</si>
  <si>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</si>
  <si>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</si>
  <si>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</si>
  <si>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</si>
  <si>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</si>
  <si>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</si>
  <si>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</si>
  <si>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</si>
  <si>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</si>
  <si>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</si>
  <si>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</si>
  <si>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</si>
  <si>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</si>
  <si>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</si>
  <si>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</si>
  <si>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</si>
  <si>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</si>
  <si>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</si>
  <si>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</si>
  <si>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</si>
  <si>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</si>
  <si>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</si>
  <si>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</si>
  <si>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</si>
  <si>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</si>
  <si>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</si>
  <si>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</si>
  <si>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</si>
  <si>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</si>
  <si>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</si>
  <si>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</si>
  <si>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</si>
  <si>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</si>
  <si>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</si>
  <si>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</si>
  <si>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</si>
  <si>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</si>
  <si>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</si>
  <si>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</si>
  <si>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</si>
  <si>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</si>
  <si>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</si>
  <si>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</si>
  <si>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</si>
  <si>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</si>
  <si>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</si>
  <si>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</si>
  <si>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</si>
  <si>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</si>
  <si>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</si>
  <si>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</si>
  <si>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</si>
  <si>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</si>
  <si>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</si>
  <si>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</si>
  <si>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</si>
  <si>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</si>
  <si>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</si>
  <si>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</si>
  <si>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</si>
  <si>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</si>
  <si>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</si>
  <si>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</si>
  <si>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</si>
  <si>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</si>
  <si>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</si>
  <si>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</si>
  <si>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</si>
  <si>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</si>
  <si>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</si>
  <si>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</si>
  <si>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</si>
  <si>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</si>
  <si>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</si>
  <si>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</si>
  <si>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</si>
  <si>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</si>
  <si>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</si>
  <si>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</si>
  <si>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</si>
  <si>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</si>
  <si>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</si>
  <si>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</si>
  <si>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</si>
  <si>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</si>
  <si>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</si>
  <si>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</si>
  <si>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</si>
  <si>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</si>
  <si>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</si>
  <si>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</si>
  <si>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</si>
  <si>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</si>
  <si>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</si>
  <si>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</si>
  <si>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</si>
  <si>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</si>
  <si>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</si>
  <si>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</si>
  <si>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</si>
  <si>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</si>
  <si>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</si>
  <si>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</si>
  <si>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</si>
  <si>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</si>
  <si>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</si>
  <si>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</si>
  <si>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</si>
  <si>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</si>
  <si>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</si>
  <si>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</si>
  <si>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</si>
  <si>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</si>
  <si>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</si>
  <si>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</si>
  <si>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</si>
  <si>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</si>
  <si>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</si>
  <si>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</si>
  <si>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</si>
  <si>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</si>
  <si>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</si>
  <si>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</si>
  <si>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</si>
  <si>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</si>
  <si>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</si>
  <si>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</si>
  <si>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</si>
  <si>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</si>
  <si>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</si>
  <si>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</si>
  <si>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</si>
  <si>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</si>
  <si>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</si>
  <si>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</si>
  <si>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</si>
  <si>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</si>
  <si>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</si>
  <si>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</si>
  <si>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</si>
  <si>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</si>
  <si>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</si>
  <si>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</si>
  <si>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</si>
  <si>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</si>
  <si>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</si>
  <si>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</si>
  <si>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</si>
  <si>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</si>
  <si>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</si>
  <si>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</si>
  <si>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</si>
  <si>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</si>
  <si>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</si>
  <si>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</si>
  <si>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</si>
  <si>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</si>
  <si>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</si>
  <si>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</si>
  <si>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</si>
  <si>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</si>
  <si>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</si>
  <si>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</si>
  <si>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</si>
  <si>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</si>
  <si>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</si>
  <si>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</si>
  <si>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</si>
  <si>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</si>
  <si>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</si>
  <si>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</si>
  <si>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</si>
  <si>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</si>
  <si>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</si>
  <si>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</si>
  <si>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</si>
  <si>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</si>
  <si>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</si>
  <si>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</si>
  <si>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</si>
  <si>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</si>
  <si>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</si>
  <si>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</si>
  <si>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</si>
  <si>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</si>
  <si>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</si>
  <si>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</si>
  <si>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</si>
  <si>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</si>
  <si>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</si>
  <si>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</si>
  <si>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</si>
  <si>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</si>
  <si>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</si>
  <si>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</si>
  <si>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</si>
  <si>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</si>
  <si>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</si>
  <si>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</si>
  <si>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</si>
  <si>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</si>
  <si>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</si>
  <si>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</si>
  <si>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</si>
  <si>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</si>
  <si>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</si>
  <si>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</si>
  <si>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</si>
  <si>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</si>
  <si>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</si>
  <si>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</si>
  <si>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</si>
  <si>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</si>
  <si>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</si>
  <si>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</si>
  <si>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</si>
  <si>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</si>
  <si>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</si>
  <si>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</si>
  <si>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</si>
  <si>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</si>
  <si>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</si>
  <si>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</si>
  <si>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</si>
  <si>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</si>
  <si>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</si>
  <si>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</si>
  <si>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</si>
  <si>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</si>
  <si>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</si>
  <si>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</si>
  <si>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</si>
  <si>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</si>
  <si>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</si>
  <si>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</si>
  <si>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</si>
  <si>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</si>
  <si>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</si>
  <si>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</si>
  <si>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</si>
  <si>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</si>
  <si>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</si>
  <si>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</si>
  <si>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</si>
  <si>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</si>
  <si>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</si>
  <si>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</si>
  <si>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</si>
  <si>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</si>
  <si>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</si>
  <si>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</si>
  <si>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</si>
  <si>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</si>
  <si>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</si>
  <si>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</si>
  <si>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</si>
  <si>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</si>
  <si>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</si>
  <si>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</si>
  <si>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</si>
  <si>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</si>
  <si>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</si>
  <si>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</si>
  <si>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</si>
  <si>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</si>
  <si>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</si>
  <si>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</si>
  <si>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</si>
  <si>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</si>
  <si>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</si>
  <si>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</si>
  <si>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</si>
  <si>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</si>
  <si>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</si>
  <si>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</si>
  <si>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</si>
  <si>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</si>
  <si>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</si>
  <si>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</si>
  <si>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</si>
  <si>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</si>
  <si>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</si>
  <si>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</si>
  <si>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</si>
  <si>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</si>
  <si>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</si>
  <si>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</si>
  <si>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</si>
  <si>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</si>
  <si>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</si>
  <si>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</si>
  <si>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</si>
  <si>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</si>
  <si>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</si>
  <si>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</si>
  <si>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</si>
  <si>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</si>
  <si>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</si>
  <si>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</si>
  <si>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</si>
  <si>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</si>
  <si>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</si>
  <si>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</si>
  <si>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</si>
  <si>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</si>
  <si>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</si>
  <si>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</si>
  <si>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</si>
  <si>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</si>
  <si>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</si>
  <si>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</si>
  <si>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</si>
  <si>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</si>
  <si>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</si>
  <si>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</si>
  <si>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</si>
  <si>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</si>
  <si>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</si>
  <si>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</si>
  <si>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</si>
  <si>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</si>
  <si>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</si>
  <si>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</si>
  <si>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</si>
  <si>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</si>
  <si>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</si>
  <si>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</si>
  <si>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</si>
  <si>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</si>
  <si>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</si>
  <si>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</si>
  <si>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</si>
  <si>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</si>
  <si>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</si>
  <si>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</si>
  <si>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</si>
  <si>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</si>
  <si>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</si>
  <si>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</si>
  <si>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</si>
  <si>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</si>
  <si>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</si>
  <si>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</si>
  <si>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</si>
  <si>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</si>
  <si>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</si>
  <si>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</si>
  <si>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</si>
  <si>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</si>
  <si>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</si>
  <si>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</si>
  <si>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</si>
  <si>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</si>
  <si>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</si>
  <si>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</si>
  <si>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</si>
  <si>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</si>
  <si>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</si>
  <si>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</si>
  <si>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</si>
  <si>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</si>
  <si>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</si>
  <si>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</si>
  <si>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</si>
  <si>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</si>
  <si>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</si>
  <si>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</si>
  <si>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</si>
  <si>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</si>
  <si>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</si>
  <si>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</si>
  <si>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</si>
  <si>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</si>
  <si>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</si>
  <si>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</si>
  <si>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</si>
  <si>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</si>
  <si>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</si>
  <si>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</si>
  <si>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</si>
  <si>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</si>
  <si>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</si>
  <si>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</si>
  <si>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</si>
  <si>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</si>
  <si>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</si>
  <si>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</si>
  <si>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</si>
  <si>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</si>
  <si>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</si>
  <si>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</si>
  <si>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</si>
  <si>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</si>
  <si>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</si>
  <si>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</si>
  <si>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</si>
  <si>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</si>
  <si>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</si>
  <si>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</si>
  <si>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</si>
  <si>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</si>
  <si>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</si>
  <si>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</si>
  <si>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</si>
  <si>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</si>
  <si>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</si>
  <si>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</si>
  <si>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</si>
  <si>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</si>
  <si>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</si>
  <si>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</si>
  <si>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</si>
  <si>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</si>
  <si>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</si>
  <si>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</si>
  <si>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</si>
  <si>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</si>
  <si>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</si>
  <si>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</si>
  <si>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</si>
  <si>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</si>
  <si>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</si>
  <si>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</si>
  <si>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</si>
  <si>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</si>
  <si>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</si>
  <si>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</si>
  <si>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</si>
  <si>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</si>
  <si>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</si>
  <si>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</si>
  <si>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</si>
  <si>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</si>
  <si>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</si>
  <si>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</si>
  <si>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</si>
  <si>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</si>
  <si>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</si>
  <si>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</si>
  <si>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</si>
  <si>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</si>
  <si>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</si>
  <si>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</si>
  <si>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</si>
  <si>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</si>
  <si>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</si>
  <si>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</si>
  <si>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</si>
  <si>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</si>
  <si>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</si>
  <si>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</si>
  <si>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</si>
  <si>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</si>
  <si>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</si>
  <si>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</si>
  <si>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</si>
  <si>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</si>
  <si>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</si>
  <si>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</si>
  <si>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</si>
  <si>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</si>
  <si>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</si>
  <si>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</si>
  <si>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</si>
  <si>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</si>
  <si>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</si>
  <si>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</si>
  <si>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</si>
  <si>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</si>
  <si>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</si>
  <si>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</si>
  <si>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</si>
  <si>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</si>
  <si>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</si>
  <si>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</si>
  <si>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</si>
  <si>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</si>
  <si>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</si>
  <si>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</si>
  <si>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</si>
  <si>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</si>
  <si>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</si>
  <si>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</si>
  <si>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</si>
  <si>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</si>
  <si>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</si>
  <si>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</si>
  <si>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</si>
  <si>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</si>
  <si>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</si>
  <si>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</si>
  <si>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</si>
  <si>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</si>
  <si>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</si>
  <si>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</si>
  <si>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</si>
  <si>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</si>
  <si>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</si>
  <si>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</si>
  <si>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</si>
  <si>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</si>
  <si>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</si>
  <si>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</si>
  <si>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</si>
  <si>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</si>
  <si>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</si>
  <si>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</si>
  <si>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</si>
  <si>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</si>
  <si>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</si>
  <si>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</si>
  <si>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</si>
  <si>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</si>
  <si>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</si>
  <si>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</si>
  <si>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</si>
  <si>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</si>
  <si>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</si>
  <si>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</si>
  <si>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</si>
  <si>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</si>
  <si>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</si>
  <si>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</si>
  <si>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</si>
  <si>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</si>
  <si>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</si>
  <si>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</si>
  <si>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</si>
  <si>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</si>
  <si>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</si>
  <si>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</si>
  <si>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</si>
  <si>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</si>
  <si>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</si>
  <si>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</si>
  <si>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</si>
  <si>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</si>
  <si>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</si>
  <si>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</si>
  <si>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</si>
  <si>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</si>
  <si>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</si>
  <si>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</si>
  <si>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</si>
  <si>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</si>
  <si>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</si>
  <si>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</si>
  <si>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</si>
  <si>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</si>
  <si>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</si>
  <si>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</si>
  <si>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</si>
  <si>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</si>
  <si>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</si>
  <si>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</si>
  <si>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</si>
  <si>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</si>
  <si>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Mack &amp; Associates, P.C.</t>
  </si>
  <si>
    <t>Tawnya Mack, CPA</t>
  </si>
  <si>
    <t>116 E. Washington St., Suite One</t>
  </si>
  <si>
    <t>Morris</t>
  </si>
  <si>
    <t>IL</t>
  </si>
  <si>
    <t>815-942-3306</t>
  </si>
  <si>
    <t>815-942-9430</t>
  </si>
  <si>
    <t>066-005100</t>
  </si>
  <si>
    <t>tmack@mackcpas.com</t>
  </si>
  <si>
    <t>x</t>
  </si>
  <si>
    <t>Will</t>
  </si>
  <si>
    <t>1207 N Larkin Avenue</t>
  </si>
  <si>
    <t>Joliet</t>
  </si>
  <si>
    <t>mturk@sowic.org</t>
  </si>
  <si>
    <t>Bill Roseland</t>
  </si>
  <si>
    <t>broseland@sowic.org</t>
  </si>
  <si>
    <t>815-741-7777</t>
  </si>
  <si>
    <t>815-741-7779</t>
  </si>
  <si>
    <t>PDF in Opinion Page with signature</t>
  </si>
  <si>
    <t>Lincoln Way Area Affiliation</t>
  </si>
  <si>
    <t>Direct Energy</t>
  </si>
  <si>
    <t>Joliet Township District 204; Wilmington 209U</t>
  </si>
  <si>
    <t>Greenscape</t>
  </si>
  <si>
    <t>Mudron Kane Insurance</t>
  </si>
  <si>
    <t>PMA</t>
  </si>
  <si>
    <t>Franczek Radelet; Hinshaw &amp; Culbertson</t>
  </si>
  <si>
    <t>IAASE; Professional Development Alliance</t>
  </si>
  <si>
    <t>See Below</t>
  </si>
  <si>
    <t>Dave's D Computers</t>
  </si>
  <si>
    <t>Illinois Central School Bus</t>
  </si>
  <si>
    <t>Line 16 Continued:  Reed Custer 255U; Channahon #17.</t>
  </si>
  <si>
    <t xml:space="preserve">Line 26:  Reed Custer 255U; Troy District 30C; Channahon District 17; Union District 81; Elwood CCSD 203; Beecher CUSD 200U; Wilmington 209U; Laraway CCSD 70C; </t>
  </si>
  <si>
    <t>Peotone 207U; Rockdale 84.</t>
  </si>
  <si>
    <t>1999 - Other Local Revenues - Health Ins. Reimb., TRS Reimb.</t>
  </si>
  <si>
    <t>4999 - Other Federal Sources - STEP Grant</t>
  </si>
  <si>
    <t>1993- Other Local Fees- Miscellanous revenue</t>
  </si>
  <si>
    <t>N/A</t>
  </si>
  <si>
    <t>84.173A</t>
  </si>
  <si>
    <t>84.027A</t>
  </si>
  <si>
    <t>US DEPARTMENT OF EDUCATION:</t>
  </si>
  <si>
    <t xml:space="preserve">  PASSED THROUGH ISBE:</t>
  </si>
  <si>
    <t xml:space="preserve">    SPECIAL EDUCATION (IDEA) CLUSTER (M):</t>
  </si>
  <si>
    <t xml:space="preserve">      PRESCHOOL FLOW-THROUGH 2018</t>
  </si>
  <si>
    <t>2018-4600</t>
  </si>
  <si>
    <t xml:space="preserve">      IDEA FLOW-THROUGH 2018</t>
  </si>
  <si>
    <t>2018-4620</t>
  </si>
  <si>
    <t xml:space="preserve">    TOTAL SPECIAL EDUCATION (IDEA) CLUSTER</t>
  </si>
  <si>
    <t xml:space="preserve">  PASSED THROUGH IL DEPT OF REHABILITATION:</t>
  </si>
  <si>
    <t>TOTAL US DEPARTMENT OF EDUCATION</t>
  </si>
  <si>
    <t>US DEPARTMENT OF HEALTH AND HUMAN SERVICES:</t>
  </si>
  <si>
    <t xml:space="preserve">  PASSED THROUGH IL DHCFS:</t>
  </si>
  <si>
    <t xml:space="preserve">    MEDICAL ASSITANCE PROGRAM - 2018</t>
  </si>
  <si>
    <t>2018-4991</t>
  </si>
  <si>
    <t>TOTAL US DEPARTMENT OF HEALTH AND HUMAN SERVICES</t>
  </si>
  <si>
    <t>US DEPARTMENT OF AGRICULTURE:</t>
  </si>
  <si>
    <t xml:space="preserve">    NATIONAL SCHOOL LUNCH PROGRAM - 2018</t>
  </si>
  <si>
    <t>2018-4210</t>
  </si>
  <si>
    <t xml:space="preserve">    SCHOOL BREAKFAST PROGRAM - 2018</t>
  </si>
  <si>
    <t>2018-4220</t>
  </si>
  <si>
    <t xml:space="preserve">    SPECIAL MILK PROGRAM - 2018</t>
  </si>
  <si>
    <t>2018-4215</t>
  </si>
  <si>
    <t>TOTAL US DEPARTMENT OF AGRICULTURE</t>
  </si>
  <si>
    <t>TOTAL FEDERAL AWARDS</t>
  </si>
  <si>
    <t xml:space="preserve">      PRESCHOOL FLOW-THROUGH 2019</t>
  </si>
  <si>
    <t xml:space="preserve">      IDEA FLOW-THROUGH 2019</t>
  </si>
  <si>
    <t>2019-4620</t>
  </si>
  <si>
    <t>2019-4600</t>
  </si>
  <si>
    <t xml:space="preserve">    MEDICAL ASSITANCE PROGRAM - 2019</t>
  </si>
  <si>
    <t>2019-4991</t>
  </si>
  <si>
    <t xml:space="preserve">    NATIONAL SCHOOL LUNCH PROGRAM - 2019</t>
  </si>
  <si>
    <t xml:space="preserve">    SCHOOL BREAKFAST PROGRAM - 2019</t>
  </si>
  <si>
    <t xml:space="preserve">    SPECIAL MILK PROGRAM - 2019</t>
  </si>
  <si>
    <t>2019-4210</t>
  </si>
  <si>
    <t>2019-4220</t>
  </si>
  <si>
    <t>2019-4215</t>
  </si>
  <si>
    <t xml:space="preserve">    STEP GRANT- 2018</t>
  </si>
  <si>
    <t xml:space="preserve">    STEP GRANT- 2019</t>
  </si>
  <si>
    <t>Of the federal expenditures presented in the schedule,  Southern Will County Cooperative for Special Education provided federal awards to subrecipients as follows:</t>
  </si>
  <si>
    <r>
      <t xml:space="preserve">The following amounts were expended in the form of non-cash assistance by  Southern Will County Cooperative for Special Education and </t>
    </r>
    <r>
      <rPr>
        <b/>
        <sz val="9"/>
        <rFont val="Calibri"/>
        <family val="2"/>
        <scheme val="minor"/>
      </rPr>
      <t>should be</t>
    </r>
    <r>
      <rPr>
        <sz val="9"/>
        <rFont val="Calibri"/>
        <family val="2"/>
        <scheme val="minor"/>
      </rPr>
      <t xml:space="preserve"> included in the Schedule of Expenditures of Federal Awards:</t>
    </r>
  </si>
  <si>
    <t>The accompanying Schedule of Expenditures of Federal Awards includes the federal grant activity of  Southern Will County Cooperative for Special Education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General-Purpose financial statements.</t>
  </si>
  <si>
    <t>SEE PAGE 47 OF AUDIT PDF IN OPINION TAB</t>
  </si>
  <si>
    <t>Unmodified</t>
  </si>
  <si>
    <t>84.173A/ 84.027A</t>
  </si>
  <si>
    <t>SPECIAL EDUCATION (IDEA) CLUSTER</t>
  </si>
  <si>
    <t>none</t>
  </si>
  <si>
    <t>ED FUND- TRANSPORTATION TO JJC- PURCHASED SERVICES</t>
  </si>
  <si>
    <t>10-1000-300</t>
  </si>
  <si>
    <t>ILLINOIS CENTRAL SCHOOL BUS</t>
  </si>
  <si>
    <t>ED- CONTRACTUAL- PURCHASED SERVICES</t>
  </si>
  <si>
    <t>10-2100-300</t>
  </si>
  <si>
    <t>SUNBELT STAFFING</t>
  </si>
  <si>
    <t>2018-4951</t>
  </si>
  <si>
    <t>2019-4951</t>
  </si>
  <si>
    <t>S Will Co Coop for Spec Ed</t>
  </si>
  <si>
    <t>56099255U61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</si>
</sst>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2" fillId="0" borderId="0"/>
  </cellStyleXfs>
  <cellXfs count="249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133" fillId="0" borderId="105" xfId="19" applyNumberFormat="1" applyFont="1" applyBorder="1" applyAlignment="1" applyProtection="1">
      <alignment horizontal="center" vertical="center"/>
      <protection locked="0"/>
    </xf>
    <xf numFmtId="49" fontId="133" fillId="0" borderId="107" xfId="19" applyNumberFormat="1" applyFont="1" applyFill="1" applyBorder="1" applyAlignment="1" applyProtection="1">
      <alignment horizontal="center" vertical="center"/>
      <protection locked="0"/>
    </xf>
    <xf numFmtId="0" fontId="100" fillId="0" borderId="105" xfId="19" applyFont="1" applyBorder="1" applyProtection="1">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25" xfId="12" applyFont="1" applyBorder="1" applyAlignment="1" applyProtection="1">
      <alignment horizontal="left" vertical="center" readingOrder="1"/>
      <protection locked="0"/>
    </xf>
    <xf numFmtId="0" fontId="13" fillId="0" borderId="128" xfId="0" applyFont="1" applyBorder="1" applyAlignment="1" applyProtection="1">
      <alignment horizontal="left" vertical="center" readingOrder="1"/>
      <protection locked="0"/>
    </xf>
    <xf numFmtId="0" fontId="10" fillId="0" borderId="128" xfId="0" applyFont="1" applyBorder="1" applyAlignment="1" applyProtection="1">
      <alignment vertical="center" readingOrder="1"/>
      <protection locked="0"/>
    </xf>
    <xf numFmtId="0" fontId="10" fillId="0" borderId="126" xfId="0" applyFont="1" applyBorder="1" applyAlignment="1" applyProtection="1">
      <alignment vertical="center" readingOrder="1"/>
      <protection locked="0"/>
    </xf>
    <xf numFmtId="0" fontId="13" fillId="0" borderId="125" xfId="12" applyFont="1" applyBorder="1" applyAlignment="1" applyProtection="1">
      <alignment horizontal="left" vertical="center"/>
      <protection locked="0"/>
    </xf>
    <xf numFmtId="0" fontId="13" fillId="0" borderId="128" xfId="0" applyFont="1" applyBorder="1" applyAlignment="1" applyProtection="1">
      <alignment horizontal="left" vertical="center"/>
      <protection locked="0"/>
    </xf>
    <xf numFmtId="0" fontId="10" fillId="0" borderId="128" xfId="0" applyFont="1" applyBorder="1" applyAlignment="1" applyProtection="1">
      <alignment vertical="center"/>
      <protection locked="0"/>
    </xf>
    <xf numFmtId="0" fontId="10" fillId="0" borderId="126"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25" xfId="12"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33" fillId="0" borderId="125" xfId="2" applyBorder="1" applyAlignment="1" applyProtection="1">
      <protection locked="0"/>
    </xf>
    <xf numFmtId="0" fontId="16" fillId="0" borderId="128" xfId="0" applyFont="1" applyBorder="1" applyProtection="1">
      <protection locked="0"/>
    </xf>
    <xf numFmtId="0" fontId="16" fillId="0" borderId="126" xfId="0" applyFont="1" applyBorder="1" applyProtection="1">
      <protection locked="0"/>
    </xf>
    <xf numFmtId="0" fontId="13" fillId="0" borderId="17" xfId="12" applyFont="1" applyBorder="1" applyAlignment="1" applyProtection="1">
      <alignment horizontal="left" vertical="center" indent="1"/>
      <protection locked="0"/>
    </xf>
    <xf numFmtId="0" fontId="13" fillId="0" borderId="0" xfId="0" applyFont="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Alignment="1" applyProtection="1">
      <alignment horizontal="left" vertical="center" indent="1"/>
      <protection locked="0"/>
    </xf>
    <xf numFmtId="0" fontId="13" fillId="0" borderId="19" xfId="1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Font="1" applyBorder="1" applyAlignment="1" applyProtection="1">
      <alignment horizontal="left" vertical="center" indent="1"/>
      <protection locked="0"/>
    </xf>
    <xf numFmtId="0" fontId="13" fillId="0" borderId="126" xfId="12"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9" applyFont="1" applyBorder="1" applyAlignment="1" applyProtection="1">
      <alignment vertical="top" wrapText="1"/>
      <protection locked="0"/>
    </xf>
    <xf numFmtId="0" fontId="49" fillId="0" borderId="0" xfId="19" applyFont="1" applyBorder="1" applyAlignment="1" applyProtection="1">
      <alignment vertical="top" wrapText="1"/>
      <protection locked="0"/>
    </xf>
    <xf numFmtId="0" fontId="49" fillId="0" borderId="97" xfId="19" applyFont="1" applyBorder="1" applyAlignment="1" applyProtection="1">
      <alignment vertical="top" wrapText="1"/>
      <protection locked="0"/>
    </xf>
    <xf numFmtId="0" fontId="49" fillId="0" borderId="98" xfId="19" applyFont="1" applyBorder="1" applyAlignment="1" applyProtection="1">
      <alignment vertical="top" wrapText="1"/>
      <protection locked="0"/>
    </xf>
    <xf numFmtId="0" fontId="49" fillId="0" borderId="78" xfId="19" applyFont="1" applyBorder="1" applyAlignment="1" applyProtection="1">
      <alignment vertical="top" wrapText="1"/>
      <protection locked="0"/>
    </xf>
    <xf numFmtId="0" fontId="49" fillId="0" borderId="99" xfId="19"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_Shared Outsourced Services 31" xfId="19" xr:uid="{00000000-0005-0000-0000-000008000000}"/>
    <cellStyle name="Normal 3 2_Itemization 33" xfId="21" xr:uid="{00000000-0005-0000-0000-000009000000}"/>
    <cellStyle name="Normal 3_Itemization 33" xfId="20" xr:uid="{00000000-0005-0000-0000-00000A000000}"/>
    <cellStyle name="Normal 4" xfId="16" xr:uid="{00000000-0005-0000-0000-00000B000000}"/>
    <cellStyle name="Normal 5" xfId="17"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914400</xdr:colOff>
          <xdr:row>15</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914400</xdr:colOff>
          <xdr:row>20</xdr:row>
          <xdr:rowOff>38100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400-000004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80" zoomScaleNormal="8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1985" t="s">
        <v>405</v>
      </c>
      <c r="J1" s="1986"/>
      <c r="K1" s="1986"/>
      <c r="L1" s="1986"/>
      <c r="M1" s="1986"/>
      <c r="N1" s="1986"/>
      <c r="O1" s="1986"/>
      <c r="P1" s="1986"/>
      <c r="Q1" s="1986"/>
      <c r="R1" s="1986"/>
      <c r="S1" s="1986"/>
    </row>
    <row r="2" spans="1:28" ht="12" customHeight="1" x14ac:dyDescent="0.2">
      <c r="A2" s="47" t="s">
        <v>1988</v>
      </c>
      <c r="D2" s="48"/>
      <c r="I2" s="1987" t="s">
        <v>979</v>
      </c>
      <c r="J2" s="1986"/>
      <c r="K2" s="1986"/>
      <c r="L2" s="1986"/>
      <c r="M2" s="1986"/>
      <c r="N2" s="1986"/>
      <c r="O2" s="1986"/>
      <c r="P2" s="1986"/>
      <c r="Q2" s="1986"/>
      <c r="R2" s="1986"/>
      <c r="S2" s="1986"/>
    </row>
    <row r="3" spans="1:28" ht="12" customHeight="1" x14ac:dyDescent="0.2">
      <c r="A3" s="155" t="s">
        <v>1940</v>
      </c>
      <c r="B3" s="156"/>
      <c r="C3" s="156"/>
      <c r="D3" s="157"/>
      <c r="I3" s="1987" t="s">
        <v>52</v>
      </c>
      <c r="J3" s="1986"/>
      <c r="K3" s="1986"/>
      <c r="L3" s="1986"/>
      <c r="M3" s="1986"/>
      <c r="N3" s="1986"/>
      <c r="O3" s="1986"/>
      <c r="P3" s="1986"/>
      <c r="Q3" s="1986"/>
      <c r="R3" s="1986"/>
      <c r="S3" s="1986"/>
    </row>
    <row r="4" spans="1:28" ht="12" customHeight="1" x14ac:dyDescent="0.2">
      <c r="A4" s="37"/>
      <c r="I4" s="1987" t="s">
        <v>524</v>
      </c>
      <c r="J4" s="1986"/>
      <c r="K4" s="1986"/>
      <c r="L4" s="1986"/>
      <c r="M4" s="1986"/>
      <c r="N4" s="1986"/>
      <c r="O4" s="1986"/>
      <c r="P4" s="1986"/>
      <c r="Q4" s="1986"/>
      <c r="R4" s="1986"/>
      <c r="S4" s="1986"/>
    </row>
    <row r="5" spans="1:28" ht="14.1" customHeight="1" x14ac:dyDescent="0.2">
      <c r="B5" s="104"/>
      <c r="C5" s="26" t="s">
        <v>910</v>
      </c>
      <c r="D5" s="84"/>
      <c r="E5" s="84"/>
      <c r="H5" s="38"/>
      <c r="I5" s="1995" t="s">
        <v>680</v>
      </c>
      <c r="J5" s="1994"/>
      <c r="K5" s="1994"/>
      <c r="L5" s="1994"/>
      <c r="M5" s="1994"/>
      <c r="N5" s="1994"/>
      <c r="O5" s="1994"/>
      <c r="P5" s="1994"/>
      <c r="Q5" s="1994"/>
      <c r="R5" s="1994"/>
      <c r="S5" s="1994"/>
    </row>
    <row r="6" spans="1:28" ht="14.1" customHeight="1" x14ac:dyDescent="0.2">
      <c r="B6" s="104" t="s">
        <v>2070</v>
      </c>
      <c r="C6" s="26" t="s">
        <v>911</v>
      </c>
      <c r="D6" s="84"/>
      <c r="E6" s="84"/>
      <c r="I6" s="1993" t="s">
        <v>883</v>
      </c>
      <c r="J6" s="1994"/>
      <c r="K6" s="1994"/>
      <c r="L6" s="1994"/>
      <c r="M6" s="1994"/>
      <c r="N6" s="1994"/>
      <c r="O6" s="1994"/>
      <c r="P6" s="1994"/>
      <c r="Q6" s="1994"/>
      <c r="R6" s="1994"/>
      <c r="S6" s="1994"/>
    </row>
    <row r="7" spans="1:28" ht="12.2" customHeight="1" x14ac:dyDescent="0.2">
      <c r="I7" s="1988">
        <v>43646</v>
      </c>
      <c r="J7" s="1989"/>
      <c r="K7" s="1989"/>
      <c r="L7" s="1989"/>
      <c r="M7" s="1989"/>
      <c r="N7" s="1989"/>
      <c r="O7" s="1989"/>
      <c r="P7" s="1989"/>
      <c r="Q7" s="1989"/>
      <c r="R7" s="1989"/>
      <c r="S7" s="198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0" t="s">
        <v>674</v>
      </c>
      <c r="J9" s="1991"/>
      <c r="K9" s="1991"/>
      <c r="L9" s="1991"/>
      <c r="M9" s="1991"/>
      <c r="N9" s="1991"/>
      <c r="O9" s="1991"/>
      <c r="P9" s="1991"/>
      <c r="Q9" s="1991"/>
      <c r="R9" s="1991"/>
      <c r="S9" s="1992"/>
      <c r="T9" s="2006" t="s">
        <v>533</v>
      </c>
      <c r="U9" s="2007"/>
      <c r="V9" s="2007"/>
      <c r="W9" s="2007"/>
      <c r="X9" s="2007"/>
      <c r="Y9" s="2007"/>
      <c r="Z9" s="2007"/>
      <c r="AA9" s="2008"/>
    </row>
    <row r="10" spans="1:28" ht="13.5" customHeight="1" x14ac:dyDescent="0.2">
      <c r="A10" s="2013" t="s">
        <v>675</v>
      </c>
      <c r="B10" s="2014"/>
      <c r="C10" s="2014"/>
      <c r="D10" s="2014"/>
      <c r="E10" s="2014"/>
      <c r="F10" s="2014"/>
      <c r="G10" s="2014"/>
      <c r="H10" s="2015"/>
      <c r="I10" s="29"/>
      <c r="J10" s="30"/>
      <c r="K10" s="28"/>
      <c r="R10" s="30"/>
      <c r="S10" s="30"/>
      <c r="T10" s="2009"/>
      <c r="U10" s="1994"/>
      <c r="V10" s="1994"/>
      <c r="W10" s="1994"/>
      <c r="X10" s="1994"/>
      <c r="Y10" s="1994"/>
      <c r="Z10" s="1994"/>
      <c r="AA10" s="2000"/>
    </row>
    <row r="11" spans="1:28" ht="14.25" customHeight="1" x14ac:dyDescent="0.2">
      <c r="A11" s="2016" t="s">
        <v>955</v>
      </c>
      <c r="B11" s="2017"/>
      <c r="C11" s="2017"/>
      <c r="D11" s="2017"/>
      <c r="E11" s="2017"/>
      <c r="F11" s="2017"/>
      <c r="G11" s="2017"/>
      <c r="H11" s="2018"/>
      <c r="I11" s="27"/>
      <c r="J11" s="74"/>
      <c r="K11" s="27"/>
      <c r="O11" s="148" t="s">
        <v>2070</v>
      </c>
      <c r="P11" s="100" t="s">
        <v>201</v>
      </c>
      <c r="Q11" s="30"/>
      <c r="R11" s="28"/>
      <c r="S11" s="27"/>
      <c r="T11" s="2010"/>
      <c r="U11" s="2011"/>
      <c r="V11" s="2011"/>
      <c r="W11" s="2011"/>
      <c r="X11" s="2011"/>
      <c r="Y11" s="2011"/>
      <c r="Z11" s="2011"/>
      <c r="AA11" s="201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0" t="s">
        <v>2155</v>
      </c>
      <c r="B13" s="2021"/>
      <c r="C13" s="2021"/>
      <c r="D13" s="2021"/>
      <c r="E13" s="2021"/>
      <c r="F13" s="2021"/>
      <c r="G13" s="2021"/>
      <c r="H13" s="2022"/>
      <c r="I13" s="31"/>
      <c r="J13" s="30"/>
      <c r="K13" s="28"/>
      <c r="L13" s="30"/>
      <c r="M13" s="30"/>
      <c r="N13" s="30"/>
      <c r="O13" s="30"/>
      <c r="P13" s="30"/>
      <c r="Q13" s="30"/>
      <c r="R13" s="30"/>
      <c r="S13" s="30"/>
      <c r="T13" s="2025" t="s">
        <v>2061</v>
      </c>
      <c r="U13" s="2026"/>
      <c r="V13" s="2026"/>
      <c r="W13" s="2026"/>
      <c r="X13" s="2026"/>
      <c r="Y13" s="2027"/>
      <c r="Z13" s="2027"/>
      <c r="AA13" s="202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9" t="s">
        <v>2071</v>
      </c>
      <c r="B15" s="2023"/>
      <c r="C15" s="2023"/>
      <c r="D15" s="2023"/>
      <c r="E15" s="2023"/>
      <c r="F15" s="2023"/>
      <c r="G15" s="2023"/>
      <c r="H15" s="2024"/>
      <c r="T15" s="2029" t="s">
        <v>2062</v>
      </c>
      <c r="U15" s="2030"/>
      <c r="V15" s="2030"/>
      <c r="W15" s="2030"/>
      <c r="X15" s="2030"/>
      <c r="Y15" s="2031"/>
      <c r="Z15" s="2031"/>
      <c r="AA15" s="203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9" t="s">
        <v>2154</v>
      </c>
      <c r="B17" s="1980"/>
      <c r="C17" s="1980"/>
      <c r="D17" s="1980"/>
      <c r="E17" s="1980"/>
      <c r="F17" s="1980"/>
      <c r="G17" s="1980"/>
      <c r="H17" s="2005"/>
      <c r="T17" s="2037" t="s">
        <v>2063</v>
      </c>
      <c r="U17" s="2038"/>
      <c r="V17" s="2038"/>
      <c r="W17" s="2038"/>
      <c r="X17" s="2038"/>
      <c r="Y17" s="2038"/>
      <c r="Z17" s="2038"/>
      <c r="AA17" s="2039"/>
    </row>
    <row r="18" spans="1:27" ht="13.5" customHeight="1" x14ac:dyDescent="0.2">
      <c r="A18" s="85" t="s">
        <v>530</v>
      </c>
      <c r="B18" s="76"/>
      <c r="C18" s="72"/>
      <c r="D18" s="76"/>
      <c r="E18" s="76"/>
      <c r="F18" s="76"/>
      <c r="G18" s="76"/>
      <c r="H18" s="56"/>
      <c r="I18" s="2004" t="s">
        <v>676</v>
      </c>
      <c r="J18" s="1955"/>
      <c r="K18" s="1955"/>
      <c r="L18" s="1955"/>
      <c r="M18" s="1955"/>
      <c r="N18" s="1955"/>
      <c r="O18" s="1955"/>
      <c r="P18" s="1955"/>
      <c r="Q18" s="1955"/>
      <c r="R18" s="1955"/>
      <c r="S18" s="1956"/>
      <c r="T18" s="85" t="s">
        <v>711</v>
      </c>
      <c r="U18" s="51"/>
      <c r="V18" s="72"/>
      <c r="W18" s="50"/>
      <c r="X18" s="85" t="s">
        <v>266</v>
      </c>
      <c r="Y18" s="81"/>
      <c r="Z18" s="159" t="s">
        <v>677</v>
      </c>
      <c r="AA18" s="46"/>
    </row>
    <row r="19" spans="1:27" ht="13.5" customHeight="1" x14ac:dyDescent="0.2">
      <c r="A19" s="2019" t="s">
        <v>2072</v>
      </c>
      <c r="B19" s="1965"/>
      <c r="C19" s="1965"/>
      <c r="D19" s="1965"/>
      <c r="E19" s="1965"/>
      <c r="F19" s="1965"/>
      <c r="G19" s="1965"/>
      <c r="H19" s="1945"/>
      <c r="I19" s="30"/>
      <c r="J19" s="99"/>
      <c r="K19" s="40"/>
      <c r="L19" s="38"/>
      <c r="M19" s="112" t="s">
        <v>315</v>
      </c>
      <c r="P19" s="27"/>
      <c r="Q19" s="27"/>
      <c r="R19" s="27"/>
      <c r="S19" s="31"/>
      <c r="T19" s="2019" t="s">
        <v>2064</v>
      </c>
      <c r="U19" s="1944"/>
      <c r="V19" s="1944"/>
      <c r="W19" s="1945"/>
      <c r="X19" s="2035" t="s">
        <v>2065</v>
      </c>
      <c r="Y19" s="2036"/>
      <c r="Z19" s="2033">
        <v>60450</v>
      </c>
      <c r="AA19" s="203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3" t="s">
        <v>2073</v>
      </c>
      <c r="B21" s="1944"/>
      <c r="C21" s="1944"/>
      <c r="D21" s="1944"/>
      <c r="E21" s="1944"/>
      <c r="F21" s="1944"/>
      <c r="G21" s="1944"/>
      <c r="H21" s="1945"/>
      <c r="I21" s="1999" t="s">
        <v>678</v>
      </c>
      <c r="J21" s="1994"/>
      <c r="K21" s="1994"/>
      <c r="L21" s="1994"/>
      <c r="M21" s="1994"/>
      <c r="N21" s="1994"/>
      <c r="O21" s="1994"/>
      <c r="P21" s="1994"/>
      <c r="Q21" s="1994"/>
      <c r="R21" s="1994"/>
      <c r="S21" s="2000"/>
      <c r="T21" s="2045" t="s">
        <v>2066</v>
      </c>
      <c r="U21" s="2046"/>
      <c r="V21" s="2046"/>
      <c r="W21" s="2046"/>
      <c r="X21" s="2052" t="s">
        <v>2067</v>
      </c>
      <c r="Y21" s="2053"/>
      <c r="Z21" s="2053"/>
      <c r="AA21" s="2054"/>
    </row>
    <row r="22" spans="1:27" ht="13.5" customHeight="1" x14ac:dyDescent="0.2">
      <c r="A22" s="87" t="s">
        <v>531</v>
      </c>
      <c r="B22" s="59"/>
      <c r="C22" s="59"/>
      <c r="D22" s="59"/>
      <c r="E22" s="59"/>
      <c r="F22" s="59"/>
      <c r="G22" s="59"/>
      <c r="H22" s="60"/>
      <c r="I22" s="2001" t="s">
        <v>1429</v>
      </c>
      <c r="J22" s="2002"/>
      <c r="K22" s="2002"/>
      <c r="L22" s="2002"/>
      <c r="M22" s="2002"/>
      <c r="N22" s="2002"/>
      <c r="O22" s="2002"/>
      <c r="P22" s="2002"/>
      <c r="Q22" s="2002"/>
      <c r="R22" s="2002"/>
      <c r="S22" s="2003"/>
      <c r="T22" s="85" t="s">
        <v>1516</v>
      </c>
      <c r="U22" s="51"/>
      <c r="V22" s="72"/>
      <c r="W22" s="51"/>
      <c r="X22" s="160" t="s">
        <v>1318</v>
      </c>
      <c r="Z22" s="45"/>
      <c r="AA22" s="46"/>
    </row>
    <row r="23" spans="1:27" ht="13.5" customHeight="1" x14ac:dyDescent="0.2">
      <c r="A23" s="1996" t="s">
        <v>2074</v>
      </c>
      <c r="B23" s="1997"/>
      <c r="C23" s="1997"/>
      <c r="D23" s="1997"/>
      <c r="E23" s="1997"/>
      <c r="F23" s="1997"/>
      <c r="G23" s="1997"/>
      <c r="H23" s="1998"/>
      <c r="T23" s="2043" t="s">
        <v>2068</v>
      </c>
      <c r="U23" s="2044"/>
      <c r="V23" s="2044"/>
      <c r="W23" s="2044"/>
      <c r="X23" s="2049">
        <v>44530</v>
      </c>
      <c r="Y23" s="2050"/>
      <c r="Z23" s="2050"/>
      <c r="AA23" s="2051"/>
    </row>
    <row r="24" spans="1:27" ht="14.1" customHeight="1" x14ac:dyDescent="0.2">
      <c r="A24" s="88" t="s">
        <v>677</v>
      </c>
      <c r="B24" s="49"/>
      <c r="C24" s="49"/>
      <c r="D24" s="49"/>
      <c r="E24" s="49"/>
      <c r="F24" s="49"/>
      <c r="G24" s="49"/>
      <c r="H24" s="61"/>
      <c r="J24" s="1966" t="str">
        <f>IF(B5="x",IF(AUDITCHECK!D29="AFR form Incomplete.","",IF(AUDITCHECK!D29="Deficit reduction plan is required.","School District must complete a deficit reduction plan in the 2019-2020 Budget",)),"")</f>
        <v/>
      </c>
      <c r="K24" s="1966"/>
      <c r="L24" s="1966"/>
      <c r="M24" s="1966"/>
      <c r="N24" s="1966"/>
      <c r="O24" s="1966"/>
      <c r="P24" s="1966"/>
      <c r="Q24" s="1966"/>
      <c r="R24" s="1966"/>
      <c r="S24" s="1967"/>
      <c r="T24" s="105" t="s">
        <v>531</v>
      </c>
      <c r="U24" s="106"/>
      <c r="V24" s="106"/>
      <c r="W24" s="106"/>
      <c r="X24" s="107"/>
      <c r="Y24" s="107"/>
      <c r="Z24" s="107"/>
      <c r="AA24" s="108"/>
    </row>
    <row r="25" spans="1:27" ht="14.1" customHeight="1" x14ac:dyDescent="0.2">
      <c r="A25" s="1943">
        <v>60435</v>
      </c>
      <c r="B25" s="1944"/>
      <c r="C25" s="1944"/>
      <c r="D25" s="1944"/>
      <c r="E25" s="1944"/>
      <c r="F25" s="1944"/>
      <c r="G25" s="1944"/>
      <c r="H25" s="1945"/>
      <c r="I25" s="113"/>
      <c r="J25" s="1968"/>
      <c r="K25" s="1968"/>
      <c r="L25" s="1968"/>
      <c r="M25" s="1968"/>
      <c r="N25" s="1968"/>
      <c r="O25" s="1968"/>
      <c r="P25" s="1968"/>
      <c r="Q25" s="1968"/>
      <c r="R25" s="1968"/>
      <c r="S25" s="1969"/>
      <c r="T25" s="2040" t="s">
        <v>2069</v>
      </c>
      <c r="U25" s="2041"/>
      <c r="V25" s="2041"/>
      <c r="W25" s="2041"/>
      <c r="X25" s="2041"/>
      <c r="Y25" s="2041"/>
      <c r="Z25" s="2041"/>
      <c r="AA25" s="20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4" t="s">
        <v>1511</v>
      </c>
      <c r="J27" s="1955"/>
      <c r="K27" s="1955"/>
      <c r="L27" s="1955"/>
      <c r="M27" s="1955"/>
      <c r="N27" s="1955"/>
      <c r="O27" s="1955"/>
      <c r="P27" s="1955"/>
      <c r="Q27" s="1955"/>
      <c r="R27" s="1955"/>
      <c r="S27" s="195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2070</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48" t="s">
        <v>2070</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2070</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2070</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5"/>
      <c r="Q35" s="1944"/>
      <c r="R35" s="194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9" t="s">
        <v>2075</v>
      </c>
      <c r="B38" s="1980"/>
      <c r="C38" s="1980"/>
      <c r="D38" s="1980"/>
      <c r="E38" s="1980"/>
      <c r="F38" s="1944"/>
      <c r="G38" s="1944"/>
      <c r="H38" s="1945"/>
      <c r="I38" s="1972"/>
      <c r="J38" s="1973"/>
      <c r="K38" s="1973"/>
      <c r="L38" s="1973"/>
      <c r="M38" s="1973"/>
      <c r="N38" s="1973"/>
      <c r="O38" s="1973"/>
      <c r="P38" s="1974"/>
      <c r="Q38" s="1974"/>
      <c r="R38" s="1974"/>
      <c r="S38" s="1975"/>
      <c r="T38" s="2047"/>
      <c r="U38" s="1973"/>
      <c r="V38" s="1973"/>
      <c r="W38" s="1973"/>
      <c r="X38" s="1974"/>
      <c r="Y38" s="1974"/>
      <c r="Z38" s="1974"/>
      <c r="AA38" s="1975"/>
    </row>
    <row r="39" spans="1:27" ht="12" customHeight="1" x14ac:dyDescent="0.2">
      <c r="A39" s="1949" t="s">
        <v>531</v>
      </c>
      <c r="B39" s="1950"/>
      <c r="C39" s="72"/>
      <c r="D39" s="69"/>
      <c r="E39" s="69"/>
      <c r="F39" s="79"/>
      <c r="G39" s="69"/>
      <c r="H39" s="56"/>
      <c r="I39" s="1949" t="s">
        <v>531</v>
      </c>
      <c r="J39" s="1950"/>
      <c r="K39" s="1950"/>
      <c r="L39" s="1950"/>
      <c r="M39" s="1950"/>
      <c r="N39" s="67"/>
      <c r="O39" s="72"/>
      <c r="P39" s="72"/>
      <c r="Q39" s="78"/>
      <c r="R39" s="72"/>
      <c r="S39" s="56"/>
      <c r="T39" s="72" t="s">
        <v>531</v>
      </c>
      <c r="U39" s="51"/>
      <c r="V39" s="72"/>
      <c r="W39" s="50"/>
      <c r="X39" s="78"/>
      <c r="Y39" s="45"/>
      <c r="Z39" s="45"/>
      <c r="AA39" s="46"/>
    </row>
    <row r="40" spans="1:27" ht="13.5" customHeight="1" x14ac:dyDescent="0.2">
      <c r="A40" s="1957" t="s">
        <v>2076</v>
      </c>
      <c r="B40" s="1958"/>
      <c r="C40" s="1959"/>
      <c r="D40" s="1959"/>
      <c r="E40" s="1959"/>
      <c r="F40" s="1960"/>
      <c r="G40" s="1960"/>
      <c r="H40" s="1961"/>
      <c r="I40" s="1982"/>
      <c r="J40" s="1983"/>
      <c r="K40" s="1983"/>
      <c r="L40" s="1983"/>
      <c r="M40" s="1983"/>
      <c r="N40" s="1983"/>
      <c r="O40" s="1983"/>
      <c r="P40" s="1983"/>
      <c r="Q40" s="1983"/>
      <c r="R40" s="1983"/>
      <c r="S40" s="1984"/>
      <c r="T40" s="1982"/>
      <c r="U40" s="2048"/>
      <c r="V40" s="1983"/>
      <c r="W40" s="1983"/>
      <c r="X40" s="1983"/>
      <c r="Y40" s="1983"/>
      <c r="Z40" s="1983"/>
      <c r="AA40" s="198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1" t="s">
        <v>2077</v>
      </c>
      <c r="B42" s="1963"/>
      <c r="C42" s="1964"/>
      <c r="D42" s="1962" t="s">
        <v>2078</v>
      </c>
      <c r="E42" s="1963"/>
      <c r="F42" s="1963"/>
      <c r="G42" s="1963"/>
      <c r="H42" s="1964"/>
      <c r="I42" s="1946"/>
      <c r="J42" s="1947"/>
      <c r="K42" s="1947"/>
      <c r="L42" s="1947"/>
      <c r="M42" s="1947"/>
      <c r="N42" s="1947"/>
      <c r="O42" s="1948"/>
      <c r="P42" s="1981"/>
      <c r="Q42" s="1947"/>
      <c r="R42" s="1947"/>
      <c r="S42" s="1948"/>
      <c r="T42" s="1946"/>
      <c r="U42" s="1947"/>
      <c r="V42" s="1947"/>
      <c r="W42" s="1948"/>
      <c r="X42" s="1981"/>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6"/>
      <c r="B44" s="1977"/>
      <c r="C44" s="1977"/>
      <c r="D44" s="1977"/>
      <c r="E44" s="1977"/>
      <c r="F44" s="1977"/>
      <c r="G44" s="1977"/>
      <c r="H44" s="1978"/>
      <c r="I44" s="1951"/>
      <c r="J44" s="1952"/>
      <c r="K44" s="1952"/>
      <c r="L44" s="1952"/>
      <c r="M44" s="1952"/>
      <c r="N44" s="1952"/>
      <c r="O44" s="1952"/>
      <c r="P44" s="1952"/>
      <c r="Q44" s="1952"/>
      <c r="R44" s="1952"/>
      <c r="S44" s="1953"/>
      <c r="T44" s="1951"/>
      <c r="U44" s="1970"/>
      <c r="V44" s="1970"/>
      <c r="W44" s="1970"/>
      <c r="X44" s="1970"/>
      <c r="Y44" s="1970"/>
      <c r="Z44" s="1952"/>
      <c r="AA44" s="195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B1" sqref="B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8" t="s">
        <v>1799</v>
      </c>
      <c r="B2" s="1528" t="s">
        <v>1946</v>
      </c>
      <c r="C2" s="714" t="s">
        <v>1947</v>
      </c>
      <c r="D2" s="714" t="s">
        <v>1948</v>
      </c>
      <c r="E2" s="714" t="s">
        <v>1949</v>
      </c>
      <c r="F2" s="714" t="s">
        <v>1950</v>
      </c>
    </row>
    <row r="3" spans="1:6" ht="12" customHeight="1" x14ac:dyDescent="0.2">
      <c r="A3" s="2189"/>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0" t="s">
        <v>629</v>
      </c>
      <c r="B1" s="2208"/>
      <c r="C1" s="721"/>
    </row>
    <row r="2" spans="1:7" ht="33.75" x14ac:dyDescent="0.2">
      <c r="A2" s="2215" t="s">
        <v>1799</v>
      </c>
      <c r="B2" s="2216"/>
      <c r="C2" s="1884" t="s">
        <v>1951</v>
      </c>
      <c r="D2" s="723" t="s">
        <v>1952</v>
      </c>
      <c r="E2" s="723" t="s">
        <v>1953</v>
      </c>
      <c r="F2" s="1884" t="s">
        <v>1954</v>
      </c>
    </row>
    <row r="3" spans="1:7" ht="15.75" customHeight="1" x14ac:dyDescent="0.2">
      <c r="A3" s="2217" t="s">
        <v>1114</v>
      </c>
      <c r="B3" s="2218"/>
      <c r="C3" s="2211"/>
      <c r="D3" s="2212"/>
      <c r="E3" s="2212"/>
      <c r="F3" s="2213"/>
    </row>
    <row r="4" spans="1:7" ht="12.75" customHeight="1" thickBot="1" x14ac:dyDescent="0.25">
      <c r="A4" s="2205" t="s">
        <v>630</v>
      </c>
      <c r="B4" s="2206"/>
      <c r="C4" s="581"/>
      <c r="D4" s="581"/>
      <c r="E4" s="581"/>
      <c r="F4" s="1755">
        <f>SUM(C4+D4)-E4</f>
        <v>0</v>
      </c>
    </row>
    <row r="5" spans="1:7" ht="15.75" customHeight="1" thickTop="1" x14ac:dyDescent="0.2">
      <c r="A5" s="2209" t="s">
        <v>1110</v>
      </c>
      <c r="B5" s="2204"/>
      <c r="C5" s="2198"/>
      <c r="D5" s="2199"/>
      <c r="E5" s="2199"/>
      <c r="F5" s="2200"/>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1" t="s">
        <v>631</v>
      </c>
      <c r="B15" s="2202"/>
      <c r="C15" s="1755">
        <f>SUM(C6:C14)</f>
        <v>0</v>
      </c>
      <c r="D15" s="1755">
        <f>SUM(D6:D14)</f>
        <v>0</v>
      </c>
      <c r="E15" s="1755">
        <f>SUM(E6:E14)</f>
        <v>0</v>
      </c>
      <c r="F15" s="1755">
        <f>SUM(F6:F14)</f>
        <v>0</v>
      </c>
      <c r="G15" s="552"/>
    </row>
    <row r="16" spans="1:7" s="202" customFormat="1" ht="15.75" customHeight="1" thickTop="1" x14ac:dyDescent="0.2">
      <c r="A16" s="2214" t="s">
        <v>1111</v>
      </c>
      <c r="B16" s="2204"/>
      <c r="C16" s="2198"/>
      <c r="D16" s="2199"/>
      <c r="E16" s="2199"/>
      <c r="F16" s="2200"/>
    </row>
    <row r="17" spans="1:11" ht="12.75" customHeight="1" thickBot="1" x14ac:dyDescent="0.25">
      <c r="A17" s="2196" t="s">
        <v>64</v>
      </c>
      <c r="B17" s="2197"/>
      <c r="C17" s="726"/>
      <c r="D17" s="585"/>
      <c r="E17" s="726"/>
      <c r="F17" s="1755">
        <f>SUM(C17+D17)-E17</f>
        <v>0</v>
      </c>
    </row>
    <row r="18" spans="1:11" ht="12.75" customHeight="1" thickTop="1" thickBot="1" x14ac:dyDescent="0.25">
      <c r="A18" s="2196" t="s">
        <v>6</v>
      </c>
      <c r="B18" s="2197"/>
      <c r="C18" s="726"/>
      <c r="D18" s="585"/>
      <c r="E18" s="726"/>
      <c r="F18" s="1755">
        <f>SUM(C18+D18)-E18</f>
        <v>0</v>
      </c>
    </row>
    <row r="19" spans="1:11" ht="12.75" customHeight="1" thickTop="1" thickBot="1" x14ac:dyDescent="0.25">
      <c r="A19" s="2196" t="s">
        <v>388</v>
      </c>
      <c r="B19" s="2197"/>
      <c r="C19" s="726"/>
      <c r="D19" s="585"/>
      <c r="E19" s="726"/>
      <c r="F19" s="1755">
        <f>SUM(C19+D19)-E19</f>
        <v>0</v>
      </c>
    </row>
    <row r="20" spans="1:11" ht="12.75" customHeight="1" thickTop="1" thickBot="1" x14ac:dyDescent="0.25">
      <c r="A20" s="2196" t="s">
        <v>448</v>
      </c>
      <c r="B20" s="2197"/>
      <c r="C20" s="726"/>
      <c r="D20" s="585"/>
      <c r="E20" s="726"/>
      <c r="F20" s="1755">
        <f>SUM(C20+D20)-E20</f>
        <v>0</v>
      </c>
    </row>
    <row r="21" spans="1:11" ht="14.25" thickTop="1" thickBot="1" x14ac:dyDescent="0.25">
      <c r="A21" s="2201" t="s">
        <v>632</v>
      </c>
      <c r="B21" s="2202"/>
      <c r="C21" s="1755">
        <f>SUM(C17:C20)</f>
        <v>0</v>
      </c>
      <c r="D21" s="1755">
        <f>SUM(D17:D20)</f>
        <v>0</v>
      </c>
      <c r="E21" s="1755">
        <f>SUM(E17:E20)</f>
        <v>0</v>
      </c>
      <c r="F21" s="1755">
        <f>SUM(F17:F20)</f>
        <v>0</v>
      </c>
      <c r="G21" s="552"/>
    </row>
    <row r="22" spans="1:11" ht="15.75" customHeight="1" thickTop="1" x14ac:dyDescent="0.2">
      <c r="A22" s="2203" t="s">
        <v>1112</v>
      </c>
      <c r="B22" s="2204"/>
      <c r="C22" s="2198"/>
      <c r="D22" s="2199"/>
      <c r="E22" s="2199"/>
      <c r="F22" s="2200"/>
    </row>
    <row r="23" spans="1:11" ht="13.5" thickBot="1" x14ac:dyDescent="0.25">
      <c r="A23" s="2205" t="s">
        <v>633</v>
      </c>
      <c r="B23" s="2206"/>
      <c r="C23" s="581"/>
      <c r="D23" s="581"/>
      <c r="E23" s="581"/>
      <c r="F23" s="1755">
        <f>SUM(C23+D23)-E23</f>
        <v>0</v>
      </c>
      <c r="G23" s="552"/>
    </row>
    <row r="24" spans="1:11" ht="15.75" customHeight="1" thickTop="1" x14ac:dyDescent="0.2">
      <c r="A24" s="2203" t="s">
        <v>1113</v>
      </c>
      <c r="B24" s="2204"/>
      <c r="C24" s="2198"/>
      <c r="D24" s="2199"/>
      <c r="E24" s="2199"/>
      <c r="F24" s="2200"/>
    </row>
    <row r="25" spans="1:11" ht="13.5" thickBot="1" x14ac:dyDescent="0.25">
      <c r="A25" s="2205" t="s">
        <v>634</v>
      </c>
      <c r="B25" s="2206"/>
      <c r="C25" s="581"/>
      <c r="D25" s="581"/>
      <c r="E25" s="581"/>
      <c r="F25" s="1755">
        <f>SUM(C25+D25)-E25</f>
        <v>0</v>
      </c>
      <c r="G25" s="552"/>
    </row>
    <row r="26" spans="1:11" ht="15.75" customHeight="1" thickTop="1" x14ac:dyDescent="0.2">
      <c r="A26" s="2209" t="s">
        <v>657</v>
      </c>
      <c r="B26" s="2204"/>
      <c r="C26" s="727"/>
      <c r="D26" s="727"/>
      <c r="E26" s="727"/>
      <c r="F26" s="728"/>
    </row>
    <row r="27" spans="1:11" ht="13.5" thickBot="1" x14ac:dyDescent="0.25">
      <c r="A27" s="2201" t="s">
        <v>1070</v>
      </c>
      <c r="B27" s="2202"/>
      <c r="C27" s="585"/>
      <c r="D27" s="585"/>
      <c r="E27" s="585"/>
      <c r="F27" s="1755">
        <f>SUM(C27+D27)-E27</f>
        <v>0</v>
      </c>
      <c r="G27" s="552"/>
    </row>
    <row r="28" spans="1:11" ht="7.5" customHeight="1" thickTop="1" x14ac:dyDescent="0.2">
      <c r="A28" s="593"/>
    </row>
    <row r="29" spans="1:11" ht="23.25" customHeight="1" x14ac:dyDescent="0.2">
      <c r="A29" s="2207" t="s">
        <v>582</v>
      </c>
      <c r="B29" s="2208"/>
      <c r="C29" s="729"/>
      <c r="D29" s="729"/>
      <c r="E29" s="729"/>
      <c r="F29" s="729"/>
      <c r="G29" s="729"/>
      <c r="H29" s="729"/>
      <c r="I29" s="729"/>
      <c r="J29" s="729"/>
    </row>
    <row r="30" spans="1:11" ht="33.75" x14ac:dyDescent="0.2">
      <c r="A30" s="1529" t="s">
        <v>1071</v>
      </c>
      <c r="B30" s="730" t="s">
        <v>1124</v>
      </c>
      <c r="C30" s="1885" t="s">
        <v>583</v>
      </c>
      <c r="D30" s="1885" t="s">
        <v>1673</v>
      </c>
      <c r="E30" s="1885" t="s">
        <v>1955</v>
      </c>
      <c r="F30" s="1885" t="s">
        <v>1956</v>
      </c>
      <c r="G30" s="1885" t="s">
        <v>1907</v>
      </c>
      <c r="H30" s="1885" t="s">
        <v>1957</v>
      </c>
      <c r="I30" s="1885" t="s">
        <v>1958</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90" t="s">
        <v>584</v>
      </c>
      <c r="C52" s="2191"/>
      <c r="D52" s="2191"/>
      <c r="E52" s="749" t="s">
        <v>845</v>
      </c>
      <c r="F52" s="2192"/>
      <c r="G52" s="2193"/>
      <c r="H52" s="736"/>
      <c r="I52" s="736"/>
      <c r="J52" s="746"/>
    </row>
    <row r="53" spans="1:11" ht="11.25" customHeight="1" x14ac:dyDescent="0.2">
      <c r="A53" s="750" t="s">
        <v>913</v>
      </c>
      <c r="B53" s="751" t="s">
        <v>951</v>
      </c>
      <c r="C53" s="746"/>
      <c r="D53" s="737"/>
      <c r="E53" s="749" t="s">
        <v>497</v>
      </c>
      <c r="F53" s="2194"/>
      <c r="G53" s="2195"/>
      <c r="H53" s="736"/>
      <c r="I53" s="736"/>
      <c r="J53" s="746"/>
    </row>
    <row r="54" spans="1:11" ht="11.25" customHeight="1" x14ac:dyDescent="0.2">
      <c r="A54" s="752" t="s">
        <v>914</v>
      </c>
      <c r="B54" s="747" t="s">
        <v>952</v>
      </c>
      <c r="C54" s="746"/>
      <c r="D54" s="737"/>
      <c r="E54" s="749" t="s">
        <v>498</v>
      </c>
      <c r="F54" s="2194"/>
      <c r="G54" s="219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9" t="s">
        <v>856</v>
      </c>
      <c r="B1" s="2220"/>
      <c r="C1" s="2220"/>
      <c r="D1" s="2220"/>
      <c r="E1" s="2220"/>
      <c r="F1" s="2220"/>
      <c r="G1" s="2221"/>
      <c r="H1" s="1530"/>
      <c r="I1" s="760"/>
      <c r="J1" s="433"/>
    </row>
    <row r="2" spans="1:11" ht="26.25" x14ac:dyDescent="0.2">
      <c r="A2" s="2238" t="s">
        <v>1677</v>
      </c>
      <c r="B2" s="2239"/>
      <c r="C2" s="2239"/>
      <c r="D2" s="2239"/>
      <c r="E2" s="2240"/>
      <c r="F2" s="761" t="s">
        <v>904</v>
      </c>
      <c r="G2" s="762" t="s">
        <v>1674</v>
      </c>
      <c r="H2" s="762" t="s">
        <v>410</v>
      </c>
      <c r="I2" s="762" t="s">
        <v>1158</v>
      </c>
      <c r="J2" s="762" t="s">
        <v>1809</v>
      </c>
      <c r="K2" s="762" t="s">
        <v>138</v>
      </c>
    </row>
    <row r="3" spans="1:11" x14ac:dyDescent="0.2">
      <c r="A3" s="2241" t="s">
        <v>1959</v>
      </c>
      <c r="B3" s="2242"/>
      <c r="C3" s="2242"/>
      <c r="D3" s="2242"/>
      <c r="E3" s="2243"/>
      <c r="F3" s="763"/>
      <c r="G3" s="764"/>
      <c r="H3" s="764"/>
      <c r="I3" s="764"/>
      <c r="J3" s="765"/>
      <c r="K3" s="765"/>
    </row>
    <row r="4" spans="1:11" x14ac:dyDescent="0.2">
      <c r="A4" s="2244" t="s">
        <v>369</v>
      </c>
      <c r="B4" s="2245"/>
      <c r="C4" s="2245"/>
      <c r="D4" s="2245"/>
      <c r="E4" s="2191"/>
      <c r="F4" s="766"/>
      <c r="G4" s="767"/>
      <c r="H4" s="768"/>
      <c r="I4" s="767"/>
      <c r="J4" s="769"/>
      <c r="K4" s="769"/>
    </row>
    <row r="5" spans="1:11" x14ac:dyDescent="0.2">
      <c r="A5" s="2222" t="s">
        <v>1069</v>
      </c>
      <c r="B5" s="2223"/>
      <c r="C5" s="2223"/>
      <c r="D5" s="2223"/>
      <c r="E5" s="2224"/>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22" t="s">
        <v>1810</v>
      </c>
      <c r="B10" s="2223"/>
      <c r="C10" s="2223"/>
      <c r="D10" s="2223"/>
      <c r="E10" s="2225"/>
      <c r="F10" s="783" t="s">
        <v>862</v>
      </c>
      <c r="G10" s="782"/>
      <c r="H10" s="784"/>
      <c r="I10" s="764"/>
      <c r="J10" s="765"/>
      <c r="K10" s="765"/>
    </row>
    <row r="11" spans="1:11" x14ac:dyDescent="0.2">
      <c r="A11" s="2222" t="s">
        <v>160</v>
      </c>
      <c r="B11" s="2223"/>
      <c r="C11" s="2223"/>
      <c r="D11" s="2223"/>
      <c r="E11" s="2224"/>
      <c r="F11" s="770" t="s">
        <v>852</v>
      </c>
      <c r="G11" s="771"/>
      <c r="H11" s="764"/>
      <c r="I11" s="764"/>
      <c r="J11" s="765"/>
      <c r="K11" s="773"/>
    </row>
    <row r="12" spans="1:11" ht="13.5" thickBot="1" x14ac:dyDescent="0.25">
      <c r="A12" s="2249" t="s">
        <v>905</v>
      </c>
      <c r="B12" s="2250"/>
      <c r="C12" s="2250"/>
      <c r="D12" s="2250"/>
      <c r="E12" s="2251"/>
      <c r="F12" s="1757"/>
      <c r="G12" s="1758">
        <f>SUM(G5:G11)</f>
        <v>0</v>
      </c>
      <c r="H12" s="1758">
        <f>SUM(H5:H11)</f>
        <v>0</v>
      </c>
      <c r="I12" s="1758">
        <f>SUM(I5:I11)</f>
        <v>0</v>
      </c>
      <c r="J12" s="1758">
        <f>SUM(J5:J11)</f>
        <v>0</v>
      </c>
      <c r="K12" s="1758">
        <f>SUM(K5:K11)</f>
        <v>0</v>
      </c>
    </row>
    <row r="13" spans="1:11" ht="13.5" thickTop="1" x14ac:dyDescent="0.2">
      <c r="A13" s="2246" t="s">
        <v>370</v>
      </c>
      <c r="B13" s="2247"/>
      <c r="C13" s="2247"/>
      <c r="D13" s="2247"/>
      <c r="E13" s="2248"/>
      <c r="F13" s="785"/>
      <c r="G13" s="786"/>
      <c r="H13" s="787"/>
      <c r="I13" s="788"/>
      <c r="J13" s="788"/>
      <c r="K13" s="788"/>
    </row>
    <row r="14" spans="1:11" x14ac:dyDescent="0.2">
      <c r="A14" s="2229" t="s">
        <v>456</v>
      </c>
      <c r="B14" s="2229"/>
      <c r="C14" s="2229"/>
      <c r="D14" s="2229"/>
      <c r="E14" s="2230"/>
      <c r="F14" s="789" t="s">
        <v>854</v>
      </c>
      <c r="G14" s="782"/>
      <c r="H14" s="764"/>
      <c r="I14" s="771"/>
      <c r="J14" s="773"/>
      <c r="K14" s="765"/>
    </row>
    <row r="15" spans="1:11" x14ac:dyDescent="0.2">
      <c r="A15" s="2223" t="s">
        <v>4</v>
      </c>
      <c r="B15" s="2223"/>
      <c r="C15" s="2223"/>
      <c r="D15" s="2223"/>
      <c r="E15" s="2224"/>
      <c r="F15" s="789" t="s">
        <v>855</v>
      </c>
      <c r="G15" s="771"/>
      <c r="H15" s="764"/>
      <c r="I15" s="764"/>
      <c r="J15" s="765"/>
      <c r="K15" s="765"/>
    </row>
    <row r="16" spans="1:11" x14ac:dyDescent="0.2">
      <c r="A16" s="2223" t="s">
        <v>298</v>
      </c>
      <c r="B16" s="2223"/>
      <c r="C16" s="2223"/>
      <c r="D16" s="2223"/>
      <c r="E16" s="2224"/>
      <c r="F16" s="789" t="s">
        <v>923</v>
      </c>
      <c r="G16" s="772"/>
      <c r="H16" s="767"/>
      <c r="I16" s="767"/>
      <c r="J16" s="769"/>
      <c r="K16" s="769"/>
    </row>
    <row r="17" spans="1:11" x14ac:dyDescent="0.2">
      <c r="A17" s="2254" t="s">
        <v>935</v>
      </c>
      <c r="B17" s="2254"/>
      <c r="C17" s="2254"/>
      <c r="D17" s="2254"/>
      <c r="E17" s="2255"/>
      <c r="F17" s="790"/>
      <c r="G17" s="791"/>
      <c r="H17" s="792"/>
      <c r="I17" s="792"/>
      <c r="J17" s="793"/>
      <c r="K17" s="794"/>
    </row>
    <row r="18" spans="1:11" x14ac:dyDescent="0.2">
      <c r="A18" s="2233" t="s">
        <v>368</v>
      </c>
      <c r="B18" s="2234"/>
      <c r="C18" s="2234"/>
      <c r="D18" s="2234"/>
      <c r="E18" s="2235"/>
      <c r="F18" s="789" t="s">
        <v>932</v>
      </c>
      <c r="G18" s="782"/>
      <c r="H18" s="782"/>
      <c r="I18" s="782"/>
      <c r="J18" s="765"/>
      <c r="K18" s="795"/>
    </row>
    <row r="19" spans="1:11" ht="21.75" customHeight="1" x14ac:dyDescent="0.2">
      <c r="A19" s="2231" t="s">
        <v>1806</v>
      </c>
      <c r="B19" s="2231"/>
      <c r="C19" s="2231"/>
      <c r="D19" s="2231"/>
      <c r="E19" s="2232"/>
      <c r="F19" s="789" t="s">
        <v>933</v>
      </c>
      <c r="G19" s="782"/>
      <c r="H19" s="782"/>
      <c r="I19" s="782"/>
      <c r="J19" s="765"/>
      <c r="K19" s="795"/>
    </row>
    <row r="20" spans="1:11" x14ac:dyDescent="0.2">
      <c r="A20" s="2233" t="s">
        <v>1811</v>
      </c>
      <c r="B20" s="2234"/>
      <c r="C20" s="2234"/>
      <c r="D20" s="2234"/>
      <c r="E20" s="2235"/>
      <c r="F20" s="789" t="s">
        <v>934</v>
      </c>
      <c r="G20" s="782"/>
      <c r="H20" s="782"/>
      <c r="I20" s="782"/>
      <c r="J20" s="765"/>
      <c r="K20" s="795"/>
    </row>
    <row r="21" spans="1:11" ht="13.5" thickBot="1" x14ac:dyDescent="0.25">
      <c r="A21" s="2252" t="s">
        <v>638</v>
      </c>
      <c r="B21" s="2252"/>
      <c r="C21" s="2252"/>
      <c r="D21" s="2252"/>
      <c r="E21" s="2252"/>
      <c r="F21" s="1759"/>
      <c r="G21" s="792"/>
      <c r="H21" s="796"/>
      <c r="I21" s="796"/>
      <c r="J21" s="1760">
        <f>SUM(J18:J20)</f>
        <v>0</v>
      </c>
      <c r="K21" s="793"/>
    </row>
    <row r="22" spans="1:11" ht="13.5" thickTop="1" x14ac:dyDescent="0.2">
      <c r="A22" s="2223" t="s">
        <v>1812</v>
      </c>
      <c r="B22" s="2223"/>
      <c r="C22" s="2223"/>
      <c r="D22" s="2223"/>
      <c r="E22" s="2224"/>
      <c r="F22" s="789" t="s">
        <v>862</v>
      </c>
      <c r="G22" s="782"/>
      <c r="H22" s="764"/>
      <c r="I22" s="764"/>
      <c r="J22" s="797"/>
      <c r="K22" s="765"/>
    </row>
    <row r="23" spans="1:11" ht="13.5" thickBot="1" x14ac:dyDescent="0.25">
      <c r="A23" s="2253" t="s">
        <v>906</v>
      </c>
      <c r="B23" s="2252"/>
      <c r="C23" s="2252"/>
      <c r="D23" s="2252"/>
      <c r="E23" s="2252"/>
      <c r="F23" s="1761"/>
      <c r="G23" s="1758">
        <f>SUM(G14:G16,G21,G22)</f>
        <v>0</v>
      </c>
      <c r="H23" s="1758">
        <f>SUM(H14:H16,H21,H22)</f>
        <v>0</v>
      </c>
      <c r="I23" s="1758">
        <f>SUM(I14:I16,I21,I22)</f>
        <v>0</v>
      </c>
      <c r="J23" s="1758">
        <f>SUM(J14:J16,J21,J22)</f>
        <v>0</v>
      </c>
      <c r="K23" s="1758">
        <f>SUM(K14:K16,K21,K22)</f>
        <v>0</v>
      </c>
    </row>
    <row r="24" spans="1:11" ht="14.25" thickTop="1" thickBot="1" x14ac:dyDescent="0.25">
      <c r="A24" s="2253" t="s">
        <v>1960</v>
      </c>
      <c r="B24" s="2252"/>
      <c r="C24" s="2252"/>
      <c r="D24" s="2252"/>
      <c r="E24" s="2252"/>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6"/>
      <c r="I31" s="2227"/>
      <c r="J31" s="2227"/>
      <c r="K31" s="2227"/>
    </row>
    <row r="32" spans="1:11" x14ac:dyDescent="0.2">
      <c r="A32" s="809"/>
      <c r="B32" s="237"/>
      <c r="C32" s="237"/>
      <c r="D32" s="237"/>
      <c r="E32" s="805"/>
      <c r="F32" s="811" t="s">
        <v>540</v>
      </c>
      <c r="G32" s="764"/>
      <c r="H32" s="2228"/>
      <c r="I32" s="2227"/>
      <c r="J32" s="2227"/>
      <c r="K32" s="2227"/>
    </row>
    <row r="33" spans="1:11" ht="1.5" customHeight="1" x14ac:dyDescent="0.2">
      <c r="A33" s="812" t="s">
        <v>1169</v>
      </c>
      <c r="B33" s="364"/>
      <c r="C33" s="364"/>
      <c r="D33" s="364"/>
      <c r="E33" s="364"/>
      <c r="F33" s="364"/>
      <c r="G33" s="813"/>
      <c r="H33" s="2228"/>
      <c r="I33" s="2227"/>
      <c r="J33" s="2227"/>
      <c r="K33" s="2227"/>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3" t="s">
        <v>541</v>
      </c>
      <c r="B41" s="2236"/>
      <c r="C41" s="2236"/>
      <c r="D41" s="2236"/>
      <c r="E41" s="2236"/>
      <c r="F41" s="2237"/>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90" zoomScaleNormal="90" workbookViewId="0">
      <selection activeCell="L13" sqref="L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8" t="s">
        <v>1905</v>
      </c>
      <c r="B1" s="2259"/>
      <c r="C1" s="2260"/>
      <c r="D1" s="826"/>
      <c r="E1" s="827"/>
      <c r="F1" s="827"/>
      <c r="G1" s="828"/>
      <c r="H1" s="829"/>
      <c r="I1" s="830"/>
      <c r="J1" s="2256"/>
      <c r="K1" s="2257"/>
      <c r="L1" s="2257"/>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548700</v>
      </c>
      <c r="D5" s="841"/>
      <c r="E5" s="841"/>
      <c r="F5" s="1760">
        <f>(C5+D5)-E5</f>
        <v>548700</v>
      </c>
      <c r="G5" s="837"/>
      <c r="H5" s="842"/>
      <c r="I5" s="842"/>
      <c r="J5" s="842"/>
      <c r="K5" s="793"/>
      <c r="L5" s="1769">
        <f>F5-K5</f>
        <v>548700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630330</v>
      </c>
      <c r="D8" s="844"/>
      <c r="E8" s="844"/>
      <c r="F8" s="1760">
        <f>(C8+D8)-E8</f>
        <v>630330</v>
      </c>
      <c r="G8" s="843">
        <v>50</v>
      </c>
      <c r="H8" s="765">
        <v>423570</v>
      </c>
      <c r="I8" s="765">
        <v>29746</v>
      </c>
      <c r="J8" s="765"/>
      <c r="K8" s="1769">
        <f>(H8+I8)-J8</f>
        <v>453316</v>
      </c>
      <c r="L8" s="1769">
        <f>F8-K8</f>
        <v>177014</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3255089</v>
      </c>
      <c r="D10" s="846">
        <v>15000</v>
      </c>
      <c r="E10" s="846"/>
      <c r="F10" s="1764">
        <f>(C10+D10)-E10</f>
        <v>3270089</v>
      </c>
      <c r="G10" s="843">
        <v>20</v>
      </c>
      <c r="H10" s="847">
        <v>1117626</v>
      </c>
      <c r="I10" s="847">
        <v>163504</v>
      </c>
      <c r="J10" s="847"/>
      <c r="K10" s="1769">
        <f>(H10+I10)-J10</f>
        <v>1281130</v>
      </c>
      <c r="L10" s="1769">
        <f>F10-K10</f>
        <v>1988959</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c r="D12" s="844"/>
      <c r="E12" s="844"/>
      <c r="F12" s="1760">
        <f>(C12+D12)-E12</f>
        <v>0</v>
      </c>
      <c r="G12" s="843">
        <v>10</v>
      </c>
      <c r="H12" s="765"/>
      <c r="I12" s="765"/>
      <c r="J12" s="765"/>
      <c r="K12" s="1769">
        <f>(H12+I12)-J12</f>
        <v>0</v>
      </c>
      <c r="L12" s="1769">
        <f>F12-K12</f>
        <v>0</v>
      </c>
    </row>
    <row r="13" spans="1:14" ht="14.25" thickTop="1" thickBot="1" x14ac:dyDescent="0.25">
      <c r="A13" s="848" t="s">
        <v>1122</v>
      </c>
      <c r="B13" s="840">
        <v>252</v>
      </c>
      <c r="C13" s="844">
        <v>307023</v>
      </c>
      <c r="D13" s="844">
        <v>10307</v>
      </c>
      <c r="E13" s="844"/>
      <c r="F13" s="1760">
        <f>(C13+D13)-E13</f>
        <v>317330</v>
      </c>
      <c r="G13" s="843">
        <v>5</v>
      </c>
      <c r="H13" s="765">
        <v>281527</v>
      </c>
      <c r="I13" s="765">
        <v>10150</v>
      </c>
      <c r="J13" s="765"/>
      <c r="K13" s="1769">
        <f>(H13+I13)-J13</f>
        <v>291677</v>
      </c>
      <c r="L13" s="1769">
        <f>F13-K13</f>
        <v>25653</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4741142</v>
      </c>
      <c r="D16" s="1760">
        <f>SUM(D3,D5:D6,D8:D10,D12:D15)</f>
        <v>25307</v>
      </c>
      <c r="E16" s="1760">
        <f>SUM(E3,E5:E6,E8:E10,E12:E15)</f>
        <v>0</v>
      </c>
      <c r="F16" s="1760">
        <f>SUM(F3,F5:F6,F8:F10,F12:F15)</f>
        <v>4766449</v>
      </c>
      <c r="G16" s="843"/>
      <c r="H16" s="1760">
        <f>SUM(H3,H6,H8:H10,H12:H14,)</f>
        <v>1822723</v>
      </c>
      <c r="I16" s="1760">
        <f>SUM(I3,I6,I8:I10,I12:I14,)</f>
        <v>203400</v>
      </c>
      <c r="J16" s="1760">
        <f>SUM(J3,J6,J8:J10,J12:J14,)</f>
        <v>0</v>
      </c>
      <c r="K16" s="1760">
        <f>(H16+I16)-J16</f>
        <v>2026123</v>
      </c>
      <c r="L16" s="1760">
        <f>F16-K16</f>
        <v>2740326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203400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75" activePane="bottomLeft" state="frozen"/>
      <selection activeCell="A47" sqref="A47"/>
      <selection pane="bottomLeft" activeCell="I6" sqref="I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4" t="s">
        <v>1970</v>
      </c>
      <c r="B1" s="2265"/>
      <c r="C1" s="2265"/>
      <c r="D1" s="2265"/>
      <c r="E1" s="2265"/>
      <c r="F1" s="2266"/>
      <c r="G1" s="855"/>
    </row>
    <row r="2" spans="1:7" ht="15" customHeight="1" thickBot="1" x14ac:dyDescent="0.25">
      <c r="A2" s="2267" t="s">
        <v>477</v>
      </c>
      <c r="B2" s="2268"/>
      <c r="C2" s="2268"/>
      <c r="D2" s="2268"/>
      <c r="E2" s="2268"/>
      <c r="F2" s="2269"/>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0"/>
      <c r="B5" s="2271"/>
      <c r="C5" s="2271"/>
      <c r="D5" s="2271"/>
      <c r="E5" s="2271"/>
      <c r="F5" s="2271"/>
    </row>
    <row r="6" spans="1:7" ht="13.5" customHeight="1" thickBot="1" x14ac:dyDescent="0.25">
      <c r="A6" s="2261" t="s">
        <v>1104</v>
      </c>
      <c r="B6" s="2262"/>
      <c r="C6" s="2262"/>
      <c r="D6" s="2262"/>
      <c r="E6" s="2262"/>
      <c r="F6" s="2263"/>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15524682</v>
      </c>
      <c r="G8" s="865"/>
    </row>
    <row r="9" spans="1:7" x14ac:dyDescent="0.2">
      <c r="A9" s="869" t="s">
        <v>460</v>
      </c>
      <c r="B9" s="870" t="s">
        <v>1873</v>
      </c>
      <c r="C9" s="871"/>
      <c r="D9" s="869" t="s">
        <v>501</v>
      </c>
      <c r="E9" s="868"/>
      <c r="F9" s="1909">
        <f>'Expenditures 15-22'!K151</f>
        <v>0</v>
      </c>
      <c r="G9" s="872"/>
    </row>
    <row r="10" spans="1:7" x14ac:dyDescent="0.2">
      <c r="A10" s="869" t="s">
        <v>499</v>
      </c>
      <c r="B10" s="870" t="s">
        <v>1874</v>
      </c>
      <c r="C10" s="871"/>
      <c r="D10" s="869" t="s">
        <v>501</v>
      </c>
      <c r="E10" s="868"/>
      <c r="F10" s="1909">
        <f>'Expenditures 15-22'!K174</f>
        <v>0</v>
      </c>
      <c r="G10" s="872"/>
    </row>
    <row r="11" spans="1:7" x14ac:dyDescent="0.2">
      <c r="A11" s="869" t="s">
        <v>461</v>
      </c>
      <c r="B11" s="870" t="s">
        <v>1875</v>
      </c>
      <c r="C11" s="871"/>
      <c r="D11" s="869" t="s">
        <v>501</v>
      </c>
      <c r="E11" s="868"/>
      <c r="F11" s="1909">
        <f>'Expenditures 15-22'!K210</f>
        <v>0</v>
      </c>
      <c r="G11" s="872"/>
    </row>
    <row r="12" spans="1:7" x14ac:dyDescent="0.2">
      <c r="A12" s="869" t="s">
        <v>462</v>
      </c>
      <c r="B12" s="870" t="s">
        <v>1876</v>
      </c>
      <c r="C12" s="871"/>
      <c r="D12" s="869" t="s">
        <v>501</v>
      </c>
      <c r="E12" s="868"/>
      <c r="F12" s="1909">
        <f>'Expenditures 15-22'!K295</f>
        <v>0</v>
      </c>
      <c r="G12" s="872"/>
    </row>
    <row r="13" spans="1:7" x14ac:dyDescent="0.2">
      <c r="A13" s="869" t="s">
        <v>106</v>
      </c>
      <c r="B13" s="870" t="s">
        <v>1877</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15524682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14">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1997</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474446</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160988</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1437053</v>
      </c>
      <c r="G53" s="865"/>
    </row>
    <row r="54" spans="1:7" x14ac:dyDescent="0.2">
      <c r="A54" s="869" t="s">
        <v>459</v>
      </c>
      <c r="B54" s="869" t="s">
        <v>1476</v>
      </c>
      <c r="C54" s="889" t="s">
        <v>982</v>
      </c>
      <c r="D54" s="885" t="s">
        <v>1095</v>
      </c>
      <c r="E54" s="868"/>
      <c r="F54" s="1913">
        <f>'Expenditures 15-22'!G114</f>
        <v>48048</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3">
        <f>'Expenditures 15-22'!K139</f>
        <v>0</v>
      </c>
      <c r="G57" s="865"/>
    </row>
    <row r="58" spans="1:7" x14ac:dyDescent="0.2">
      <c r="A58" s="869" t="s">
        <v>460</v>
      </c>
      <c r="B58" s="869" t="s">
        <v>1879</v>
      </c>
      <c r="C58" s="886" t="s">
        <v>982</v>
      </c>
      <c r="D58" s="885" t="s">
        <v>1095</v>
      </c>
      <c r="E58" s="868"/>
      <c r="F58" s="1915">
        <f>'Expenditures 15-22'!G151</f>
        <v>0</v>
      </c>
      <c r="G58" s="865"/>
    </row>
    <row r="59" spans="1:7" x14ac:dyDescent="0.2">
      <c r="A59" s="893" t="s">
        <v>460</v>
      </c>
      <c r="B59" s="856" t="s">
        <v>1880</v>
      </c>
      <c r="C59" s="894" t="s">
        <v>982</v>
      </c>
      <c r="D59" s="856" t="s">
        <v>291</v>
      </c>
      <c r="F59" s="1916">
        <f>'Expenditures 15-22'!I151</f>
        <v>0</v>
      </c>
      <c r="G59" s="865"/>
    </row>
    <row r="60" spans="1:7" x14ac:dyDescent="0.2">
      <c r="A60" s="893" t="s">
        <v>499</v>
      </c>
      <c r="B60" s="856" t="s">
        <v>1881</v>
      </c>
      <c r="C60" s="894">
        <v>4000</v>
      </c>
      <c r="D60" s="856" t="s">
        <v>312</v>
      </c>
      <c r="F60" s="1914">
        <f>'Expenditures 15-22'!K160</f>
        <v>0</v>
      </c>
      <c r="G60" s="865"/>
    </row>
    <row r="61" spans="1:7" x14ac:dyDescent="0.2">
      <c r="A61" s="895" t="s">
        <v>499</v>
      </c>
      <c r="B61" s="895" t="s">
        <v>1882</v>
      </c>
      <c r="C61" s="896" t="str">
        <f>'Expenditures 15-22'!B170</f>
        <v>5300</v>
      </c>
      <c r="D61" s="897" t="s">
        <v>311</v>
      </c>
      <c r="E61" s="879"/>
      <c r="F61" s="1913">
        <f>'Expenditures 15-22'!K170</f>
        <v>0</v>
      </c>
      <c r="G61" s="865"/>
    </row>
    <row r="62" spans="1:7" x14ac:dyDescent="0.2">
      <c r="A62" s="869" t="s">
        <v>461</v>
      </c>
      <c r="B62" s="869" t="s">
        <v>1883</v>
      </c>
      <c r="C62" s="886">
        <f>'Expenditures 15-22'!B185</f>
        <v>3000</v>
      </c>
      <c r="D62" s="876" t="s">
        <v>449</v>
      </c>
      <c r="E62" s="868"/>
      <c r="F62" s="1913">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1885</v>
      </c>
      <c r="C64" s="896" t="str">
        <f>'Expenditures 15-22'!B206</f>
        <v>5300</v>
      </c>
      <c r="D64" s="892" t="s">
        <v>311</v>
      </c>
      <c r="E64" s="868"/>
      <c r="F64" s="1913">
        <f>'Expenditures 15-22'!K206</f>
        <v>0</v>
      </c>
      <c r="G64" s="865"/>
    </row>
    <row r="65" spans="1:8" x14ac:dyDescent="0.2">
      <c r="A65" s="869" t="s">
        <v>461</v>
      </c>
      <c r="B65" s="869" t="s">
        <v>1886</v>
      </c>
      <c r="C65" s="886" t="s">
        <v>982</v>
      </c>
      <c r="D65" s="885" t="s">
        <v>1095</v>
      </c>
      <c r="E65" s="868"/>
      <c r="F65" s="1913">
        <f>'Expenditures 15-22'!G210</f>
        <v>0</v>
      </c>
      <c r="G65" s="865"/>
    </row>
    <row r="66" spans="1:8" x14ac:dyDescent="0.2">
      <c r="A66" s="869" t="s">
        <v>461</v>
      </c>
      <c r="B66" s="869" t="s">
        <v>1887</v>
      </c>
      <c r="C66" s="886" t="s">
        <v>982</v>
      </c>
      <c r="D66" s="885" t="s">
        <v>291</v>
      </c>
      <c r="E66" s="868"/>
      <c r="F66" s="1913">
        <f>'Expenditures 15-22'!I210</f>
        <v>0</v>
      </c>
      <c r="G66" s="865"/>
    </row>
    <row r="67" spans="1:8" x14ac:dyDescent="0.2">
      <c r="A67" s="869" t="s">
        <v>462</v>
      </c>
      <c r="B67" s="869" t="s">
        <v>1888</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1890</v>
      </c>
      <c r="C70" s="886">
        <f>'Expenditures 15-22'!B221</f>
        <v>1300</v>
      </c>
      <c r="D70" s="887" t="str">
        <f>'Expenditures 15-22'!A221</f>
        <v>Adult/Continuing Education Programs</v>
      </c>
      <c r="E70" s="868"/>
      <c r="F70" s="1913">
        <f>'Expenditures 15-22'!K221</f>
        <v>0</v>
      </c>
      <c r="G70" s="865"/>
    </row>
    <row r="71" spans="1:8" x14ac:dyDescent="0.2">
      <c r="A71" s="869" t="s">
        <v>462</v>
      </c>
      <c r="B71" s="869" t="s">
        <v>1891</v>
      </c>
      <c r="C71" s="886">
        <f>'Expenditures 15-22'!B224</f>
        <v>1600</v>
      </c>
      <c r="D71" s="887" t="str">
        <f>'Expenditures 15-22'!A224</f>
        <v>Summer School Programs</v>
      </c>
      <c r="E71" s="868"/>
      <c r="F71" s="1913">
        <f>'Expenditures 15-22'!K224</f>
        <v>0</v>
      </c>
      <c r="G71" s="865"/>
    </row>
    <row r="72" spans="1:8" x14ac:dyDescent="0.2">
      <c r="A72" s="869" t="s">
        <v>462</v>
      </c>
      <c r="B72" s="869" t="s">
        <v>1892</v>
      </c>
      <c r="C72" s="886">
        <f>'Expenditures 15-22'!B280</f>
        <v>3000</v>
      </c>
      <c r="D72" s="876" t="s">
        <v>449</v>
      </c>
      <c r="E72" s="868"/>
      <c r="F72" s="1913">
        <f>'Expenditures 15-22'!K280</f>
        <v>0</v>
      </c>
      <c r="G72" s="865"/>
    </row>
    <row r="73" spans="1:8" x14ac:dyDescent="0.2">
      <c r="A73" s="869" t="s">
        <v>462</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1894</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958</v>
      </c>
      <c r="F76" s="1778">
        <f>SUM(F18:F74)</f>
        <v>2120535</v>
      </c>
      <c r="G76" s="865"/>
    </row>
    <row r="77" spans="1:8" s="893" customFormat="1" ht="12" customHeight="1" thickTop="1" thickBot="1" x14ac:dyDescent="0.25">
      <c r="A77" s="1779"/>
      <c r="B77" s="1776"/>
      <c r="C77" s="1772"/>
      <c r="D77" s="1777" t="s">
        <v>1896</v>
      </c>
      <c r="E77" s="1774"/>
      <c r="F77" s="1780">
        <f>(F14-F76)</f>
        <v>13404147</v>
      </c>
      <c r="G77" s="869"/>
    </row>
    <row r="78" spans="1:8" s="893" customFormat="1" ht="12" customHeight="1" thickTop="1" x14ac:dyDescent="0.2">
      <c r="A78" s="1781"/>
      <c r="B78" s="1776"/>
      <c r="C78" s="1772"/>
      <c r="D78" s="1777" t="s">
        <v>2057</v>
      </c>
      <c r="E78" s="1774"/>
      <c r="F78" s="898">
        <v>0</v>
      </c>
      <c r="G78" s="899"/>
      <c r="H78" s="869"/>
    </row>
    <row r="79" spans="1:8" s="893" customFormat="1" ht="12" customHeight="1" thickBot="1" x14ac:dyDescent="0.25">
      <c r="A79" s="1782"/>
      <c r="B79" s="1776"/>
      <c r="C79" s="1772"/>
      <c r="D79" s="1777" t="s">
        <v>1897</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61" t="s">
        <v>1105</v>
      </c>
      <c r="B81" s="2262"/>
      <c r="C81" s="2262"/>
      <c r="D81" s="2262"/>
      <c r="E81" s="2262"/>
      <c r="F81" s="2263"/>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5446</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615699</v>
      </c>
      <c r="G103" s="912"/>
    </row>
    <row r="104" spans="1:7" x14ac:dyDescent="0.2">
      <c r="A104" s="908" t="s">
        <v>459</v>
      </c>
      <c r="B104" s="908" t="s">
        <v>808</v>
      </c>
      <c r="C104" s="910">
        <f>'Revenues 9-14'!B106</f>
        <v>1993</v>
      </c>
      <c r="D104" s="911" t="str">
        <f>'Revenues 9-14'!A106</f>
        <v>Other Local Fees (Describe &amp; Itemize)</v>
      </c>
      <c r="E104" s="906"/>
      <c r="F104" s="1789">
        <f>('Revenues 9-14'!C106)</f>
        <v>28355</v>
      </c>
      <c r="G104" s="912"/>
    </row>
    <row r="105" spans="1:7" x14ac:dyDescent="0.2">
      <c r="A105" s="908" t="s">
        <v>503</v>
      </c>
      <c r="B105" s="908" t="s">
        <v>1998</v>
      </c>
      <c r="C105" s="913">
        <v>3100</v>
      </c>
      <c r="D105" s="919" t="str">
        <f>'Revenues 9-14'!A132</f>
        <v>Total Special Education</v>
      </c>
      <c r="E105" s="906"/>
      <c r="F105" s="1789">
        <f>SUM('Revenues 9-14'!C132:D132,'Revenues 9-14'!F132)</f>
        <v>0</v>
      </c>
      <c r="G105" s="912"/>
    </row>
    <row r="106" spans="1:7" x14ac:dyDescent="0.2">
      <c r="A106" s="908" t="s">
        <v>673</v>
      </c>
      <c r="B106" s="908" t="s">
        <v>1999</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2000</v>
      </c>
      <c r="C107" s="920">
        <v>3300</v>
      </c>
      <c r="D107" s="911" t="str">
        <f>'Revenues 9-14'!A145</f>
        <v>Total Bilingual Ed</v>
      </c>
      <c r="E107" s="906"/>
      <c r="F107" s="1789">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9">
        <f>'Revenues 9-14'!C146</f>
        <v>1174</v>
      </c>
      <c r="G108" s="912"/>
    </row>
    <row r="109" spans="1:7" x14ac:dyDescent="0.2">
      <c r="A109" s="908" t="s">
        <v>673</v>
      </c>
      <c r="B109" s="908" t="s">
        <v>2002</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9">
        <f>SUM('Revenues 9-14'!C148,'Revenues 9-14'!D148)</f>
        <v>0</v>
      </c>
      <c r="G110" s="912"/>
    </row>
    <row r="111" spans="1:7" x14ac:dyDescent="0.2">
      <c r="A111" s="908" t="s">
        <v>668</v>
      </c>
      <c r="B111" s="908" t="s">
        <v>2004</v>
      </c>
      <c r="C111" s="922">
        <v>3500</v>
      </c>
      <c r="D111" s="911" t="str">
        <f>'Revenues 9-14'!A155</f>
        <v>Total Transportation</v>
      </c>
      <c r="E111" s="906"/>
      <c r="F111" s="1789">
        <f>SUM('Revenues 9-14'!C155,'Revenues 9-14'!D155,'Revenues 9-14'!F155,'Revenues 9-14'!G155)</f>
        <v>783</v>
      </c>
      <c r="G111" s="912"/>
    </row>
    <row r="112" spans="1:7" x14ac:dyDescent="0.2">
      <c r="A112" s="908" t="s">
        <v>459</v>
      </c>
      <c r="B112" s="908" t="s">
        <v>2005</v>
      </c>
      <c r="C112" s="920">
        <f>'Revenues 9-14'!B156</f>
        <v>3610</v>
      </c>
      <c r="D112" s="911" t="str">
        <f>'Revenues 9-14'!A156</f>
        <v>Learning Improvement - Change Grants</v>
      </c>
      <c r="E112" s="906"/>
      <c r="F112" s="1789">
        <f>'Revenues 9-14'!C156</f>
        <v>0</v>
      </c>
      <c r="G112" s="912"/>
    </row>
    <row r="113" spans="1:7" x14ac:dyDescent="0.2">
      <c r="A113" s="908" t="s">
        <v>668</v>
      </c>
      <c r="B113" s="908" t="s">
        <v>2006</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907">
        <f>SUM('Revenues 9-14'!C163:G163)</f>
        <v>0</v>
      </c>
      <c r="G118" s="912"/>
    </row>
    <row r="119" spans="1:7" x14ac:dyDescent="0.2">
      <c r="A119" s="923" t="s">
        <v>504</v>
      </c>
      <c r="B119" s="923" t="s">
        <v>2012</v>
      </c>
      <c r="C119" s="924">
        <f>'Revenues 9-14'!B164</f>
        <v>3815</v>
      </c>
      <c r="D119" s="925" t="str">
        <f>'Revenues 9-14'!A164</f>
        <v>State Charter Schools</v>
      </c>
      <c r="E119" s="906"/>
      <c r="F119" s="1907">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9">
        <f>'Revenues 9-14'!D167</f>
        <v>0</v>
      </c>
      <c r="G120" s="930"/>
    </row>
    <row r="121" spans="1:7" x14ac:dyDescent="0.2">
      <c r="A121" s="927" t="s">
        <v>500</v>
      </c>
      <c r="B121" s="927" t="s">
        <v>2014</v>
      </c>
      <c r="C121" s="928">
        <f>'Revenues 9-14'!B168</f>
        <v>3999</v>
      </c>
      <c r="D121" s="929" t="s">
        <v>543</v>
      </c>
      <c r="E121" s="931"/>
      <c r="F121" s="1789">
        <f>SUM('Revenues 9-14'!C168:G168,'Revenues 9-14'!J168)</f>
        <v>0</v>
      </c>
      <c r="G121" s="930"/>
    </row>
    <row r="122" spans="1:7" x14ac:dyDescent="0.2">
      <c r="A122" s="927" t="s">
        <v>459</v>
      </c>
      <c r="B122" s="927" t="s">
        <v>2015</v>
      </c>
      <c r="C122" s="932">
        <f>'Revenues 9-14'!B177</f>
        <v>4045</v>
      </c>
      <c r="D122" s="929" t="str">
        <f>'Revenues 9-14'!A177 &amp; " (Subtract)"</f>
        <v>Head Start (Subtract)</v>
      </c>
      <c r="E122" s="906"/>
      <c r="F122" s="1789">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2017</v>
      </c>
      <c r="C124" s="932">
        <v>4100</v>
      </c>
      <c r="D124" s="933" t="str">
        <f>'Revenues 9-14'!A188</f>
        <v>Total Title V</v>
      </c>
      <c r="E124" s="906"/>
      <c r="F124" s="1789">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89">
        <f>SUM('Revenues 9-14'!C198,'Revenues 9-14'!G198)</f>
        <v>85255</v>
      </c>
      <c r="G125" s="930"/>
    </row>
    <row r="126" spans="1:7" x14ac:dyDescent="0.2">
      <c r="A126" s="927" t="s">
        <v>668</v>
      </c>
      <c r="B126" s="927" t="s">
        <v>2019</v>
      </c>
      <c r="C126" s="932">
        <v>4300</v>
      </c>
      <c r="D126" s="933" t="str">
        <f>'Revenues 9-14'!A204</f>
        <v>Total Title I</v>
      </c>
      <c r="E126" s="906"/>
      <c r="F126" s="1789">
        <f>SUM('Revenues 9-14'!C204,'Revenues 9-14'!D204,'Revenues 9-14'!F204,'Revenues 9-14'!G204)</f>
        <v>0</v>
      </c>
      <c r="G126" s="930"/>
    </row>
    <row r="127" spans="1:7" x14ac:dyDescent="0.2">
      <c r="A127" s="927" t="s">
        <v>668</v>
      </c>
      <c r="B127" s="927" t="s">
        <v>2020</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2021</v>
      </c>
      <c r="C128" s="932">
        <f>'Revenues 9-14'!B213</f>
        <v>4620</v>
      </c>
      <c r="D128" s="933" t="str">
        <f>'Revenues 9-14'!A213</f>
        <v>Fed - Spec Education - IDEA - Flow Through</v>
      </c>
      <c r="E128" s="906"/>
      <c r="F128" s="1789">
        <f>SUM('Revenues 9-14'!C213:D213,'Revenues 9-14'!F213:G213)</f>
        <v>2923173</v>
      </c>
      <c r="G128" s="930"/>
    </row>
    <row r="129" spans="1:7" x14ac:dyDescent="0.2">
      <c r="A129" s="927" t="s">
        <v>668</v>
      </c>
      <c r="B129" s="927" t="s">
        <v>2022</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2023</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2024</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9">
        <v>0</v>
      </c>
      <c r="G138" s="905"/>
    </row>
    <row r="139" spans="1:7" s="867" customFormat="1" hidden="1" x14ac:dyDescent="0.2">
      <c r="A139" s="934" t="s">
        <v>206</v>
      </c>
      <c r="B139" s="934" t="s">
        <v>2031</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2039</v>
      </c>
      <c r="C157" s="940" t="s">
        <v>841</v>
      </c>
      <c r="D157" s="941" t="s">
        <v>777</v>
      </c>
      <c r="E157" s="942"/>
      <c r="F157" s="1789">
        <f>SUM(F133:F156)</f>
        <v>0</v>
      </c>
      <c r="G157" s="905"/>
    </row>
    <row r="158" spans="1:7" s="867" customFormat="1" x14ac:dyDescent="0.2">
      <c r="A158" s="938" t="s">
        <v>459</v>
      </c>
      <c r="B158" s="939" t="s">
        <v>2040</v>
      </c>
      <c r="C158" s="940" t="s">
        <v>1427</v>
      </c>
      <c r="D158" s="941" t="s">
        <v>1428</v>
      </c>
      <c r="E158" s="942"/>
      <c r="F158" s="1789">
        <f>SUM('Revenues 9-14'!C253)</f>
        <v>0</v>
      </c>
      <c r="G158" s="905"/>
    </row>
    <row r="159" spans="1:7" s="867" customFormat="1" x14ac:dyDescent="0.2">
      <c r="A159" s="938" t="s">
        <v>500</v>
      </c>
      <c r="B159" s="939" t="s">
        <v>2041</v>
      </c>
      <c r="C159" s="940" t="s">
        <v>1466</v>
      </c>
      <c r="D159" s="941" t="s">
        <v>1467</v>
      </c>
      <c r="E159" s="942"/>
      <c r="F159" s="1789">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2044</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2047</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9">
        <f>SUM('Revenues 9-14'!C263:D263,'Revenues 9-14'!F263:G263)</f>
        <v>47628</v>
      </c>
      <c r="G168" s="947">
        <v>6320</v>
      </c>
    </row>
    <row r="169" spans="1:7" x14ac:dyDescent="0.2">
      <c r="A169" s="927" t="s">
        <v>668</v>
      </c>
      <c r="B169" s="927" t="s">
        <v>2049</v>
      </c>
      <c r="C169" s="932">
        <f>'Revenues 9-14'!B264</f>
        <v>4992</v>
      </c>
      <c r="D169" s="933" t="str">
        <f>'Revenues 9-14'!A264</f>
        <v>Medicaid Matching Funds - Fee-for-Service Program</v>
      </c>
      <c r="E169" s="906"/>
      <c r="F169" s="1789">
        <f>SUM('Revenues 9-14'!C264:D264,'Revenues 9-14'!F264:G264)</f>
        <v>125176</v>
      </c>
      <c r="G169" s="947"/>
    </row>
    <row r="170" spans="1:7" x14ac:dyDescent="0.2">
      <c r="A170" s="948" t="s">
        <v>668</v>
      </c>
      <c r="B170" s="944" t="s">
        <v>2050</v>
      </c>
      <c r="C170" s="945">
        <f>'Revenues 9-14'!B265</f>
        <v>4999</v>
      </c>
      <c r="D170" s="946" t="str">
        <f>'Revenues 9-14'!A265</f>
        <v>Other Restricted Revenue from Federal Sources (Describe &amp; Itemize)</v>
      </c>
      <c r="E170" s="906"/>
      <c r="F170" s="1789">
        <f>SUM('Revenues 9-14'!C265:D265,'Revenues 9-14'!F265:G265)</f>
        <v>29972</v>
      </c>
      <c r="G170" s="927"/>
    </row>
    <row r="171" spans="1:7" x14ac:dyDescent="0.2">
      <c r="A171" s="1918" t="s">
        <v>5</v>
      </c>
      <c r="B171" s="1919" t="s">
        <v>1916</v>
      </c>
      <c r="C171" s="1920">
        <v>3100</v>
      </c>
      <c r="D171" s="1921" t="s">
        <v>1918</v>
      </c>
      <c r="E171" s="906"/>
      <c r="F171" s="1906"/>
      <c r="G171" s="927"/>
    </row>
    <row r="172" spans="1:7" x14ac:dyDescent="0.2">
      <c r="A172" s="1918" t="s">
        <v>664</v>
      </c>
      <c r="B172" s="1919" t="s">
        <v>1916</v>
      </c>
      <c r="C172" s="1920">
        <v>3300</v>
      </c>
      <c r="D172" s="1921" t="s">
        <v>1919</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2051</v>
      </c>
      <c r="E174" s="1787" t="s">
        <v>958</v>
      </c>
      <c r="F174" s="1788">
        <f>SUM(F84:F132,F157:F172)</f>
        <v>3862661</v>
      </c>
    </row>
    <row r="175" spans="1:7" ht="12" customHeight="1" x14ac:dyDescent="0.2">
      <c r="A175" s="1770"/>
      <c r="B175" s="1784"/>
      <c r="C175" s="1785"/>
      <c r="D175" s="1786" t="s">
        <v>2052</v>
      </c>
      <c r="E175" s="1787"/>
      <c r="F175" s="1789">
        <f>'PCTC-OEPP 27-28'!F77-F174</f>
        <v>9541486</v>
      </c>
    </row>
    <row r="176" spans="1:7" ht="12" customHeight="1" x14ac:dyDescent="0.2">
      <c r="A176" s="1770"/>
      <c r="B176" s="1784"/>
      <c r="C176" s="1785"/>
      <c r="D176" s="1786" t="s">
        <v>1814</v>
      </c>
      <c r="E176" s="1787"/>
      <c r="F176" s="1789">
        <f>'Cap Outlay Deprec 26'!I18</f>
        <v>203400</v>
      </c>
    </row>
    <row r="177" spans="1:7" ht="12" customHeight="1" x14ac:dyDescent="0.2">
      <c r="A177" s="1770"/>
      <c r="B177" s="1784"/>
      <c r="C177" s="1785"/>
      <c r="D177" s="1786" t="s">
        <v>2053</v>
      </c>
      <c r="E177" s="1787"/>
      <c r="F177" s="1789">
        <f>F175+F176</f>
        <v>9744886</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2054</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1989</v>
      </c>
      <c r="B182" s="1923"/>
      <c r="C182" s="1924"/>
      <c r="D182" s="1923"/>
      <c r="E182" s="1924"/>
      <c r="F182" s="1923"/>
      <c r="G182" s="1923"/>
    </row>
    <row r="183" spans="1:7" s="1922" customFormat="1" ht="12.2" customHeight="1" x14ac:dyDescent="0.2">
      <c r="A183" s="1925" t="s">
        <v>1991</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13" zoomScaleNormal="100" workbookViewId="0">
      <selection activeCell="D19" sqref="D1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5" t="s">
        <v>1815</v>
      </c>
      <c r="B4" s="2276"/>
      <c r="C4" s="2276"/>
      <c r="D4" s="2276"/>
      <c r="E4" s="2276"/>
      <c r="F4" s="2276"/>
      <c r="G4" s="2277"/>
    </row>
    <row r="5" spans="1:7" x14ac:dyDescent="0.25">
      <c r="A5" s="2278"/>
      <c r="B5" s="2279"/>
      <c r="C5" s="2279"/>
      <c r="D5" s="2279"/>
      <c r="E5" s="2279"/>
      <c r="F5" s="2279"/>
      <c r="G5" s="2280"/>
    </row>
    <row r="6" spans="1:7" ht="18.75" x14ac:dyDescent="0.25">
      <c r="A6" s="1534" t="s">
        <v>1816</v>
      </c>
      <c r="B6" s="1535"/>
      <c r="C6" s="1535"/>
      <c r="D6" s="1535"/>
      <c r="E6" s="1535"/>
      <c r="F6" s="1535"/>
      <c r="G6" s="1536"/>
    </row>
    <row r="7" spans="1:7" ht="30.75" customHeight="1" x14ac:dyDescent="0.25">
      <c r="A7" s="2281" t="s">
        <v>1928</v>
      </c>
      <c r="B7" s="2282"/>
      <c r="C7" s="2282"/>
      <c r="D7" s="2282"/>
      <c r="E7" s="2282"/>
      <c r="F7" s="2282"/>
      <c r="G7" s="2283"/>
    </row>
    <row r="8" spans="1:7" ht="15.75" customHeight="1" x14ac:dyDescent="0.25">
      <c r="A8" s="2284" t="s">
        <v>1903</v>
      </c>
      <c r="B8" s="2285"/>
      <c r="C8" s="2285"/>
      <c r="D8" s="2285"/>
      <c r="E8" s="2285"/>
      <c r="F8" s="2285"/>
      <c r="G8" s="2286"/>
    </row>
    <row r="9" spans="1:7" ht="35.25" customHeight="1" x14ac:dyDescent="0.25">
      <c r="A9" s="2281" t="s">
        <v>2060</v>
      </c>
      <c r="B9" s="2282"/>
      <c r="C9" s="2282"/>
      <c r="D9" s="2282"/>
      <c r="E9" s="2282"/>
      <c r="F9" s="2282"/>
      <c r="G9" s="2283"/>
    </row>
    <row r="10" spans="1:7" ht="15" customHeight="1" x14ac:dyDescent="0.25">
      <c r="A10" s="1537" t="s">
        <v>1817</v>
      </c>
      <c r="B10" s="1538"/>
      <c r="C10" s="1538"/>
      <c r="D10" s="1538"/>
      <c r="E10" s="1538"/>
      <c r="F10" s="1538"/>
      <c r="G10" s="1539"/>
    </row>
    <row r="11" spans="1:7" ht="17.25" customHeight="1" x14ac:dyDescent="0.25">
      <c r="A11" s="2281" t="s">
        <v>1930</v>
      </c>
      <c r="B11" s="2282"/>
      <c r="C11" s="2282"/>
      <c r="D11" s="2282"/>
      <c r="E11" s="2282"/>
      <c r="F11" s="2282"/>
      <c r="G11" s="2283"/>
    </row>
    <row r="12" spans="1:7" ht="15" customHeight="1" x14ac:dyDescent="0.25">
      <c r="A12" s="1537" t="s">
        <v>1822</v>
      </c>
      <c r="B12" s="1538"/>
      <c r="C12" s="1538"/>
      <c r="D12" s="1538"/>
      <c r="E12" s="1538"/>
      <c r="F12" s="1538"/>
      <c r="G12" s="1539"/>
    </row>
    <row r="13" spans="1:7" ht="32.25" customHeight="1" x14ac:dyDescent="0.25">
      <c r="A13" s="2272" t="s">
        <v>1971</v>
      </c>
      <c r="B13" s="2273"/>
      <c r="C13" s="2273"/>
      <c r="D13" s="2273"/>
      <c r="E13" s="2273"/>
      <c r="F13" s="2273"/>
      <c r="G13" s="2274"/>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ht="30" x14ac:dyDescent="0.25">
      <c r="A17" s="1940" t="s">
        <v>2146</v>
      </c>
      <c r="B17" s="1941" t="s">
        <v>2147</v>
      </c>
      <c r="C17" s="1942" t="s">
        <v>2148</v>
      </c>
      <c r="D17" s="1844">
        <v>13856</v>
      </c>
      <c r="E17" s="1540">
        <f t="shared" ref="E17:E141" si="0">IF(D17&lt;=25000,D17,IF(D17&gt;25000,25000,0))</f>
        <v>13856</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13856</v>
      </c>
      <c r="G17" s="1793">
        <f>IF(F17=0,0,D17-F17)</f>
        <v>0</v>
      </c>
      <c r="H17" s="1647"/>
    </row>
    <row r="18" spans="1:8" x14ac:dyDescent="0.25">
      <c r="A18" s="1940" t="s">
        <v>2149</v>
      </c>
      <c r="B18" s="1941" t="s">
        <v>2150</v>
      </c>
      <c r="C18" s="1942" t="s">
        <v>2151</v>
      </c>
      <c r="D18" s="1844">
        <v>18662</v>
      </c>
      <c r="E18" s="1540">
        <f t="shared" ref="E18:E140" si="2">IF(D18&lt;=25000,D18,IF(D18&gt;25000,25000,0))</f>
        <v>18662</v>
      </c>
      <c r="F18" s="1932">
        <f t="shared" si="1"/>
        <v>18662</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32518</v>
      </c>
      <c r="E141" s="1541">
        <f t="shared" si="0"/>
        <v>25000</v>
      </c>
      <c r="F141" s="1933">
        <f>SUM(F17:F140)</f>
        <v>32518</v>
      </c>
      <c r="G141" s="1795">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13"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7" t="s">
        <v>1679</v>
      </c>
      <c r="B5" s="2288"/>
      <c r="C5" s="2288"/>
      <c r="D5" s="2288"/>
      <c r="E5" s="2288"/>
      <c r="F5" s="2288"/>
      <c r="G5" s="2289"/>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85255</v>
      </c>
      <c r="F10" s="974"/>
      <c r="G10" s="975"/>
      <c r="H10" s="162"/>
      <c r="I10" s="162"/>
    </row>
    <row r="11" spans="1:9" s="668" customFormat="1" ht="22.5" customHeight="1" x14ac:dyDescent="0.2">
      <c r="A11" s="2292" t="s">
        <v>1972</v>
      </c>
      <c r="B11" s="2293"/>
      <c r="C11" s="2293"/>
      <c r="D11" s="2294"/>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7985096</v>
      </c>
      <c r="F19" s="1799"/>
      <c r="G19" s="1801">
        <f>'Expenditures 15-22'!K33-SUM('Expenditures 15-22'!G33,'Expenditures 15-22'!I33)+'Expenditures 15-22'!D229</f>
        <v>7985096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3785714</v>
      </c>
      <c r="F21" s="1802"/>
      <c r="G21" s="1805">
        <f>'Expenditures 15-22'!K42-SUM('Expenditures 15-22'!G42,'Expenditures 15-22'!I42)+'Expenditures 15-22'!K120-SUM('Expenditures 15-22'!G120,'Expenditures 15-22'!I120)+'Expenditures 15-22'!K180-SUM('Expenditures 15-22'!G180,'Expenditures 15-22'!I180)+'Expenditures 15-22'!D238</f>
        <v>3785714</v>
      </c>
      <c r="H21" s="987"/>
      <c r="I21" s="162"/>
    </row>
    <row r="22" spans="1:9" s="668" customFormat="1" ht="12" customHeight="1" x14ac:dyDescent="0.2">
      <c r="A22" s="994" t="s">
        <v>564</v>
      </c>
      <c r="B22" s="995"/>
      <c r="C22" s="993">
        <v>2200</v>
      </c>
      <c r="D22" s="1802"/>
      <c r="E22" s="1804">
        <f>'Expenditures 15-22'!K47-SUM('Expenditures 15-22'!G47,'Expenditures 15-22'!I47)+'Expenditures 15-22'!D243</f>
        <v>117063</v>
      </c>
      <c r="F22" s="1802"/>
      <c r="G22" s="1805">
        <f>'Expenditures 15-22'!K47-SUM('Expenditures 15-22'!G47,'Expenditures 15-22'!I47)+'Expenditures 15-22'!D243</f>
        <v>117063</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2121262</v>
      </c>
      <c r="F23" s="1802"/>
      <c r="G23" s="1804">
        <f>'Expenditures 15-22'!K53-SUM('Expenditures 15-22'!G53,'Expenditures 15-22'!I53)+'Expenditures 15-22'!D257+'Expenditures 15-22'!K330-SUM('Expenditures 15-22'!G330,'Expenditures 15-22'!I330)</f>
        <v>2121262</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30446</v>
      </c>
      <c r="F28" s="1806">
        <f>'Expenditures 15-22'!K61-SUM('Expenditures 15-22'!G61,'Expenditures 15-22'!I61)+'Expenditures 15-22'!K124-SUM('Expenditures 15-22'!G124,'Expenditures 15-22'!I124)+'Expenditures 15-22'!D266-E9</f>
        <v>30446</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-85255</v>
      </c>
      <c r="F30" s="1802"/>
      <c r="G30" s="1804">
        <f>'Expenditures 15-22'!K63-SUM('Expenditures 15-22'!G63,'Expenditures 15-22'!I63)+'Expenditures 15-22'!D268-E10</f>
        <v>-85255</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1820</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0</v>
      </c>
      <c r="E41" s="1806">
        <f>SUM(E19:E40)</f>
        <v>13954326</v>
      </c>
      <c r="F41" s="1806">
        <f>SUM(F19:F39)</f>
        <v>30446</v>
      </c>
      <c r="G41" s="1806">
        <f>SUM(G19:G40)</f>
        <v>13923880</v>
      </c>
    </row>
    <row r="42" spans="1:7" x14ac:dyDescent="0.2">
      <c r="A42" s="987"/>
      <c r="B42" s="162"/>
      <c r="C42" s="1001"/>
      <c r="D42" s="2290" t="s">
        <v>522</v>
      </c>
      <c r="E42" s="2291"/>
      <c r="F42" s="1002" t="s">
        <v>523</v>
      </c>
      <c r="G42" s="1003"/>
    </row>
    <row r="43" spans="1:7" ht="12" customHeight="1" x14ac:dyDescent="0.2">
      <c r="A43" s="987"/>
      <c r="B43" s="162"/>
      <c r="C43" s="1001"/>
      <c r="D43" s="1807" t="s">
        <v>473</v>
      </c>
      <c r="E43" s="1808">
        <f>D41</f>
        <v>0</v>
      </c>
      <c r="F43" s="1807" t="s">
        <v>473</v>
      </c>
      <c r="G43" s="1808">
        <f>F41</f>
        <v>30446</v>
      </c>
    </row>
    <row r="44" spans="1:7" ht="12" customHeight="1" x14ac:dyDescent="0.2">
      <c r="A44" s="987"/>
      <c r="B44" s="162"/>
      <c r="C44" s="1001"/>
      <c r="D44" s="1807" t="s">
        <v>474</v>
      </c>
      <c r="E44" s="1808">
        <f>E41</f>
        <v>13954326</v>
      </c>
      <c r="F44" s="1807" t="s">
        <v>474</v>
      </c>
      <c r="G44" s="1808">
        <f>G41</f>
        <v>13923880</v>
      </c>
    </row>
    <row r="45" spans="1:7" ht="12" customHeight="1" x14ac:dyDescent="0.2">
      <c r="A45" s="987"/>
      <c r="B45" s="162"/>
      <c r="C45" s="162"/>
      <c r="D45" s="1809" t="s">
        <v>1006</v>
      </c>
      <c r="E45" s="1810">
        <f>(E43/E44)</f>
        <v>0</v>
      </c>
      <c r="F45" s="1809" t="s">
        <v>1006</v>
      </c>
      <c r="G45" s="1810">
        <f>(G43/G44)</f>
        <v>2.1866031594641724E-3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5" activePane="bottomLeft" state="frozen"/>
      <selection activeCell="A47" sqref="A47"/>
      <selection pane="bottomLeft" activeCell="A46" sqref="A46"/>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2" t="s">
        <v>1379</v>
      </c>
      <c r="B1" s="2312"/>
      <c r="C1" s="2312"/>
      <c r="D1" s="2312"/>
      <c r="E1" s="2312"/>
      <c r="F1" s="2312"/>
    </row>
    <row r="2" spans="1:10" x14ac:dyDescent="0.2">
      <c r="A2" s="1887" t="s">
        <v>1908</v>
      </c>
      <c r="B2" s="1848"/>
      <c r="C2" s="1887"/>
      <c r="D2" s="1848"/>
      <c r="E2" s="1848"/>
      <c r="F2" s="1849"/>
    </row>
    <row r="3" spans="1:10" x14ac:dyDescent="0.2">
      <c r="A3" s="1887" t="s">
        <v>1973</v>
      </c>
      <c r="B3" s="1848"/>
      <c r="C3" s="1887"/>
      <c r="D3" s="1848"/>
      <c r="E3" s="1848"/>
      <c r="F3" s="1849"/>
    </row>
    <row r="4" spans="1:10" ht="3.75" customHeight="1" x14ac:dyDescent="0.2">
      <c r="A4" s="1848"/>
      <c r="B4" s="1848"/>
      <c r="C4" s="1848"/>
      <c r="D4" s="1848"/>
      <c r="E4" s="1848"/>
      <c r="F4" s="1849"/>
    </row>
    <row r="5" spans="1:10" ht="15" x14ac:dyDescent="0.25">
      <c r="A5" s="2313" t="s">
        <v>1546</v>
      </c>
      <c r="B5" s="2314"/>
      <c r="C5" s="2315"/>
      <c r="D5" s="2315"/>
      <c r="E5" s="2315"/>
      <c r="F5" s="2315"/>
    </row>
    <row r="6" spans="1:10" ht="12" customHeight="1" x14ac:dyDescent="0.25">
      <c r="A6" s="1850"/>
      <c r="B6" s="1851"/>
      <c r="C6" s="2316" t="str">
        <f>COVER!A17</f>
        <v>S Will Co Coop for Spec Ed</v>
      </c>
      <c r="D6" s="2316"/>
      <c r="E6" s="2316"/>
      <c r="F6" s="1852"/>
    </row>
    <row r="7" spans="1:10" ht="11.25" customHeight="1" thickBot="1" x14ac:dyDescent="0.3">
      <c r="A7" s="1850"/>
      <c r="B7" s="1851"/>
      <c r="C7" s="2317" t="str">
        <f>COVER!A13</f>
        <v>56099255U61</v>
      </c>
      <c r="D7" s="2317"/>
      <c r="E7" s="2317"/>
      <c r="F7" s="1852"/>
    </row>
    <row r="8" spans="1:10" ht="25.5" customHeight="1" thickBot="1" x14ac:dyDescent="0.25">
      <c r="A8" s="1893" t="s">
        <v>1904</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937" t="s">
        <v>2070</v>
      </c>
      <c r="D14" s="1937" t="s">
        <v>2070</v>
      </c>
      <c r="E14" s="1938"/>
      <c r="F14" s="1939" t="s">
        <v>2080</v>
      </c>
      <c r="H14" s="1878">
        <f t="shared" si="0"/>
        <v>5</v>
      </c>
      <c r="I14" s="1878">
        <f t="shared" si="1"/>
        <v>5</v>
      </c>
      <c r="J14" s="1878">
        <f t="shared" si="2"/>
        <v>0</v>
      </c>
    </row>
    <row r="15" spans="1:10" ht="12" customHeight="1" x14ac:dyDescent="0.2">
      <c r="A15" s="1863" t="s">
        <v>1387</v>
      </c>
      <c r="B15" s="1864"/>
      <c r="C15" s="1937" t="s">
        <v>2070</v>
      </c>
      <c r="D15" s="1937" t="s">
        <v>2070</v>
      </c>
      <c r="E15" s="1938"/>
      <c r="F15" s="1939" t="s">
        <v>2081</v>
      </c>
      <c r="H15" s="1878">
        <f t="shared" si="0"/>
        <v>5</v>
      </c>
      <c r="I15" s="1878">
        <f t="shared" si="1"/>
        <v>5</v>
      </c>
      <c r="J15" s="1878">
        <f t="shared" si="2"/>
        <v>0</v>
      </c>
    </row>
    <row r="16" spans="1:10" ht="12" customHeight="1" x14ac:dyDescent="0.2">
      <c r="A16" s="1863" t="s">
        <v>1388</v>
      </c>
      <c r="B16" s="1864"/>
      <c r="C16" s="1937" t="s">
        <v>2070</v>
      </c>
      <c r="D16" s="1937" t="s">
        <v>2070</v>
      </c>
      <c r="E16" s="1938"/>
      <c r="F16" s="1939" t="s">
        <v>2082</v>
      </c>
      <c r="H16" s="1878">
        <f t="shared" si="0"/>
        <v>5</v>
      </c>
      <c r="I16" s="1878">
        <f t="shared" si="1"/>
        <v>5</v>
      </c>
      <c r="J16" s="1878">
        <f t="shared" si="2"/>
        <v>0</v>
      </c>
    </row>
    <row r="17" spans="1:12" ht="12" customHeight="1" x14ac:dyDescent="0.2">
      <c r="A17" s="1863" t="s">
        <v>1389</v>
      </c>
      <c r="B17" s="1864"/>
      <c r="C17" s="1937"/>
      <c r="D17" s="1937"/>
      <c r="E17" s="1938"/>
      <c r="F17" s="1939"/>
      <c r="H17" s="1878">
        <f t="shared" si="0"/>
        <v>0</v>
      </c>
      <c r="I17" s="1878">
        <f t="shared" si="1"/>
        <v>0</v>
      </c>
      <c r="J17" s="1878">
        <f t="shared" si="2"/>
        <v>0</v>
      </c>
    </row>
    <row r="18" spans="1:12" ht="12" customHeight="1" x14ac:dyDescent="0.2">
      <c r="A18" s="1863" t="s">
        <v>1390</v>
      </c>
      <c r="B18" s="1864"/>
      <c r="C18" s="1937" t="s">
        <v>2070</v>
      </c>
      <c r="D18" s="1937" t="s">
        <v>2070</v>
      </c>
      <c r="E18" s="1938"/>
      <c r="F18" s="1939" t="s">
        <v>2083</v>
      </c>
      <c r="H18" s="1878">
        <f t="shared" si="0"/>
        <v>5</v>
      </c>
      <c r="I18" s="1878">
        <f t="shared" si="1"/>
        <v>5</v>
      </c>
      <c r="J18" s="1878">
        <f t="shared" si="2"/>
        <v>0</v>
      </c>
    </row>
    <row r="19" spans="1:12" ht="12" customHeight="1" x14ac:dyDescent="0.2">
      <c r="A19" s="1863" t="s">
        <v>1527</v>
      </c>
      <c r="B19" s="1864"/>
      <c r="C19" s="1937" t="s">
        <v>2070</v>
      </c>
      <c r="D19" s="1937" t="s">
        <v>2070</v>
      </c>
      <c r="E19" s="1938"/>
      <c r="F19" s="1939" t="s">
        <v>2084</v>
      </c>
      <c r="H19" s="1878">
        <f t="shared" si="0"/>
        <v>5</v>
      </c>
      <c r="I19" s="1878">
        <f t="shared" si="1"/>
        <v>5</v>
      </c>
      <c r="J19" s="1878">
        <f t="shared" si="2"/>
        <v>0</v>
      </c>
    </row>
    <row r="20" spans="1:12" ht="12" customHeight="1" x14ac:dyDescent="0.2">
      <c r="A20" s="1863" t="s">
        <v>1528</v>
      </c>
      <c r="B20" s="1864"/>
      <c r="C20" s="1937" t="s">
        <v>2070</v>
      </c>
      <c r="D20" s="1937" t="s">
        <v>2070</v>
      </c>
      <c r="E20" s="1938"/>
      <c r="F20" s="1939" t="s">
        <v>2085</v>
      </c>
      <c r="H20" s="1878">
        <f t="shared" si="0"/>
        <v>5</v>
      </c>
      <c r="I20" s="1878">
        <f t="shared" si="1"/>
        <v>5</v>
      </c>
      <c r="J20" s="1878">
        <f t="shared" si="2"/>
        <v>0</v>
      </c>
    </row>
    <row r="21" spans="1:12" ht="12" customHeight="1" x14ac:dyDescent="0.2">
      <c r="A21" s="1863" t="s">
        <v>1529</v>
      </c>
      <c r="B21" s="1864"/>
      <c r="C21" s="1937" t="s">
        <v>2070</v>
      </c>
      <c r="D21" s="1937" t="s">
        <v>2070</v>
      </c>
      <c r="E21" s="1938"/>
      <c r="F21" s="1939" t="s">
        <v>2086</v>
      </c>
      <c r="H21" s="1878">
        <f t="shared" si="0"/>
        <v>5</v>
      </c>
      <c r="I21" s="1878">
        <f t="shared" si="1"/>
        <v>5</v>
      </c>
      <c r="J21" s="1878">
        <f t="shared" si="2"/>
        <v>0</v>
      </c>
    </row>
    <row r="22" spans="1:12" ht="12" customHeight="1" x14ac:dyDescent="0.2">
      <c r="A22" s="1863" t="s">
        <v>1530</v>
      </c>
      <c r="B22" s="1864"/>
      <c r="C22" s="1937"/>
      <c r="D22" s="1937"/>
      <c r="E22" s="1938"/>
      <c r="F22" s="1939"/>
      <c r="H22" s="1878">
        <f t="shared" si="0"/>
        <v>0</v>
      </c>
      <c r="I22" s="1878">
        <f t="shared" si="1"/>
        <v>0</v>
      </c>
      <c r="J22" s="1878">
        <f t="shared" si="2"/>
        <v>0</v>
      </c>
    </row>
    <row r="23" spans="1:12" ht="12" customHeight="1" x14ac:dyDescent="0.2">
      <c r="A23" s="1863" t="s">
        <v>1531</v>
      </c>
      <c r="B23" s="1864"/>
      <c r="C23" s="1937"/>
      <c r="D23" s="1937"/>
      <c r="E23" s="1938"/>
      <c r="F23" s="1939"/>
      <c r="H23" s="1878">
        <f t="shared" si="0"/>
        <v>0</v>
      </c>
      <c r="I23" s="1878">
        <f t="shared" si="1"/>
        <v>0</v>
      </c>
      <c r="J23" s="1878">
        <f t="shared" si="2"/>
        <v>0</v>
      </c>
    </row>
    <row r="24" spans="1:12" ht="12" customHeight="1" x14ac:dyDescent="0.2">
      <c r="A24" s="1863" t="s">
        <v>1532</v>
      </c>
      <c r="B24" s="1864"/>
      <c r="C24" s="1937" t="s">
        <v>2070</v>
      </c>
      <c r="D24" s="1937" t="s">
        <v>2070</v>
      </c>
      <c r="E24" s="1938"/>
      <c r="F24" s="1939" t="s">
        <v>2087</v>
      </c>
      <c r="H24" s="1878">
        <f t="shared" si="0"/>
        <v>5</v>
      </c>
      <c r="I24" s="1878">
        <f t="shared" si="1"/>
        <v>5</v>
      </c>
      <c r="J24" s="1878">
        <f t="shared" si="2"/>
        <v>0</v>
      </c>
    </row>
    <row r="25" spans="1:12" ht="12" customHeight="1" x14ac:dyDescent="0.2">
      <c r="A25" s="1863" t="s">
        <v>1533</v>
      </c>
      <c r="B25" s="1864"/>
      <c r="C25" s="1937"/>
      <c r="D25" s="1937"/>
      <c r="E25" s="1938"/>
      <c r="F25" s="1939"/>
      <c r="H25" s="1878">
        <f t="shared" si="0"/>
        <v>0</v>
      </c>
      <c r="I25" s="1878">
        <f t="shared" si="1"/>
        <v>0</v>
      </c>
      <c r="J25" s="1878">
        <f t="shared" si="2"/>
        <v>0</v>
      </c>
    </row>
    <row r="26" spans="1:12" ht="12" customHeight="1" x14ac:dyDescent="0.2">
      <c r="A26" s="1863" t="s">
        <v>1534</v>
      </c>
      <c r="B26" s="1864"/>
      <c r="C26" s="1937" t="s">
        <v>2070</v>
      </c>
      <c r="D26" s="1937" t="s">
        <v>2070</v>
      </c>
      <c r="E26" s="1938"/>
      <c r="F26" s="1939" t="s">
        <v>2088</v>
      </c>
      <c r="H26" s="1878">
        <f t="shared" si="0"/>
        <v>5</v>
      </c>
      <c r="I26" s="1878">
        <f t="shared" si="1"/>
        <v>5</v>
      </c>
      <c r="J26" s="1878">
        <f t="shared" si="2"/>
        <v>0</v>
      </c>
    </row>
    <row r="27" spans="1:12" ht="18.75" x14ac:dyDescent="0.2">
      <c r="A27" s="1863" t="s">
        <v>1535</v>
      </c>
      <c r="B27" s="1864"/>
      <c r="C27" s="1937"/>
      <c r="D27" s="1937"/>
      <c r="E27" s="1938"/>
      <c r="F27" s="1939"/>
      <c r="H27" s="1878">
        <f t="shared" si="0"/>
        <v>0</v>
      </c>
      <c r="I27" s="1878">
        <f t="shared" si="1"/>
        <v>0</v>
      </c>
      <c r="J27" s="1878">
        <f t="shared" si="2"/>
        <v>0</v>
      </c>
    </row>
    <row r="28" spans="1:12" ht="12" customHeight="1" x14ac:dyDescent="0.2">
      <c r="A28" s="1863" t="s">
        <v>1536</v>
      </c>
      <c r="B28" s="1864"/>
      <c r="C28" s="1937"/>
      <c r="D28" s="1937"/>
      <c r="E28" s="1938"/>
      <c r="F28" s="1939"/>
      <c r="H28" s="1878">
        <f t="shared" si="0"/>
        <v>0</v>
      </c>
      <c r="I28" s="1878">
        <f t="shared" si="1"/>
        <v>0</v>
      </c>
      <c r="J28" s="1878">
        <f t="shared" si="2"/>
        <v>0</v>
      </c>
    </row>
    <row r="29" spans="1:12" ht="12" customHeight="1" x14ac:dyDescent="0.2">
      <c r="A29" s="1863" t="s">
        <v>1537</v>
      </c>
      <c r="B29" s="1864"/>
      <c r="C29" s="1937" t="s">
        <v>2070</v>
      </c>
      <c r="D29" s="1937" t="s">
        <v>2070</v>
      </c>
      <c r="E29" s="1938"/>
      <c r="F29" s="1939" t="s">
        <v>2089</v>
      </c>
      <c r="H29" s="1878">
        <f t="shared" si="0"/>
        <v>5</v>
      </c>
      <c r="I29" s="1878">
        <f t="shared" si="1"/>
        <v>5</v>
      </c>
      <c r="J29" s="1878">
        <f t="shared" si="2"/>
        <v>0</v>
      </c>
    </row>
    <row r="30" spans="1:12" ht="12" customHeight="1" x14ac:dyDescent="0.2">
      <c r="A30" s="1863" t="s">
        <v>1538</v>
      </c>
      <c r="B30" s="1864"/>
      <c r="C30" s="1937" t="s">
        <v>2070</v>
      </c>
      <c r="D30" s="1937" t="s">
        <v>2070</v>
      </c>
      <c r="E30" s="1938"/>
      <c r="F30" s="1939" t="s">
        <v>2090</v>
      </c>
      <c r="H30" s="1878">
        <f t="shared" si="0"/>
        <v>5</v>
      </c>
      <c r="I30" s="1878">
        <f t="shared" si="1"/>
        <v>5</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55</v>
      </c>
      <c r="I34" s="1878">
        <f>SUM(I11:I32)</f>
        <v>55</v>
      </c>
      <c r="J34" s="1878">
        <f>SUM(J11:J32)</f>
        <v>0</v>
      </c>
      <c r="K34" s="1878">
        <f>SUM(H34:J34)</f>
        <v>110</v>
      </c>
    </row>
    <row r="35" spans="1:11" ht="12" customHeight="1" x14ac:dyDescent="0.2">
      <c r="A35" s="1871" t="s">
        <v>1392</v>
      </c>
      <c r="B35" s="1872"/>
      <c r="C35" s="2318"/>
      <c r="D35" s="2318"/>
      <c r="E35" s="2318"/>
      <c r="F35" s="2319"/>
    </row>
    <row r="36" spans="1:11" ht="12" customHeight="1" x14ac:dyDescent="0.2">
      <c r="A36" s="2298"/>
      <c r="B36" s="2299"/>
      <c r="C36" s="2299"/>
      <c r="D36" s="2299"/>
      <c r="E36" s="2299"/>
      <c r="F36" s="2300"/>
    </row>
    <row r="37" spans="1:11" ht="12" customHeight="1" x14ac:dyDescent="0.2">
      <c r="A37" s="2298"/>
      <c r="B37" s="2299"/>
      <c r="C37" s="2299"/>
      <c r="D37" s="2299"/>
      <c r="E37" s="2299"/>
      <c r="F37" s="2300"/>
    </row>
    <row r="38" spans="1:11" ht="12" customHeight="1" x14ac:dyDescent="0.2">
      <c r="A38" s="2301"/>
      <c r="B38" s="2302"/>
      <c r="C38" s="2302"/>
      <c r="D38" s="2302"/>
      <c r="E38" s="2302"/>
      <c r="F38" s="2303"/>
    </row>
    <row r="39" spans="1:11" ht="4.5" hidden="1" customHeight="1" x14ac:dyDescent="0.2">
      <c r="A39" s="1873"/>
      <c r="B39" s="1873"/>
      <c r="C39" s="1873"/>
      <c r="D39" s="1873"/>
      <c r="E39" s="1873"/>
      <c r="F39" s="1873"/>
    </row>
    <row r="40" spans="1:11" s="1870" customFormat="1" ht="12" customHeight="1" x14ac:dyDescent="0.25">
      <c r="A40" s="1874" t="s">
        <v>1391</v>
      </c>
      <c r="B40" s="1875"/>
      <c r="C40" s="2304"/>
      <c r="D40" s="2304"/>
      <c r="E40" s="2304"/>
      <c r="F40" s="2305"/>
      <c r="H40" s="1879"/>
      <c r="I40" s="1879"/>
      <c r="J40" s="1879"/>
      <c r="K40" s="1879"/>
    </row>
    <row r="41" spans="1:11" s="1870" customFormat="1" ht="12" customHeight="1" x14ac:dyDescent="0.25">
      <c r="A41" s="2306" t="s">
        <v>2091</v>
      </c>
      <c r="B41" s="2307"/>
      <c r="C41" s="2307"/>
      <c r="D41" s="2307"/>
      <c r="E41" s="2307"/>
      <c r="F41" s="2308"/>
      <c r="H41" s="1879"/>
      <c r="I41" s="1879"/>
      <c r="J41" s="1879"/>
      <c r="K41" s="1879"/>
    </row>
    <row r="42" spans="1:11" s="1870" customFormat="1" ht="12" customHeight="1" x14ac:dyDescent="0.25">
      <c r="A42" s="2306" t="s">
        <v>2092</v>
      </c>
      <c r="B42" s="2307"/>
      <c r="C42" s="2307"/>
      <c r="D42" s="2307"/>
      <c r="E42" s="2307"/>
      <c r="F42" s="2308"/>
      <c r="H42" s="1879"/>
      <c r="I42" s="1879"/>
      <c r="J42" s="1879"/>
      <c r="K42" s="1879"/>
    </row>
    <row r="43" spans="1:11" s="1870" customFormat="1" ht="15" x14ac:dyDescent="0.25">
      <c r="A43" s="2309" t="s">
        <v>2093</v>
      </c>
      <c r="B43" s="2310"/>
      <c r="C43" s="2310"/>
      <c r="D43" s="2310"/>
      <c r="E43" s="2310"/>
      <c r="F43" s="2311"/>
      <c r="H43" s="1879"/>
      <c r="I43" s="1879"/>
      <c r="J43" s="1879"/>
      <c r="K43" s="1879"/>
    </row>
    <row r="44" spans="1:11" s="1870" customFormat="1" ht="12" hidden="1" customHeight="1" x14ac:dyDescent="0.25">
      <c r="A44" s="2295"/>
      <c r="B44" s="2296"/>
      <c r="C44" s="2296"/>
      <c r="D44" s="2296"/>
      <c r="E44" s="2296"/>
      <c r="F44" s="2297"/>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5" t="str">
        <f>COVER!A17</f>
        <v>S Will Co Coop for Spec Ed</v>
      </c>
      <c r="J6" s="2326"/>
      <c r="Q6" s="1664"/>
    </row>
    <row r="7" spans="1:17" x14ac:dyDescent="0.2">
      <c r="A7" s="2327" t="s">
        <v>869</v>
      </c>
      <c r="B7" s="2328"/>
      <c r="C7" s="2328"/>
      <c r="D7" s="2328"/>
      <c r="E7" s="2329"/>
      <c r="F7" s="1017"/>
      <c r="G7" s="1009"/>
      <c r="H7" s="1016" t="s">
        <v>372</v>
      </c>
      <c r="I7" s="2330" t="str">
        <f>COVER!A13</f>
        <v>56099255U61</v>
      </c>
      <c r="J7" s="233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1974</v>
      </c>
      <c r="F9" s="1023"/>
      <c r="G9" s="1023"/>
      <c r="H9" s="1896"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1" t="s">
        <v>481</v>
      </c>
      <c r="B11" s="2332"/>
      <c r="C11" s="233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2121262</v>
      </c>
      <c r="F12" s="1039"/>
      <c r="G12" s="1811">
        <f t="shared" ref="G12:G18" si="0">SUM(E12:F12)</f>
        <v>2121262</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4" t="s">
        <v>7</v>
      </c>
      <c r="C18" s="2335"/>
      <c r="D18" s="2336"/>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2121262</v>
      </c>
      <c r="F19" s="1813">
        <f t="shared" si="2"/>
        <v>0</v>
      </c>
      <c r="G19" s="1813">
        <f t="shared" si="2"/>
        <v>2121262</v>
      </c>
      <c r="H19" s="1813">
        <f t="shared" si="2"/>
        <v>0</v>
      </c>
      <c r="I19" s="1813">
        <f t="shared" si="2"/>
        <v>0</v>
      </c>
      <c r="J19" s="1813">
        <f t="shared" si="2"/>
        <v>0</v>
      </c>
    </row>
    <row r="20" spans="1:10" ht="13.5" thickTop="1" x14ac:dyDescent="0.2">
      <c r="A20" s="1035">
        <v>9</v>
      </c>
      <c r="B20" s="2337" t="s">
        <v>1976</v>
      </c>
      <c r="C20" s="2337"/>
      <c r="D20" s="2338"/>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43"/>
      <c r="D26" s="2343"/>
      <c r="E26" s="1050"/>
      <c r="F26" s="2342"/>
      <c r="G26" s="2342"/>
    </row>
    <row r="27" spans="1:10" x14ac:dyDescent="0.2">
      <c r="B27" s="1047"/>
      <c r="C27" s="1051" t="s">
        <v>1033</v>
      </c>
      <c r="D27" s="1052"/>
      <c r="E27" s="1053"/>
      <c r="F27" s="2339" t="s">
        <v>1509</v>
      </c>
      <c r="G27" s="2339"/>
    </row>
    <row r="28" spans="1:10" ht="28.5" customHeight="1" x14ac:dyDescent="0.2">
      <c r="B28" s="1047"/>
      <c r="C28" s="2341"/>
      <c r="D28" s="2341"/>
      <c r="E28" s="1054"/>
      <c r="F28" s="2341"/>
      <c r="G28" s="2341"/>
    </row>
    <row r="29" spans="1:10" x14ac:dyDescent="0.2">
      <c r="B29" s="1047"/>
      <c r="C29" s="1055" t="s">
        <v>1561</v>
      </c>
      <c r="E29" s="1056"/>
      <c r="F29" s="2340" t="s">
        <v>1510</v>
      </c>
      <c r="G29" s="234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2" t="s">
        <v>132</v>
      </c>
      <c r="D33" s="2323"/>
      <c r="E33" s="2323"/>
      <c r="F33" s="2323"/>
      <c r="G33" s="2323"/>
      <c r="H33" s="2323"/>
      <c r="I33" s="2323"/>
    </row>
    <row r="34" spans="1:10" ht="10.35" customHeight="1" x14ac:dyDescent="0.2">
      <c r="C34" s="2323"/>
      <c r="D34" s="2323"/>
      <c r="E34" s="2323"/>
      <c r="F34" s="2323"/>
      <c r="G34" s="2323"/>
      <c r="H34" s="2323"/>
      <c r="I34" s="2323"/>
    </row>
    <row r="35" spans="1:10" ht="7.5" customHeight="1" x14ac:dyDescent="0.2">
      <c r="C35" s="1062"/>
    </row>
    <row r="36" spans="1:10" ht="13.5" customHeight="1" x14ac:dyDescent="0.2">
      <c r="B36" s="1061"/>
      <c r="C36" s="2324" t="s">
        <v>1978</v>
      </c>
      <c r="D36" s="2323"/>
      <c r="E36" s="2323"/>
      <c r="F36" s="2323"/>
      <c r="G36" s="2323"/>
      <c r="H36" s="2323"/>
      <c r="I36" s="2323"/>
      <c r="J36" s="1063"/>
    </row>
    <row r="37" spans="1:10" ht="22.5" customHeight="1" x14ac:dyDescent="0.2">
      <c r="C37" s="2323"/>
      <c r="D37" s="2323"/>
      <c r="E37" s="2323"/>
      <c r="F37" s="2323"/>
      <c r="G37" s="2323"/>
      <c r="H37" s="2323"/>
      <c r="I37" s="2323"/>
      <c r="J37" s="1063"/>
    </row>
    <row r="38" spans="1:10" ht="7.5" customHeight="1" x14ac:dyDescent="0.2">
      <c r="C38" s="1062"/>
      <c r="D38" s="1064"/>
      <c r="E38" s="1065"/>
      <c r="F38" s="1066"/>
      <c r="G38" s="1065"/>
    </row>
    <row r="39" spans="1:10" ht="13.5" customHeight="1" x14ac:dyDescent="0.2">
      <c r="B39" s="1061"/>
      <c r="C39" s="2320" t="s">
        <v>882</v>
      </c>
      <c r="D39" s="2321"/>
      <c r="E39" s="2321"/>
      <c r="F39" s="2321"/>
      <c r="G39" s="2321"/>
      <c r="H39" s="2321"/>
      <c r="I39" s="232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9" sqref="B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2094</v>
      </c>
    </row>
    <row r="6" spans="1:2" x14ac:dyDescent="0.2">
      <c r="A6" s="1068">
        <v>2</v>
      </c>
      <c r="B6" s="329" t="s">
        <v>2095</v>
      </c>
    </row>
    <row r="7" spans="1:2" x14ac:dyDescent="0.2">
      <c r="A7" s="1068">
        <v>3</v>
      </c>
      <c r="B7" s="329" t="s">
        <v>2096</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S Will Co Coop for Spec Ed</v>
      </c>
    </row>
    <row r="65" spans="2:2" x14ac:dyDescent="0.2">
      <c r="B65" s="1070" t="str">
        <f>COVER!A13</f>
        <v>56099255U61</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6" t="s">
        <v>1611</v>
      </c>
    </row>
    <row r="23" spans="1:5" x14ac:dyDescent="0.2">
      <c r="A23" s="168"/>
      <c r="B23" s="162" t="s">
        <v>1853</v>
      </c>
      <c r="D23" s="167" t="s">
        <v>637</v>
      </c>
      <c r="E23" s="1836"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8" t="s">
        <v>1065</v>
      </c>
      <c r="B35" s="2058"/>
      <c r="C35" s="2058"/>
      <c r="D35" s="2058"/>
      <c r="E35" s="205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5" t="s">
        <v>691</v>
      </c>
      <c r="B40" s="2055"/>
      <c r="C40" s="2055"/>
      <c r="D40" s="2055"/>
      <c r="E40" s="2055"/>
    </row>
    <row r="41" spans="1:5" x14ac:dyDescent="0.2">
      <c r="A41" s="2056" t="s">
        <v>1608</v>
      </c>
      <c r="B41" s="2056"/>
      <c r="C41" s="2056"/>
      <c r="D41" s="2056"/>
      <c r="E41" s="2056"/>
    </row>
    <row r="42" spans="1:5" ht="12.75" customHeight="1" x14ac:dyDescent="0.2">
      <c r="A42" s="2057" t="s">
        <v>1022</v>
      </c>
      <c r="B42" s="2057"/>
      <c r="C42" s="2057"/>
      <c r="D42" s="2057"/>
      <c r="E42" s="2057"/>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6:F27"/>
  <sheetViews>
    <sheetView showGridLines="0" zoomScale="110" zoomScaleNormal="110" workbookViewId="0">
      <selection activeCell="B17" sqref="B17"/>
    </sheetView>
  </sheetViews>
  <sheetFormatPr defaultRowHeight="12.75" x14ac:dyDescent="0.2"/>
  <cols>
    <col min="1" max="1" width="1.85546875" style="329" customWidth="1"/>
    <col min="2" max="2" width="59.7109375" style="329" customWidth="1"/>
    <col min="3" max="16384" width="9.140625" style="329"/>
  </cols>
  <sheetData>
    <row r="16" spans="2:6" x14ac:dyDescent="0.2">
      <c r="B16" s="1071"/>
      <c r="C16" s="1071"/>
      <c r="D16" s="1071"/>
      <c r="E16" s="1071"/>
      <c r="F16" s="1071"/>
    </row>
    <row r="17" spans="1:6" x14ac:dyDescent="0.2">
      <c r="B17" s="1071"/>
      <c r="C17" s="1071"/>
      <c r="D17" s="1071"/>
      <c r="E17" s="1071"/>
      <c r="F17" s="1071"/>
    </row>
    <row r="18" spans="1:6" x14ac:dyDescent="0.2">
      <c r="B18" s="1071"/>
      <c r="C18" s="1071"/>
      <c r="D18" s="1071"/>
      <c r="E18" s="1071"/>
      <c r="F18" s="1071"/>
    </row>
    <row r="19" spans="1:6" x14ac:dyDescent="0.2">
      <c r="B19" s="1071"/>
      <c r="C19" s="1071"/>
      <c r="D19" s="1071"/>
      <c r="E19" s="1071"/>
      <c r="F19" s="1071"/>
    </row>
    <row r="20" spans="1:6" x14ac:dyDescent="0.2">
      <c r="B20" s="1071"/>
      <c r="C20" s="1071"/>
      <c r="D20" s="1071"/>
      <c r="E20" s="1071"/>
      <c r="F20" s="1071"/>
    </row>
    <row r="22" spans="1:6" x14ac:dyDescent="0.2">
      <c r="A22" s="1072" t="s">
        <v>1493</v>
      </c>
    </row>
    <row r="24" spans="1:6" x14ac:dyDescent="0.2">
      <c r="A24" s="389" t="s">
        <v>857</v>
      </c>
    </row>
    <row r="25" spans="1:6" s="1071" customFormat="1" ht="45" customHeight="1" x14ac:dyDescent="0.2">
      <c r="A25" s="1073"/>
      <c r="B25" s="1073" t="s">
        <v>1684</v>
      </c>
    </row>
    <row r="26" spans="1:6" ht="6" customHeight="1" x14ac:dyDescent="0.2"/>
    <row r="27" spans="1:6" ht="24.75" customHeight="1" x14ac:dyDescent="0.2">
      <c r="A27" s="2344" t="s">
        <v>1685</v>
      </c>
      <c r="B27" s="2344"/>
    </row>
  </sheetData>
  <sheetProtection selectLockedCells="1"/>
  <mergeCells count="1">
    <mergeCell ref="A27:B27"/>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Exch.Document.DC" dvAspect="DVASPECT_ICON" shapeId="50177" r:id="rId4"/>
      </mc:Fallback>
    </mc:AlternateContent>
    <mc:AlternateContent xmlns:mc="http://schemas.openxmlformats.org/markup-compatibility/2006">
      <mc:Choice Requires="x14">
        <oleObject progId="AcroExch.Document.DC" dvAspect="DVASPECT_ICON" shapeId="50178" r:id="rId6">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Exch.Document.DC" dvAspect="DVASPECT_ICON" shapeId="50178" r:id="rId6"/>
      </mc:Fallback>
    </mc:AlternateContent>
    <mc:AlternateContent xmlns:mc="http://schemas.openxmlformats.org/markup-compatibility/2006">
      <mc:Choice Requires="x14">
        <oleObject progId="AcroExch.Document.DC" dvAspect="DVASPECT_ICON" shapeId="50179" r:id="rId7">
          <objectPr defaultSize="0" r:id="rId5">
            <anchor moveWithCells="1">
              <from>
                <xdr:col>1</xdr:col>
                <xdr:colOff>0</xdr:colOff>
                <xdr:row>11</xdr:row>
                <xdr:rowOff>0</xdr:rowOff>
              </from>
              <to>
                <xdr:col>1</xdr:col>
                <xdr:colOff>914400</xdr:colOff>
                <xdr:row>15</xdr:row>
                <xdr:rowOff>38100</xdr:rowOff>
              </to>
            </anchor>
          </objectPr>
        </oleObject>
      </mc:Choice>
      <mc:Fallback>
        <oleObject progId="AcroExch.Document.DC" dvAspect="DVASPECT_ICON" shapeId="50179" r:id="rId7"/>
      </mc:Fallback>
    </mc:AlternateContent>
    <mc:AlternateContent xmlns:mc="http://schemas.openxmlformats.org/markup-compatibility/2006">
      <mc:Choice Requires="x14">
        <oleObject progId="AcroExch.Document.DC" dvAspect="DVASPECT_ICON" shapeId="50180" r:id="rId8">
          <objectPr defaultSize="0" r:id="rId5">
            <anchor moveWithCells="1">
              <from>
                <xdr:col>1</xdr:col>
                <xdr:colOff>0</xdr:colOff>
                <xdr:row>16</xdr:row>
                <xdr:rowOff>0</xdr:rowOff>
              </from>
              <to>
                <xdr:col>1</xdr:col>
                <xdr:colOff>914400</xdr:colOff>
                <xdr:row>20</xdr:row>
                <xdr:rowOff>38100</xdr:rowOff>
              </to>
            </anchor>
          </objectPr>
        </oleObject>
      </mc:Choice>
      <mc:Fallback>
        <oleObject progId="AcroExch.Document.DC" dvAspect="DVASPECT_ICON" shapeId="50180"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topLeftCell="A4"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5" t="s">
        <v>1690</v>
      </c>
      <c r="B1" s="2346"/>
      <c r="C1" s="2346"/>
      <c r="D1" s="2346"/>
      <c r="E1" s="2346"/>
      <c r="F1" s="2347"/>
    </row>
    <row r="2" spans="1:8" ht="45" customHeight="1" x14ac:dyDescent="0.2">
      <c r="A2" s="2355" t="s">
        <v>1982</v>
      </c>
      <c r="B2" s="2356"/>
      <c r="C2" s="2356"/>
      <c r="D2" s="2356"/>
      <c r="E2" s="2356"/>
      <c r="F2" s="2357"/>
      <c r="G2" s="1074"/>
      <c r="H2" s="1074"/>
    </row>
    <row r="3" spans="1:8" ht="57" customHeight="1" x14ac:dyDescent="0.2">
      <c r="A3" s="2358" t="s">
        <v>1686</v>
      </c>
      <c r="B3" s="2359"/>
      <c r="C3" s="2359"/>
      <c r="D3" s="2359"/>
      <c r="E3" s="2359"/>
      <c r="F3" s="2360"/>
      <c r="G3" s="1074"/>
      <c r="H3" s="1074"/>
    </row>
    <row r="4" spans="1:8" ht="14.25" customHeight="1" x14ac:dyDescent="0.2">
      <c r="A4" s="2364" t="s">
        <v>1983</v>
      </c>
      <c r="B4" s="2365"/>
      <c r="C4" s="2365"/>
      <c r="D4" s="2365"/>
      <c r="E4" s="2365"/>
      <c r="F4" s="2366"/>
      <c r="G4" s="1074"/>
      <c r="H4" s="1074"/>
    </row>
    <row r="5" spans="1:8" ht="14.25" customHeight="1" x14ac:dyDescent="0.2">
      <c r="A5" s="2367" t="s">
        <v>1979</v>
      </c>
      <c r="B5" s="2368"/>
      <c r="C5" s="2368"/>
      <c r="D5" s="2368"/>
      <c r="E5" s="2368"/>
      <c r="F5" s="2369"/>
      <c r="G5" s="1074"/>
      <c r="H5" s="1074"/>
    </row>
    <row r="6" spans="1:8" s="1075" customFormat="1" ht="41.25" customHeight="1" x14ac:dyDescent="0.2">
      <c r="A6" s="2361" t="s">
        <v>1691</v>
      </c>
      <c r="B6" s="2362"/>
      <c r="C6" s="2362"/>
      <c r="D6" s="2362"/>
      <c r="E6" s="2362"/>
      <c r="F6" s="236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16118248</v>
      </c>
      <c r="C8" s="1815">
        <f>'Acct Summary 7-8'!D8</f>
        <v>0</v>
      </c>
      <c r="D8" s="1815">
        <f>'Acct Summary 7-8'!F8</f>
        <v>0</v>
      </c>
      <c r="E8" s="1815">
        <f>'Acct Summary 7-8'!I8</f>
        <v>0</v>
      </c>
      <c r="F8" s="1815">
        <f>SUM(B8:E8)</f>
        <v>16118248</v>
      </c>
    </row>
    <row r="9" spans="1:8" s="1079" customFormat="1" ht="14.25" customHeight="1" thickBot="1" x14ac:dyDescent="0.25">
      <c r="A9" s="1078" t="s">
        <v>1369</v>
      </c>
      <c r="B9" s="1816">
        <f>'Acct Summary 7-8'!C17</f>
        <v>15524682</v>
      </c>
      <c r="C9" s="1816">
        <f>'Acct Summary 7-8'!D17</f>
        <v>0</v>
      </c>
      <c r="D9" s="1816">
        <f>'Acct Summary 7-8'!F17</f>
        <v>0</v>
      </c>
      <c r="E9" s="1815"/>
      <c r="F9" s="1815">
        <f>SUM(B9:E9)</f>
        <v>15524682</v>
      </c>
    </row>
    <row r="10" spans="1:8" s="1079" customFormat="1" ht="14.25" thickTop="1" thickBot="1" x14ac:dyDescent="0.25">
      <c r="A10" s="1080" t="s">
        <v>1370</v>
      </c>
      <c r="B10" s="1817">
        <f>(B8-B9)</f>
        <v>593566</v>
      </c>
      <c r="C10" s="1817">
        <f>(C8-C9)</f>
        <v>0</v>
      </c>
      <c r="D10" s="1817">
        <f>(D8-D9)</f>
        <v>0</v>
      </c>
      <c r="E10" s="1816">
        <f>(E8-E9)</f>
        <v>0</v>
      </c>
      <c r="F10" s="1818">
        <f>SUM(F8-F9)</f>
        <v>593566</v>
      </c>
    </row>
    <row r="11" spans="1:8" s="1079" customFormat="1" ht="14.25" thickTop="1" thickBot="1" x14ac:dyDescent="0.25">
      <c r="A11" s="1081" t="s">
        <v>1980</v>
      </c>
      <c r="B11" s="1819">
        <f>'Acct Summary 7-8'!C81</f>
        <v>4688349</v>
      </c>
      <c r="C11" s="1819">
        <f>'Acct Summary 7-8'!D81</f>
        <v>0</v>
      </c>
      <c r="D11" s="1819">
        <f>'Acct Summary 7-8'!F81</f>
        <v>0</v>
      </c>
      <c r="E11" s="1819">
        <f>'Acct Summary 7-8'!I81</f>
        <v>0</v>
      </c>
      <c r="F11" s="1820">
        <f>SUM(B11:E11)</f>
        <v>4688349</v>
      </c>
    </row>
    <row r="12" spans="1:8" ht="16.5" customHeight="1" thickTop="1" x14ac:dyDescent="0.2">
      <c r="A12" s="1082"/>
      <c r="B12" s="1083"/>
      <c r="C12" s="2349" t="str">
        <f>IF(AND(F10&lt;0,F11&gt;=0,ABS(F10*3)&gt;ABS(F11)),A16,IF(AND(F10&lt;0,F11&gt;0,ABS(F10*3)&lt;=ABS(F11)),A17,IF(AND(F10&lt;0,F11&lt;0),A16,IF(F11=0,A19,A18))))</f>
        <v>Balanced - no deficit reduction plan is required.</v>
      </c>
      <c r="D12" s="2350"/>
      <c r="E12" s="2350"/>
      <c r="F12" s="2351"/>
    </row>
    <row r="13" spans="1:8" ht="19.5" customHeight="1" x14ac:dyDescent="0.2">
      <c r="A13" s="1084"/>
      <c r="B13" s="1085"/>
      <c r="C13" s="2349"/>
      <c r="D13" s="2350"/>
      <c r="E13" s="2350"/>
      <c r="F13" s="2351"/>
      <c r="H13" s="1074"/>
    </row>
    <row r="14" spans="1:8" ht="19.5" customHeight="1" x14ac:dyDescent="0.2">
      <c r="A14" s="1084"/>
      <c r="B14" s="1085"/>
      <c r="C14" s="2349"/>
      <c r="D14" s="2350"/>
      <c r="E14" s="2350"/>
      <c r="F14" s="2351"/>
      <c r="H14" s="1074"/>
    </row>
    <row r="15" spans="1:8" ht="17.25" customHeight="1" x14ac:dyDescent="0.2">
      <c r="A15" s="1084"/>
      <c r="B15" s="1085"/>
      <c r="C15" s="2352"/>
      <c r="D15" s="2353"/>
      <c r="E15" s="2353"/>
      <c r="F15" s="2354"/>
      <c r="H15" s="1074"/>
    </row>
    <row r="16" spans="1:8" s="310" customFormat="1" ht="51.75" hidden="1" customHeight="1" x14ac:dyDescent="0.2">
      <c r="A16" s="2348" t="s">
        <v>1687</v>
      </c>
      <c r="B16" s="2348"/>
      <c r="C16" s="2348"/>
      <c r="D16" s="2348"/>
      <c r="E16" s="234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12"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0" t="s">
        <v>665</v>
      </c>
      <c r="B3" s="2371"/>
      <c r="C3" s="2371"/>
      <c r="D3" s="2372"/>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1" t="s">
        <v>1504</v>
      </c>
      <c r="D7" s="2382"/>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3" t="s">
        <v>1008</v>
      </c>
      <c r="B15" s="2374"/>
      <c r="C15" s="2374"/>
      <c r="D15" s="2375"/>
    </row>
    <row r="16" spans="1:4" s="668" customFormat="1" ht="24" customHeight="1" x14ac:dyDescent="0.2">
      <c r="A16" s="2376" t="s">
        <v>663</v>
      </c>
      <c r="B16" s="2377"/>
      <c r="C16" s="2377"/>
      <c r="D16" s="237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5" t="s">
        <v>314</v>
      </c>
      <c r="D21" s="2386"/>
    </row>
    <row r="22" spans="1:10" ht="12.75" x14ac:dyDescent="0.2">
      <c r="A22" s="1139"/>
      <c r="B22" s="1140">
        <v>2</v>
      </c>
      <c r="C22" s="2383" t="s">
        <v>1524</v>
      </c>
      <c r="D22" s="238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7" t="s">
        <v>536</v>
      </c>
      <c r="D43" s="238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9" t="s">
        <v>784</v>
      </c>
      <c r="D56" s="238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79" t="s">
        <v>1696</v>
      </c>
      <c r="D70" s="238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t="str">
        <f>COVER!A13</f>
        <v>56099255U61</v>
      </c>
    </row>
    <row r="3" spans="1:2" x14ac:dyDescent="0.2">
      <c r="A3" t="s">
        <v>956</v>
      </c>
      <c r="B3" s="138" t="str">
        <f>COVER!A15</f>
        <v>Will</v>
      </c>
    </row>
    <row r="4" spans="1:2" x14ac:dyDescent="0.2">
      <c r="A4" t="s">
        <v>1007</v>
      </c>
      <c r="B4" s="138" t="str">
        <f>COVER!A17</f>
        <v>S Will Co Coop for Spec Ed</v>
      </c>
    </row>
    <row r="5" spans="1:2" x14ac:dyDescent="0.2">
      <c r="A5" t="s">
        <v>704</v>
      </c>
      <c r="B5" s="138" t="str">
        <f>COVER!A38</f>
        <v>Bill Roseland</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066-005100</v>
      </c>
    </row>
    <row r="16" spans="1:2" x14ac:dyDescent="0.2">
      <c r="A16" t="s">
        <v>422</v>
      </c>
      <c r="B16" s="138" t="str">
        <f>COVER!T13</f>
        <v>Mack &amp; Associates, P.C.</v>
      </c>
    </row>
    <row r="17" spans="1:2" x14ac:dyDescent="0.2">
      <c r="A17" t="s">
        <v>884</v>
      </c>
      <c r="B17" s="138" t="str">
        <f>COVER!T15</f>
        <v>Tawnya Mack, CPA</v>
      </c>
    </row>
    <row r="18" spans="1:2" x14ac:dyDescent="0.2">
      <c r="A18" t="s">
        <v>1150</v>
      </c>
      <c r="B18" s="138" t="str">
        <f>COVER!T17</f>
        <v>116 E. Washington St., Suite One</v>
      </c>
    </row>
    <row r="19" spans="1:2" x14ac:dyDescent="0.2">
      <c r="A19" t="s">
        <v>886</v>
      </c>
      <c r="B19" s="138" t="str">
        <f>COVER!T25</f>
        <v>tmack@mackcpas.com</v>
      </c>
    </row>
    <row r="20" spans="1:2" x14ac:dyDescent="0.2">
      <c r="A20" t="s">
        <v>887</v>
      </c>
      <c r="B20" s="138" t="str">
        <f>COVER!T19</f>
        <v>Morris</v>
      </c>
    </row>
    <row r="21" spans="1:2" x14ac:dyDescent="0.2">
      <c r="A21" t="s">
        <v>479</v>
      </c>
      <c r="B21" s="138" t="str">
        <f>COVER!X19</f>
        <v>IL</v>
      </c>
    </row>
    <row r="22" spans="1:2" x14ac:dyDescent="0.2">
      <c r="A22" t="s">
        <v>888</v>
      </c>
      <c r="B22" s="138">
        <f>COVER!Z19</f>
        <v>60450</v>
      </c>
    </row>
    <row r="23" spans="1:2" x14ac:dyDescent="0.2">
      <c r="A23" t="s">
        <v>1152</v>
      </c>
      <c r="B23" s="138" t="str">
        <f>COVER!T21</f>
        <v>815-942-3306</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4688349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3876443</v>
      </c>
      <c r="D92" s="2" t="str">
        <f t="shared" si="0"/>
        <v>Error?</v>
      </c>
    </row>
    <row r="93" spans="1:4" x14ac:dyDescent="0.2">
      <c r="A93" s="5">
        <v>32</v>
      </c>
      <c r="B93" s="138">
        <f>'Assets-Liab 5-6'!C41</f>
        <v>4688349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548700</v>
      </c>
      <c r="D273" s="2" t="str">
        <f t="shared" si="3"/>
        <v>Error?</v>
      </c>
    </row>
    <row r="274" spans="1:4" x14ac:dyDescent="0.2">
      <c r="A274" s="5">
        <v>213</v>
      </c>
      <c r="B274" s="138">
        <f>'Assets-Liab 5-6'!M17</f>
        <v>2165973</v>
      </c>
      <c r="D274" s="2" t="str">
        <f t="shared" si="3"/>
        <v>Error?</v>
      </c>
    </row>
    <row r="275" spans="1:4" x14ac:dyDescent="0.2">
      <c r="A275" s="5">
        <v>214</v>
      </c>
      <c r="B275" s="138">
        <f>'Assets-Liab 5-6'!M18</f>
        <v>0</v>
      </c>
      <c r="D275" s="2" t="str">
        <f t="shared" si="3"/>
        <v>Error?</v>
      </c>
    </row>
    <row r="276" spans="1:4" x14ac:dyDescent="0.2">
      <c r="A276" s="5">
        <v>215</v>
      </c>
      <c r="B276" s="138">
        <f>'Assets-Liab 5-6'!M19</f>
        <v>25653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2740326</v>
      </c>
      <c r="C279" s="2" t="s">
        <v>573</v>
      </c>
      <c r="D279" s="2" t="str">
        <f t="shared" si="3"/>
        <v>Error?</v>
      </c>
    </row>
    <row r="280" spans="1:4" x14ac:dyDescent="0.2">
      <c r="A280" s="5">
        <v>219</v>
      </c>
      <c r="B280" s="138">
        <f>'Assets-Liab 5-6'!M40</f>
        <v>2740326</v>
      </c>
      <c r="D280" s="2" t="str">
        <f t="shared" si="3"/>
        <v>Error?</v>
      </c>
    </row>
    <row r="281" spans="1:4" x14ac:dyDescent="0.2">
      <c r="A281" s="5">
        <v>220</v>
      </c>
      <c r="B281" s="138">
        <f>'Assets-Liab 5-6'!M41</f>
        <v>2740326</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29600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147045</v>
      </c>
      <c r="D719" s="2" t="str">
        <f t="shared" si="10"/>
        <v>Error?</v>
      </c>
    </row>
    <row r="720" spans="1:4" x14ac:dyDescent="0.2">
      <c r="A720" s="5">
        <v>659</v>
      </c>
      <c r="B720" s="138">
        <f>'Expenditures 15-22'!C33</f>
        <v>6485696</v>
      </c>
      <c r="C720" s="2" t="s">
        <v>573</v>
      </c>
      <c r="D720" s="2" t="str">
        <f t="shared" si="10"/>
        <v>Error?</v>
      </c>
    </row>
    <row r="721" spans="1:4" x14ac:dyDescent="0.2">
      <c r="A721" s="5">
        <v>660</v>
      </c>
      <c r="B721" s="138">
        <f>'Expenditures 15-22'!C36</f>
        <v>588059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24999</v>
      </c>
      <c r="D723" s="2" t="str">
        <f t="shared" si="10"/>
        <v>Error?</v>
      </c>
    </row>
    <row r="724" spans="1:4" x14ac:dyDescent="0.2">
      <c r="A724" s="5">
        <v>663</v>
      </c>
      <c r="B724" s="138">
        <f>'Expenditures 15-22'!C39</f>
        <v>939473</v>
      </c>
      <c r="D724" s="2" t="str">
        <f t="shared" si="10"/>
        <v>Error?</v>
      </c>
    </row>
    <row r="725" spans="1:4" x14ac:dyDescent="0.2">
      <c r="A725" s="5">
        <v>664</v>
      </c>
      <c r="B725" s="138">
        <f>'Expenditures 15-22'!C40</f>
        <v>1773318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3325849</v>
      </c>
      <c r="C727" s="2" t="s">
        <v>573</v>
      </c>
      <c r="D727" s="2" t="str">
        <f t="shared" si="10"/>
        <v>Error?</v>
      </c>
    </row>
    <row r="728" spans="1:4" x14ac:dyDescent="0.2">
      <c r="A728" s="5">
        <v>667</v>
      </c>
      <c r="B728" s="138">
        <f>'Expenditures 15-22'!C44</f>
        <v>41989</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41989</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1174966</v>
      </c>
      <c r="D733" s="2" t="str">
        <f t="shared" si="10"/>
        <v>Error?</v>
      </c>
    </row>
    <row r="734" spans="1:4" x14ac:dyDescent="0.2">
      <c r="A734" s="5">
        <v>673</v>
      </c>
      <c r="B734" s="138">
        <f>'Expenditures 15-22'!C53</f>
        <v>1174966</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4542804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11028500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5208</v>
      </c>
      <c r="D775" s="2" t="str">
        <f t="shared" si="11"/>
        <v>Error?</v>
      </c>
    </row>
    <row r="776" spans="1:4" x14ac:dyDescent="0.2">
      <c r="A776" s="5">
        <v>715</v>
      </c>
      <c r="B776" s="138">
        <f>'Expenditures 15-22'!D14</f>
        <v>0</v>
      </c>
      <c r="D776" s="2" t="str">
        <f t="shared" si="11"/>
        <v>Error?</v>
      </c>
    </row>
    <row r="777" spans="1:4" x14ac:dyDescent="0.2">
      <c r="A777" s="5">
        <v>716</v>
      </c>
      <c r="B777" s="138">
        <f>'Expenditures 15-22'!D15</f>
        <v>11435</v>
      </c>
      <c r="D777" s="2" t="str">
        <f t="shared" si="11"/>
        <v>Error?</v>
      </c>
    </row>
    <row r="778" spans="1:4" x14ac:dyDescent="0.2">
      <c r="A778" s="5">
        <v>717</v>
      </c>
      <c r="B778" s="138">
        <f>'Expenditures 15-22'!D33</f>
        <v>1200264</v>
      </c>
      <c r="C778" s="2" t="s">
        <v>573</v>
      </c>
      <c r="D778" s="2" t="str">
        <f t="shared" si="11"/>
        <v>Error?</v>
      </c>
    </row>
    <row r="779" spans="1:4" x14ac:dyDescent="0.2">
      <c r="A779" s="5">
        <v>718</v>
      </c>
      <c r="B779" s="138">
        <f>'Expenditures 15-22'!D36</f>
        <v>52807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4387</v>
      </c>
      <c r="D781" s="2" t="str">
        <f t="shared" si="11"/>
        <v>Error?</v>
      </c>
    </row>
    <row r="782" spans="1:4" x14ac:dyDescent="0.2">
      <c r="A782" s="5">
        <v>721</v>
      </c>
      <c r="B782" s="138">
        <f>'Expenditures 15-22'!D39</f>
        <v>104299</v>
      </c>
      <c r="D782" s="2" t="str">
        <f t="shared" si="11"/>
        <v>Error?</v>
      </c>
    </row>
    <row r="783" spans="1:4" x14ac:dyDescent="0.2">
      <c r="A783" s="5">
        <v>722</v>
      </c>
      <c r="B783" s="138">
        <f>'Expenditures 15-22'!D40</f>
        <v>223041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384534</v>
      </c>
      <c r="C785" s="2" t="s">
        <v>573</v>
      </c>
      <c r="D785" s="2" t="str">
        <f t="shared" si="11"/>
        <v>Error?</v>
      </c>
    </row>
    <row r="786" spans="1:4" x14ac:dyDescent="0.2">
      <c r="A786" s="5">
        <v>725</v>
      </c>
      <c r="B786" s="138">
        <f>'Expenditures 15-22'!D44</f>
        <v>4136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4136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588432</v>
      </c>
      <c r="D791" s="2" t="str">
        <f t="shared" si="11"/>
        <v>Error?</v>
      </c>
    </row>
    <row r="792" spans="1:4" x14ac:dyDescent="0.2">
      <c r="A792" s="5">
        <v>731</v>
      </c>
      <c r="B792" s="138">
        <f>'Expenditures 15-22'!D53</f>
        <v>588432</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977102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2177366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215487</v>
      </c>
      <c r="C836" s="2" t="s">
        <v>573</v>
      </c>
      <c r="D836" s="2" t="str">
        <f t="shared" si="12"/>
        <v>Error?</v>
      </c>
    </row>
    <row r="837" spans="1:4" x14ac:dyDescent="0.2">
      <c r="A837" s="5">
        <v>776</v>
      </c>
      <c r="B837" s="138">
        <f>'Expenditures 15-22'!E36</f>
        <v>19061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13749</v>
      </c>
      <c r="D840" s="2" t="str">
        <f t="shared" si="12"/>
        <v>Error?</v>
      </c>
    </row>
    <row r="841" spans="1:4" x14ac:dyDescent="0.2">
      <c r="A841" s="5">
        <v>780</v>
      </c>
      <c r="B841" s="138">
        <f>'Expenditures 15-22'!E40</f>
        <v>35478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68288</v>
      </c>
      <c r="C843" s="2" t="s">
        <v>573</v>
      </c>
      <c r="D843" s="2" t="str">
        <f t="shared" si="12"/>
        <v>Error?</v>
      </c>
    </row>
    <row r="844" spans="1:4" x14ac:dyDescent="0.2">
      <c r="A844" s="5">
        <v>783</v>
      </c>
      <c r="B844" s="138">
        <f>'Expenditures 15-22'!E44</f>
        <v>70938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70938</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278715</v>
      </c>
      <c r="D849" s="2" t="str">
        <f t="shared" si="12"/>
        <v>Error?</v>
      </c>
    </row>
    <row r="850" spans="1:4" x14ac:dyDescent="0.2">
      <c r="A850" s="5">
        <v>789</v>
      </c>
      <c r="B850" s="138">
        <f>'Expenditures 15-22'!E53</f>
        <v>278715</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30446</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30446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448387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663874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2508</v>
      </c>
      <c r="D893" s="2" t="str">
        <f t="shared" si="12"/>
        <v>Error?</v>
      </c>
    </row>
    <row r="894" spans="1:4" x14ac:dyDescent="0.2">
      <c r="A894" s="5">
        <v>833</v>
      </c>
      <c r="B894" s="138">
        <f>'Expenditures 15-22'!F33</f>
        <v>43785</v>
      </c>
      <c r="C894" s="2" t="s">
        <v>573</v>
      </c>
      <c r="D894" s="2" t="str">
        <f t="shared" si="12"/>
        <v>Error?</v>
      </c>
    </row>
    <row r="895" spans="1:4" x14ac:dyDescent="0.2">
      <c r="A895" s="5">
        <v>834</v>
      </c>
      <c r="B895" s="138">
        <f>'Expenditures 15-22'!F36</f>
        <v>1446</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252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5345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7043</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51299</v>
      </c>
      <c r="D907" s="2" t="str">
        <f t="shared" si="13"/>
        <v>Error?</v>
      </c>
    </row>
    <row r="908" spans="1:4" x14ac:dyDescent="0.2">
      <c r="A908" s="5">
        <v>847</v>
      </c>
      <c r="B908" s="138">
        <f>'Expenditures 15-22'!F53</f>
        <v>51299</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58342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102127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16132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31916</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31916</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31916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48048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39864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27850</v>
      </c>
      <c r="D1023" s="2" t="str">
        <f t="shared" ref="D1023:D1086" si="15">IF(ISBLANK(B1023),"OK",IF(A1023-B1023=0,"OK","Error?"))</f>
        <v>Error?</v>
      </c>
    </row>
    <row r="1024" spans="1:4" x14ac:dyDescent="0.2">
      <c r="A1024" s="5">
        <v>963</v>
      </c>
      <c r="B1024" s="138">
        <f>'Expenditures 15-22'!H53</f>
        <v>27850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27850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1437053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1504767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34808</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160988</v>
      </c>
      <c r="C1107" s="2" t="s">
        <v>573</v>
      </c>
      <c r="D1107" s="2" t="str">
        <f t="shared" si="16"/>
        <v>Error?</v>
      </c>
    </row>
    <row r="1108" spans="1:4" x14ac:dyDescent="0.2">
      <c r="A1108" s="5">
        <v>1047</v>
      </c>
      <c r="B1108" s="138">
        <f>'Expenditures 15-22'!K33</f>
        <v>8001228</v>
      </c>
      <c r="C1108" s="2" t="s">
        <v>573</v>
      </c>
      <c r="D1108" s="2" t="str">
        <f t="shared" si="16"/>
        <v>Error?</v>
      </c>
    </row>
    <row r="1109" spans="1:4" x14ac:dyDescent="0.2">
      <c r="A1109" s="5">
        <v>1048</v>
      </c>
      <c r="B1109" s="138">
        <f>'Expenditures 15-22'!K36</f>
        <v>661373</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29638</v>
      </c>
      <c r="C1111" s="2" t="s">
        <v>573</v>
      </c>
      <c r="D1111" s="2" t="str">
        <f t="shared" si="16"/>
        <v>Error?</v>
      </c>
    </row>
    <row r="1112" spans="1:4" x14ac:dyDescent="0.2">
      <c r="A1112" s="5">
        <v>1051</v>
      </c>
      <c r="B1112" s="138">
        <f>'Expenditures 15-22'!K39</f>
        <v>1057521</v>
      </c>
      <c r="C1112" s="2" t="s">
        <v>573</v>
      </c>
      <c r="D1112" s="2" t="str">
        <f t="shared" si="16"/>
        <v>Error?</v>
      </c>
    </row>
    <row r="1113" spans="1:4" x14ac:dyDescent="0.2">
      <c r="A1113" s="5">
        <v>1052</v>
      </c>
      <c r="B1113" s="138">
        <f>'Expenditures 15-22'!K40</f>
        <v>2037182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3785714</v>
      </c>
      <c r="C1115" s="2" t="s">
        <v>573</v>
      </c>
      <c r="D1115" s="2" t="str">
        <f t="shared" si="16"/>
        <v>Error?</v>
      </c>
    </row>
    <row r="1116" spans="1:4" x14ac:dyDescent="0.2">
      <c r="A1116" s="5">
        <v>1055</v>
      </c>
      <c r="B1116" s="138">
        <f>'Expenditures 15-22'!K44</f>
        <v>117063</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117063</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2121262</v>
      </c>
      <c r="C1121" s="2" t="s">
        <v>573</v>
      </c>
      <c r="D1121" s="2" t="str">
        <f t="shared" si="16"/>
        <v>Error?</v>
      </c>
    </row>
    <row r="1122" spans="1:4" x14ac:dyDescent="0.2">
      <c r="A1122" s="5">
        <v>1061</v>
      </c>
      <c r="B1122" s="138">
        <f>'Expenditures 15-22'!K53</f>
        <v>2121262</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62362</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62362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6086401</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1437053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15524682</v>
      </c>
      <c r="C1152" s="2" t="s">
        <v>573</v>
      </c>
      <c r="D1152" s="2" t="str">
        <f t="shared" si="17"/>
        <v>Error?</v>
      </c>
    </row>
    <row r="1153" spans="1:4" x14ac:dyDescent="0.2">
      <c r="A1153" s="5">
        <v>1092</v>
      </c>
      <c r="B1153" s="138">
        <f>'Expenditures 15-22'!K115</f>
        <v>593566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4094783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4688349</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548700</v>
      </c>
      <c r="D2008" s="2" t="str">
        <f t="shared" si="30"/>
        <v>Error?</v>
      </c>
    </row>
    <row r="2009" spans="1:4" x14ac:dyDescent="0.2">
      <c r="A2009" s="5">
        <v>1948</v>
      </c>
      <c r="B2009" s="138">
        <f>'Cap Outlay Deprec 26'!C8</f>
        <v>630330</v>
      </c>
      <c r="D2009" s="2" t="str">
        <f t="shared" si="30"/>
        <v>Error?</v>
      </c>
    </row>
    <row r="2010" spans="1:4" x14ac:dyDescent="0.2">
      <c r="A2010" s="5">
        <v>1949</v>
      </c>
      <c r="B2010" s="138">
        <f>'Cap Outlay Deprec 26'!C10</f>
        <v>3255089</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307023</v>
      </c>
      <c r="D2012" s="2" t="str">
        <f t="shared" si="30"/>
        <v>Error?</v>
      </c>
    </row>
    <row r="2013" spans="1:4" x14ac:dyDescent="0.2">
      <c r="A2013" s="5">
        <v>1952</v>
      </c>
      <c r="B2013" s="138">
        <f>'Cap Outlay Deprec 26'!C16</f>
        <v>4741142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15000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10307</v>
      </c>
      <c r="D2018" s="2" t="str">
        <f t="shared" si="30"/>
        <v>Error?</v>
      </c>
    </row>
    <row r="2019" spans="1:4" x14ac:dyDescent="0.2">
      <c r="A2019" s="5">
        <v>1958</v>
      </c>
      <c r="B2019" s="138">
        <f>'Cap Outlay Deprec 26'!D16</f>
        <v>25307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548700</v>
      </c>
      <c r="C2026" s="2" t="s">
        <v>573</v>
      </c>
      <c r="D2026" s="2" t="str">
        <f t="shared" si="30"/>
        <v>Error?</v>
      </c>
    </row>
    <row r="2027" spans="1:4" x14ac:dyDescent="0.2">
      <c r="A2027" s="5">
        <v>1966</v>
      </c>
      <c r="B2027" s="138">
        <f>'Cap Outlay Deprec 26'!F8</f>
        <v>630330</v>
      </c>
      <c r="C2027" s="2" t="s">
        <v>573</v>
      </c>
      <c r="D2027" s="2" t="str">
        <f t="shared" si="30"/>
        <v>Error?</v>
      </c>
    </row>
    <row r="2028" spans="1:4" x14ac:dyDescent="0.2">
      <c r="A2028" s="5">
        <v>1967</v>
      </c>
      <c r="B2028" s="138">
        <f>'Cap Outlay Deprec 26'!F10</f>
        <v>3270089</v>
      </c>
      <c r="C2028" s="2" t="s">
        <v>573</v>
      </c>
      <c r="D2028" s="2" t="str">
        <f t="shared" si="30"/>
        <v>Error?</v>
      </c>
    </row>
    <row r="2029" spans="1:4" x14ac:dyDescent="0.2">
      <c r="A2029" s="5">
        <v>1968</v>
      </c>
      <c r="B2029" s="138">
        <f>'Cap Outlay Deprec 26'!F12</f>
        <v>0</v>
      </c>
      <c r="C2029" s="2" t="s">
        <v>573</v>
      </c>
      <c r="D2029" s="2" t="str">
        <f t="shared" si="30"/>
        <v>Error?</v>
      </c>
    </row>
    <row r="2030" spans="1:4" x14ac:dyDescent="0.2">
      <c r="A2030" s="5">
        <v>1969</v>
      </c>
      <c r="B2030" s="138">
        <f>'Cap Outlay Deprec 26'!F13</f>
        <v>317330</v>
      </c>
      <c r="C2030" s="2" t="s">
        <v>573</v>
      </c>
      <c r="D2030" s="2" t="str">
        <f t="shared" si="30"/>
        <v>Error?</v>
      </c>
    </row>
    <row r="2031" spans="1:4" x14ac:dyDescent="0.2">
      <c r="A2031" s="5">
        <v>1970</v>
      </c>
      <c r="B2031" s="138">
        <f>'Cap Outlay Deprec 26'!F16</f>
        <v>4766449</v>
      </c>
      <c r="C2031" s="2" t="s">
        <v>573</v>
      </c>
      <c r="D2031" s="2" t="str">
        <f t="shared" si="30"/>
        <v>Error?</v>
      </c>
    </row>
    <row r="2032" spans="1:4" x14ac:dyDescent="0.2">
      <c r="A2032" s="10">
        <v>1971</v>
      </c>
      <c r="D2032" s="2" t="str">
        <f t="shared" si="30"/>
        <v>OK</v>
      </c>
    </row>
    <row r="2033" spans="1:4" x14ac:dyDescent="0.2">
      <c r="A2033" s="5">
        <v>1972</v>
      </c>
      <c r="B2033" s="138">
        <f>'Cap Outlay Deprec 26'!H8</f>
        <v>423570</v>
      </c>
      <c r="D2033" s="2" t="str">
        <f t="shared" si="30"/>
        <v>Error?</v>
      </c>
    </row>
    <row r="2034" spans="1:4" x14ac:dyDescent="0.2">
      <c r="A2034" s="5">
        <v>1973</v>
      </c>
      <c r="B2034" s="138">
        <f>'Cap Outlay Deprec 26'!H10</f>
        <v>1117626</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281527</v>
      </c>
      <c r="D2036" s="2" t="str">
        <f t="shared" si="30"/>
        <v>Error?</v>
      </c>
    </row>
    <row r="2037" spans="1:4" x14ac:dyDescent="0.2">
      <c r="A2037" s="5">
        <v>1976</v>
      </c>
      <c r="B2037" s="138">
        <f>'Cap Outlay Deprec 26'!H16</f>
        <v>1822723</v>
      </c>
      <c r="C2037" s="2" t="s">
        <v>573</v>
      </c>
      <c r="D2037" s="2" t="str">
        <f t="shared" si="30"/>
        <v>Error?</v>
      </c>
    </row>
    <row r="2038" spans="1:4" x14ac:dyDescent="0.2">
      <c r="A2038" s="10">
        <v>1977</v>
      </c>
      <c r="D2038" s="2" t="str">
        <f t="shared" si="30"/>
        <v>OK</v>
      </c>
    </row>
    <row r="2039" spans="1:4" x14ac:dyDescent="0.2">
      <c r="A2039" s="5">
        <v>1978</v>
      </c>
      <c r="B2039" s="138">
        <f>'Cap Outlay Deprec 26'!I8</f>
        <v>29746</v>
      </c>
      <c r="D2039" s="2" t="str">
        <f t="shared" si="30"/>
        <v>Error?</v>
      </c>
    </row>
    <row r="2040" spans="1:4" x14ac:dyDescent="0.2">
      <c r="A2040" s="5">
        <v>1979</v>
      </c>
      <c r="B2040" s="138">
        <f>'Cap Outlay Deprec 26'!I10</f>
        <v>163504</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10150</v>
      </c>
      <c r="D2042" s="2" t="str">
        <f t="shared" si="30"/>
        <v>Error?</v>
      </c>
    </row>
    <row r="2043" spans="1:4" x14ac:dyDescent="0.2">
      <c r="A2043" s="5">
        <v>1982</v>
      </c>
      <c r="B2043" s="138">
        <f>'Cap Outlay Deprec 26'!I16</f>
        <v>203400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453316</v>
      </c>
      <c r="C2051" s="2" t="s">
        <v>573</v>
      </c>
      <c r="D2051" s="2" t="str">
        <f t="shared" si="31"/>
        <v>Error?</v>
      </c>
    </row>
    <row r="2052" spans="1:4" x14ac:dyDescent="0.2">
      <c r="A2052" s="5">
        <v>1991</v>
      </c>
      <c r="B2052" s="138">
        <f>'Cap Outlay Deprec 26'!K10</f>
        <v>1281130</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291677</v>
      </c>
      <c r="C2054" s="2" t="s">
        <v>573</v>
      </c>
      <c r="D2054" s="2" t="str">
        <f t="shared" si="31"/>
        <v>Error?</v>
      </c>
    </row>
    <row r="2055" spans="1:4" x14ac:dyDescent="0.2">
      <c r="A2055" s="5">
        <v>1994</v>
      </c>
      <c r="B2055" s="138">
        <f>'Cap Outlay Deprec 26'!K16</f>
        <v>2026123</v>
      </c>
      <c r="C2055" s="2" t="s">
        <v>573</v>
      </c>
      <c r="D2055" s="2" t="str">
        <f t="shared" si="31"/>
        <v>Error?</v>
      </c>
    </row>
    <row r="2056" spans="1:4" x14ac:dyDescent="0.2">
      <c r="A2056" s="5">
        <v>1995</v>
      </c>
      <c r="B2056" s="138">
        <f>'Cap Outlay Deprec 26'!L5</f>
        <v>548700</v>
      </c>
      <c r="C2056" s="2" t="s">
        <v>573</v>
      </c>
      <c r="D2056" s="2" t="str">
        <f t="shared" si="31"/>
        <v>Error?</v>
      </c>
    </row>
    <row r="2057" spans="1:4" x14ac:dyDescent="0.2">
      <c r="A2057" s="5">
        <v>1996</v>
      </c>
      <c r="B2057" s="138">
        <f>'Cap Outlay Deprec 26'!L8</f>
        <v>177014</v>
      </c>
      <c r="C2057" s="2" t="s">
        <v>573</v>
      </c>
      <c r="D2057" s="2" t="str">
        <f t="shared" si="31"/>
        <v>Error?</v>
      </c>
    </row>
    <row r="2058" spans="1:4" x14ac:dyDescent="0.2">
      <c r="A2058" s="5">
        <v>1997</v>
      </c>
      <c r="B2058" s="138">
        <f>'Cap Outlay Deprec 26'!L10</f>
        <v>1988959</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25653</v>
      </c>
      <c r="C2060" s="2" t="s">
        <v>573</v>
      </c>
      <c r="D2060" s="2" t="str">
        <f t="shared" si="31"/>
        <v>Error?</v>
      </c>
    </row>
    <row r="2061" spans="1:4" x14ac:dyDescent="0.2">
      <c r="A2061" s="5">
        <v>2000</v>
      </c>
      <c r="B2061" s="138">
        <f>'Cap Outlay Deprec 26'!L16</f>
        <v>2740326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1437053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1437053</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811906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11170237</v>
      </c>
      <c r="C2551" s="2" t="s">
        <v>573</v>
      </c>
      <c r="D2551" s="2" t="str">
        <f t="shared" si="38"/>
        <v>Error?</v>
      </c>
    </row>
    <row r="2552" spans="1:4" x14ac:dyDescent="0.2">
      <c r="A2552" s="10">
        <v>2491</v>
      </c>
      <c r="D2552" s="2" t="str">
        <f t="shared" si="38"/>
        <v>OK</v>
      </c>
    </row>
    <row r="2553" spans="1:4" x14ac:dyDescent="0.2">
      <c r="A2553" s="5">
        <v>2492</v>
      </c>
      <c r="B2553" s="138">
        <f>'Acct Summary 7-8'!C6</f>
        <v>1662783</v>
      </c>
      <c r="C2553" s="2" t="s">
        <v>573</v>
      </c>
      <c r="D2553" s="2" t="str">
        <f t="shared" si="38"/>
        <v>Error?</v>
      </c>
    </row>
    <row r="2554" spans="1:4" x14ac:dyDescent="0.2">
      <c r="A2554" s="5">
        <v>2493</v>
      </c>
      <c r="B2554" s="138">
        <f>'Acct Summary 7-8'!C7</f>
        <v>3285228</v>
      </c>
      <c r="C2554" s="2" t="s">
        <v>573</v>
      </c>
      <c r="D2554" s="2" t="str">
        <f t="shared" si="38"/>
        <v>Error?</v>
      </c>
    </row>
    <row r="2555" spans="1:4" x14ac:dyDescent="0.2">
      <c r="A2555" s="5">
        <v>2494</v>
      </c>
      <c r="B2555" s="138">
        <f>'Acct Summary 7-8'!C8</f>
        <v>16118248</v>
      </c>
      <c r="C2555" s="2" t="s">
        <v>573</v>
      </c>
      <c r="D2555" s="2" t="str">
        <f t="shared" si="38"/>
        <v>Error?</v>
      </c>
    </row>
    <row r="2556" spans="1:4" x14ac:dyDescent="0.2">
      <c r="A2556" s="5">
        <v>2495</v>
      </c>
      <c r="B2556" s="138">
        <f>'Acct Summary 7-8'!C12</f>
        <v>8001228</v>
      </c>
      <c r="C2556" s="2" t="s">
        <v>573</v>
      </c>
      <c r="D2556" s="2" t="str">
        <f t="shared" si="38"/>
        <v>Error?</v>
      </c>
    </row>
    <row r="2557" spans="1:4" x14ac:dyDescent="0.2">
      <c r="A2557" s="5">
        <v>2496</v>
      </c>
      <c r="B2557" s="138">
        <f>'Acct Summary 7-8'!C13</f>
        <v>6086401</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1437053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15524682</v>
      </c>
      <c r="C2561" s="2" t="s">
        <v>573</v>
      </c>
      <c r="D2561" s="2" t="str">
        <f t="shared" si="39"/>
        <v>Error?</v>
      </c>
    </row>
    <row r="2562" spans="1:4" x14ac:dyDescent="0.2">
      <c r="A2562" s="5">
        <v>2501</v>
      </c>
      <c r="B2562" s="138">
        <f>'Acct Summary 7-8'!C20</f>
        <v>593566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1437053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1437053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593566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5878542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1152362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208988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38988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16132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35974</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7330986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4688349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85255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908028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17026276</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908028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16432710</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4688349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47628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125176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615699</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29972</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10403538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10403538</v>
      </c>
      <c r="C5087" s="2" t="s">
        <v>573</v>
      </c>
      <c r="D5087" s="2" t="str">
        <f t="shared" si="78"/>
        <v>Error?</v>
      </c>
    </row>
    <row r="5088" spans="1:4" x14ac:dyDescent="0.2">
      <c r="A5088" s="5">
        <v>5027</v>
      </c>
      <c r="B5088" s="138">
        <f>'Revenues 9-14'!C65</f>
        <v>25957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25957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5446</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28355</v>
      </c>
      <c r="D5118" s="2" t="str">
        <f t="shared" si="78"/>
        <v>Error?</v>
      </c>
    </row>
    <row r="5119" spans="1:4" x14ac:dyDescent="0.2">
      <c r="A5119" s="5">
        <v>5058</v>
      </c>
      <c r="B5119" s="138">
        <f>'Revenues 9-14'!C107</f>
        <v>91242</v>
      </c>
      <c r="D5119" s="2" t="str">
        <f t="shared" ref="D5119:D5182" si="79">IF(ISBLANK(B5119),"OK",IF(A5119-B5119=0,"OK","Error?"))</f>
        <v>Error?</v>
      </c>
    </row>
    <row r="5120" spans="1:4" x14ac:dyDescent="0.2">
      <c r="A5120" s="5">
        <v>5059</v>
      </c>
      <c r="B5120" s="138">
        <f>'Revenues 9-14'!C108</f>
        <v>735296</v>
      </c>
      <c r="C5120" s="2" t="s">
        <v>573</v>
      </c>
      <c r="D5120" s="2" t="str">
        <f t="shared" si="79"/>
        <v>Error?</v>
      </c>
    </row>
    <row r="5121" spans="1:4" x14ac:dyDescent="0.2">
      <c r="A5121" s="5">
        <v>5060</v>
      </c>
      <c r="B5121" s="138">
        <f>'Revenues 9-14'!C109</f>
        <v>11170237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1660826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1660826</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1174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783</v>
      </c>
      <c r="D5177" s="2" t="str">
        <f t="shared" si="79"/>
        <v>Error?</v>
      </c>
    </row>
    <row r="5178" spans="1:4" x14ac:dyDescent="0.2">
      <c r="A5178" s="5">
        <v>5117</v>
      </c>
      <c r="B5178" s="138">
        <f>'Revenues 9-14'!C155</f>
        <v>783</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1957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1662783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60105</v>
      </c>
      <c r="D5239" s="2" t="str">
        <f t="shared" si="80"/>
        <v>Error?</v>
      </c>
    </row>
    <row r="5240" spans="1:4" x14ac:dyDescent="0.2">
      <c r="A5240" s="5">
        <v>5179</v>
      </c>
      <c r="B5240" s="138">
        <f>'Revenues 9-14'!C192</f>
        <v>1443</v>
      </c>
      <c r="D5240" s="2" t="str">
        <f t="shared" si="80"/>
        <v>Error?</v>
      </c>
    </row>
    <row r="5241" spans="1:4" x14ac:dyDescent="0.2">
      <c r="A5241" s="5">
        <v>5180</v>
      </c>
      <c r="B5241" s="138">
        <f>'Revenues 9-14'!C193</f>
        <v>23707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85255</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74024</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2923173</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2997197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3285228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3285228</v>
      </c>
      <c r="C5326" s="2" t="s">
        <v>573</v>
      </c>
      <c r="D5326" s="2" t="str">
        <f t="shared" si="82"/>
        <v>Error?</v>
      </c>
    </row>
    <row r="5327" spans="1:5" x14ac:dyDescent="0.2">
      <c r="A5327" s="5">
        <v>5266</v>
      </c>
      <c r="B5327" s="138">
        <f>'Revenues 9-14'!C268</f>
        <v>16118248</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5446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593566</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0.12660448272942137</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474446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430509</v>
      </c>
      <c r="D7251" s="2" t="str">
        <f t="shared" si="112"/>
        <v>Error?</v>
      </c>
    </row>
    <row r="7252" spans="1:4" x14ac:dyDescent="0.2">
      <c r="A7252">
        <f t="shared" si="113"/>
        <v>7191</v>
      </c>
      <c r="B7252" s="138">
        <f>'Expenditures 15-22'!D9</f>
        <v>31259</v>
      </c>
      <c r="D7252" s="2" t="str">
        <f t="shared" si="112"/>
        <v>Error?</v>
      </c>
    </row>
    <row r="7253" spans="1:4" x14ac:dyDescent="0.2">
      <c r="A7253">
        <f t="shared" si="113"/>
        <v>7192</v>
      </c>
      <c r="B7253" s="138">
        <f>'Expenditures 15-22'!E9</f>
        <v>6499</v>
      </c>
      <c r="D7253" s="2" t="str">
        <f t="shared" si="112"/>
        <v>Error?</v>
      </c>
    </row>
    <row r="7254" spans="1:4" x14ac:dyDescent="0.2">
      <c r="A7254">
        <f t="shared" si="113"/>
        <v>7193</v>
      </c>
      <c r="B7254" s="138">
        <f>'Expenditures 15-22'!F9</f>
        <v>2289</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3890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203400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32518</v>
      </c>
      <c r="D7797" s="2" t="str">
        <f t="shared" si="127"/>
        <v>Error?</v>
      </c>
      <c r="E7797" s="4" t="s">
        <v>1900</v>
      </c>
    </row>
    <row r="7798" spans="1:5" x14ac:dyDescent="0.2">
      <c r="A7798">
        <v>7737</v>
      </c>
      <c r="B7798" s="138">
        <f>'Contracts Paid in CY 29'!F141</f>
        <v>32518</v>
      </c>
      <c r="D7798" s="2" t="str">
        <f t="shared" si="127"/>
        <v>Error?</v>
      </c>
      <c r="E7798" s="4" t="s">
        <v>1900</v>
      </c>
    </row>
    <row r="7799" spans="1:5" x14ac:dyDescent="0.2">
      <c r="A7799">
        <v>7738</v>
      </c>
      <c r="B7799" s="138">
        <f>'Contracts Paid in CY 29'!G141</f>
        <v>0</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31" zoomScale="110" zoomScaleNormal="110" workbookViewId="0">
      <selection activeCell="B48" sqref="B48"/>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2" t="s">
        <v>1191</v>
      </c>
      <c r="B2" s="2412"/>
      <c r="C2" s="2412"/>
      <c r="D2" s="2412"/>
      <c r="E2" s="2412"/>
      <c r="F2" s="2412"/>
      <c r="G2" s="2412"/>
      <c r="H2" s="2412"/>
      <c r="I2" s="2412"/>
      <c r="J2" s="2412"/>
      <c r="K2" s="2412"/>
      <c r="L2" s="2412"/>
    </row>
    <row r="3" spans="1:29" ht="13.5" customHeight="1" x14ac:dyDescent="0.2">
      <c r="A3" s="2398" t="s">
        <v>1190</v>
      </c>
      <c r="B3" s="2398"/>
      <c r="C3" s="2398"/>
      <c r="D3" s="2398"/>
      <c r="E3" s="2398"/>
      <c r="F3" s="2398"/>
      <c r="G3" s="2398"/>
      <c r="H3" s="2398"/>
      <c r="I3" s="2398"/>
      <c r="J3" s="2398"/>
      <c r="K3" s="2398"/>
      <c r="L3" s="2398"/>
    </row>
    <row r="4" spans="1:29" ht="13.5" customHeight="1" x14ac:dyDescent="0.2">
      <c r="A4" s="2412" t="s">
        <v>1984</v>
      </c>
      <c r="B4" s="2429"/>
      <c r="C4" s="2429"/>
      <c r="D4" s="2429"/>
      <c r="E4" s="2429"/>
      <c r="F4" s="2429"/>
      <c r="G4" s="2429"/>
      <c r="H4" s="2429"/>
      <c r="I4" s="2429"/>
      <c r="J4" s="2429"/>
      <c r="K4" s="2429"/>
      <c r="L4" s="242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2" t="str">
        <f>COVER!A17</f>
        <v>S Will Co Coop for Spec Ed</v>
      </c>
      <c r="B7" s="2393"/>
      <c r="C7" s="2393"/>
      <c r="D7" s="2430"/>
      <c r="E7" s="2431" t="str">
        <f>COVER!A13</f>
        <v>56099255U61</v>
      </c>
      <c r="F7" s="2432"/>
      <c r="G7" s="2399" t="str">
        <f>COVER!T23</f>
        <v>066-005100</v>
      </c>
      <c r="H7" s="2400"/>
      <c r="I7" s="2400"/>
      <c r="J7" s="2400"/>
      <c r="K7" s="2400"/>
      <c r="L7" s="240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2"/>
      <c r="B9" s="2403"/>
      <c r="C9" s="2403"/>
      <c r="D9" s="2403"/>
      <c r="E9" s="2403"/>
      <c r="F9" s="2404"/>
      <c r="G9" s="2405" t="str">
        <f>COVER!T13</f>
        <v>Mack &amp; Associates, P.C.</v>
      </c>
      <c r="H9" s="2406"/>
      <c r="I9" s="2406"/>
      <c r="J9" s="2406"/>
      <c r="K9" s="2406"/>
      <c r="L9" s="2407"/>
    </row>
    <row r="10" spans="1:29" ht="13.5" customHeight="1" x14ac:dyDescent="0.2">
      <c r="A10" s="2389" t="str">
        <f>COVER!A38</f>
        <v>Bill Roseland</v>
      </c>
      <c r="B10" s="2390"/>
      <c r="C10" s="2390"/>
      <c r="D10" s="2390"/>
      <c r="E10" s="2390"/>
      <c r="F10" s="2391"/>
      <c r="G10" s="2405" t="str">
        <f>COVER!T17</f>
        <v>116 E. Washington St., Suite One</v>
      </c>
      <c r="H10" s="2418"/>
      <c r="I10" s="2418"/>
      <c r="J10" s="2418"/>
      <c r="K10" s="2418"/>
      <c r="L10" s="2419"/>
    </row>
    <row r="11" spans="1:29" ht="13.5" customHeight="1" x14ac:dyDescent="0.2">
      <c r="A11" s="1184" t="s">
        <v>1519</v>
      </c>
      <c r="B11" s="1185"/>
      <c r="C11" s="1186"/>
      <c r="D11" s="1191"/>
      <c r="E11" s="1186"/>
      <c r="F11" s="1190"/>
      <c r="G11" s="2405" t="str">
        <f>COVER!T19</f>
        <v>Morris</v>
      </c>
      <c r="H11" s="2418"/>
      <c r="I11" s="2418"/>
      <c r="J11" s="2418"/>
      <c r="K11" s="2418"/>
      <c r="L11" s="2419"/>
    </row>
    <row r="12" spans="1:29" ht="13.5" customHeight="1" x14ac:dyDescent="0.2">
      <c r="A12" s="2423" t="s">
        <v>1518</v>
      </c>
      <c r="B12" s="2424"/>
      <c r="C12" s="2424"/>
      <c r="D12" s="2424"/>
      <c r="E12" s="2424"/>
      <c r="F12" s="2425"/>
      <c r="G12" s="2420"/>
      <c r="H12" s="2421"/>
      <c r="I12" s="2421"/>
      <c r="J12" s="2421"/>
      <c r="K12" s="2421"/>
      <c r="L12" s="2422"/>
    </row>
    <row r="13" spans="1:29" ht="13.5" customHeight="1" x14ac:dyDescent="0.2">
      <c r="A13" s="2405"/>
      <c r="B13" s="2418"/>
      <c r="C13" s="2418"/>
      <c r="D13" s="2418"/>
      <c r="E13" s="2418"/>
      <c r="F13" s="2419"/>
      <c r="G13" s="2413" t="s">
        <v>1520</v>
      </c>
      <c r="H13" s="2414"/>
      <c r="I13" s="2426" t="str">
        <f>COVER!T25</f>
        <v>tmack@mackcpas.com</v>
      </c>
      <c r="J13" s="2427"/>
      <c r="K13" s="2427"/>
      <c r="L13" s="2428"/>
    </row>
    <row r="14" spans="1:29" ht="13.5" customHeight="1" x14ac:dyDescent="0.2">
      <c r="A14" s="2405" t="str">
        <f>COVER!A19</f>
        <v>1207 N Larkin Avenue</v>
      </c>
      <c r="B14" s="2418"/>
      <c r="C14" s="2418"/>
      <c r="D14" s="2418"/>
      <c r="E14" s="2418"/>
      <c r="F14" s="2419"/>
      <c r="G14" s="1195" t="s">
        <v>1185</v>
      </c>
      <c r="H14" s="1193"/>
      <c r="I14" s="1193"/>
      <c r="J14" s="1193"/>
      <c r="K14" s="1193"/>
      <c r="L14" s="1194"/>
    </row>
    <row r="15" spans="1:29" ht="13.5" customHeight="1" x14ac:dyDescent="0.2">
      <c r="A15" s="2405" t="str">
        <f>COVER!A21</f>
        <v>Joliet</v>
      </c>
      <c r="B15" s="2418"/>
      <c r="C15" s="2418"/>
      <c r="D15" s="2418"/>
      <c r="E15" s="2418"/>
      <c r="F15" s="2419"/>
      <c r="G15" s="2415" t="str">
        <f>COVER!T15</f>
        <v>Tawnya Mack, CPA</v>
      </c>
      <c r="H15" s="2416"/>
      <c r="I15" s="2416"/>
      <c r="J15" s="2416"/>
      <c r="K15" s="2416"/>
      <c r="L15" s="2417"/>
    </row>
    <row r="16" spans="1:29" ht="12.2" customHeight="1" x14ac:dyDescent="0.2">
      <c r="A16" s="2395">
        <f>COVER!A25</f>
        <v>60435</v>
      </c>
      <c r="B16" s="2396"/>
      <c r="C16" s="2396"/>
      <c r="D16" s="2396"/>
      <c r="E16" s="2396"/>
      <c r="F16" s="2397"/>
      <c r="G16" s="2408"/>
      <c r="H16" s="2409"/>
      <c r="I16" s="2409"/>
      <c r="J16" s="2409"/>
      <c r="K16" s="2409"/>
      <c r="L16" s="2410"/>
    </row>
    <row r="17" spans="1:13" ht="12.2" customHeight="1" x14ac:dyDescent="0.2">
      <c r="A17" s="2411"/>
      <c r="B17" s="2396"/>
      <c r="C17" s="2396"/>
      <c r="D17" s="2396"/>
      <c r="E17" s="2396"/>
      <c r="F17" s="2397"/>
      <c r="G17" s="1195" t="s">
        <v>1184</v>
      </c>
      <c r="H17" s="1193"/>
      <c r="I17" s="1193"/>
      <c r="J17" s="1193"/>
      <c r="K17" s="1197" t="s">
        <v>1183</v>
      </c>
      <c r="L17" s="1190"/>
      <c r="M17" s="1183"/>
    </row>
    <row r="18" spans="1:13" ht="12.2" customHeight="1" x14ac:dyDescent="0.2">
      <c r="A18" s="2389"/>
      <c r="B18" s="2390"/>
      <c r="C18" s="2390"/>
      <c r="D18" s="2390"/>
      <c r="E18" s="2390"/>
      <c r="F18" s="2391"/>
      <c r="G18" s="2392" t="str">
        <f>COVER!T21</f>
        <v>815-942-3306</v>
      </c>
      <c r="H18" s="2393"/>
      <c r="I18" s="2393"/>
      <c r="J18" s="2393"/>
      <c r="K18" s="2392" t="str">
        <f>COVER!X21</f>
        <v>815-942-9430</v>
      </c>
      <c r="L18" s="239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2070</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2070</v>
      </c>
      <c r="C26" s="1202" t="s">
        <v>1699</v>
      </c>
    </row>
    <row r="27" spans="1:13" s="1198" customFormat="1" ht="9" customHeight="1" x14ac:dyDescent="0.2">
      <c r="B27" s="1203"/>
      <c r="C27" s="1202"/>
    </row>
    <row r="28" spans="1:13" s="1198" customFormat="1" ht="12.2" customHeight="1" x14ac:dyDescent="0.2">
      <c r="A28" s="1205"/>
      <c r="B28" s="1201" t="s">
        <v>2070</v>
      </c>
      <c r="C28" s="1202" t="s">
        <v>1700</v>
      </c>
    </row>
    <row r="29" spans="1:13" s="1198" customFormat="1" ht="9" customHeight="1" x14ac:dyDescent="0.2">
      <c r="A29" s="1205"/>
      <c r="B29" s="1203"/>
      <c r="C29" s="1202"/>
    </row>
    <row r="30" spans="1:13" s="1198" customFormat="1" ht="12.2" customHeight="1" x14ac:dyDescent="0.2">
      <c r="B30" s="1201" t="s">
        <v>2070</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2070</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2070</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2070</v>
      </c>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t="s">
        <v>2070</v>
      </c>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3" t="str">
        <f>'Single Audit Cover'!A7</f>
        <v>S Will Co Coop for Spec Ed</v>
      </c>
      <c r="B1" s="2429"/>
      <c r="C1" s="2429"/>
      <c r="D1" s="2429"/>
    </row>
    <row r="2" spans="1:11" s="1212" customFormat="1" ht="12.75" x14ac:dyDescent="0.2">
      <c r="A2" s="2434" t="str">
        <f>'Single Audit Cover'!E7</f>
        <v>56099255U61</v>
      </c>
      <c r="B2" s="2435"/>
      <c r="C2" s="2435"/>
      <c r="D2" s="2435"/>
    </row>
    <row r="3" spans="1:11" s="1212" customFormat="1" ht="12.75" x14ac:dyDescent="0.2">
      <c r="A3" s="2433" t="s">
        <v>1513</v>
      </c>
      <c r="B3" s="2429"/>
      <c r="C3" s="2429"/>
      <c r="D3" s="242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7" t="str">
        <f>'Single Audit Cover'!A7</f>
        <v>S Will Co Coop for Spec Ed</v>
      </c>
      <c r="B1" s="2437"/>
      <c r="C1" s="2437"/>
      <c r="D1" s="2437"/>
      <c r="E1" s="2437"/>
    </row>
    <row r="2" spans="1:5" x14ac:dyDescent="0.2">
      <c r="A2" s="2438" t="str">
        <f>'Single Audit Cover'!E7</f>
        <v>56099255U61</v>
      </c>
      <c r="B2" s="2438"/>
      <c r="C2" s="2438"/>
      <c r="D2" s="2438"/>
      <c r="E2" s="2438"/>
    </row>
    <row r="3" spans="1:5" ht="4.5" customHeight="1" x14ac:dyDescent="0.2"/>
    <row r="4" spans="1:5" x14ac:dyDescent="0.2">
      <c r="A4" s="2437" t="s">
        <v>1245</v>
      </c>
      <c r="B4" s="2437"/>
      <c r="C4" s="2437"/>
      <c r="D4" s="2437"/>
      <c r="E4" s="2437"/>
    </row>
    <row r="5" spans="1:5" x14ac:dyDescent="0.2">
      <c r="A5" s="2440" t="str">
        <f>'Single Audit Cover'!A4</f>
        <v>Year Ending June 30, 2019</v>
      </c>
      <c r="B5" s="2440"/>
      <c r="C5" s="2440"/>
      <c r="D5" s="2440"/>
      <c r="E5" s="2440"/>
    </row>
    <row r="6" spans="1:5" x14ac:dyDescent="0.2">
      <c r="A6" s="2437" t="s">
        <v>1244</v>
      </c>
      <c r="B6" s="2437"/>
      <c r="C6" s="2437"/>
      <c r="D6" s="2437"/>
      <c r="E6" s="2437"/>
    </row>
    <row r="8" spans="1:5" x14ac:dyDescent="0.2">
      <c r="A8" s="1257" t="s">
        <v>1243</v>
      </c>
    </row>
    <row r="10" spans="1:5" x14ac:dyDescent="0.2">
      <c r="A10" s="1258" t="s">
        <v>1242</v>
      </c>
      <c r="B10" s="1259" t="s">
        <v>1241</v>
      </c>
      <c r="C10" s="1259"/>
      <c r="D10" s="1260">
        <f>SUM('Acct Summary 7-8'!C7:K7)</f>
        <v>3285228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-125176</v>
      </c>
    </row>
    <row r="19" spans="1:4" ht="13.5" thickBot="1" x14ac:dyDescent="0.25">
      <c r="A19" s="1262" t="s">
        <v>1235</v>
      </c>
      <c r="D19" s="1263">
        <f>SUM(D10:D17)</f>
        <v>3160052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9"/>
      <c r="B24" s="2439"/>
      <c r="D24" s="1265"/>
    </row>
    <row r="25" spans="1:4" x14ac:dyDescent="0.2">
      <c r="A25" s="2436"/>
      <c r="B25" s="2436"/>
      <c r="D25" s="1265"/>
    </row>
    <row r="26" spans="1:4" x14ac:dyDescent="0.2">
      <c r="A26" s="2436"/>
      <c r="B26" s="2436"/>
      <c r="D26" s="1265"/>
    </row>
    <row r="27" spans="1:4" x14ac:dyDescent="0.2">
      <c r="A27" s="2436"/>
      <c r="B27" s="2436"/>
      <c r="D27" s="1265"/>
    </row>
    <row r="28" spans="1:4" x14ac:dyDescent="0.2">
      <c r="A28" s="2436"/>
      <c r="B28" s="2436"/>
      <c r="D28" s="1265"/>
    </row>
    <row r="29" spans="1:4" x14ac:dyDescent="0.2">
      <c r="A29" s="2436"/>
      <c r="B29" s="2436"/>
      <c r="D29" s="1265"/>
    </row>
    <row r="30" spans="1:4" x14ac:dyDescent="0.2">
      <c r="A30" s="2436"/>
      <c r="B30" s="2436"/>
      <c r="D30" s="1265"/>
    </row>
    <row r="32" spans="1:4" x14ac:dyDescent="0.2">
      <c r="A32" s="1257" t="s">
        <v>1233</v>
      </c>
      <c r="D32" s="1260">
        <f>SUM(D19:D30)</f>
        <v>3160052</v>
      </c>
    </row>
    <row r="33" spans="1:4" x14ac:dyDescent="0.2">
      <c r="D33" s="1266"/>
    </row>
    <row r="34" spans="1:4" x14ac:dyDescent="0.2">
      <c r="A34" s="317" t="s">
        <v>1232</v>
      </c>
    </row>
    <row r="35" spans="1:4" x14ac:dyDescent="0.2">
      <c r="A35" s="317" t="s">
        <v>1231</v>
      </c>
      <c r="B35" s="1255" t="s">
        <v>1230</v>
      </c>
      <c r="D35" s="1267">
        <v>3160052</v>
      </c>
    </row>
    <row r="37" spans="1:4" x14ac:dyDescent="0.2">
      <c r="A37" s="1257" t="s">
        <v>1229</v>
      </c>
    </row>
    <row r="39" spans="1:4" ht="13.35" customHeight="1" x14ac:dyDescent="0.2">
      <c r="A39" s="1264" t="s">
        <v>1228</v>
      </c>
    </row>
    <row r="40" spans="1:4" x14ac:dyDescent="0.2">
      <c r="A40" s="2436"/>
      <c r="B40" s="2436"/>
      <c r="D40" s="1265"/>
    </row>
    <row r="41" spans="1:4" x14ac:dyDescent="0.2">
      <c r="A41" s="2436"/>
      <c r="B41" s="2436"/>
      <c r="D41" s="1268"/>
    </row>
    <row r="42" spans="1:4" x14ac:dyDescent="0.2">
      <c r="A42" s="2436"/>
      <c r="B42" s="2436"/>
      <c r="D42" s="1268"/>
    </row>
    <row r="43" spans="1:4" x14ac:dyDescent="0.2">
      <c r="A43" s="2436"/>
      <c r="B43" s="2436"/>
      <c r="D43" s="1268"/>
    </row>
    <row r="44" spans="1:4" x14ac:dyDescent="0.2">
      <c r="A44" s="2436"/>
      <c r="B44" s="2436"/>
      <c r="D44" s="1268"/>
    </row>
    <row r="45" spans="1:4" x14ac:dyDescent="0.2">
      <c r="A45" s="2436"/>
      <c r="B45" s="2436"/>
      <c r="D45" s="1268"/>
    </row>
    <row r="47" spans="1:4" x14ac:dyDescent="0.2">
      <c r="B47" s="1269" t="s">
        <v>1227</v>
      </c>
      <c r="C47" s="1269"/>
      <c r="D47" s="1270">
        <f>SUM(D35:D45)</f>
        <v>3160052</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52"/>
  <sheetViews>
    <sheetView showGridLines="0" topLeftCell="A13" zoomScaleNormal="100" workbookViewId="0">
      <selection activeCell="J19" sqref="J1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8" t="str">
        <f>'Single Audit Cover'!A7</f>
        <v>S Will Co Coop for Spec Ed</v>
      </c>
      <c r="C1" s="2441"/>
      <c r="D1" s="2441"/>
      <c r="E1" s="2441"/>
      <c r="F1" s="2441"/>
      <c r="G1" s="2441"/>
      <c r="H1" s="2441"/>
      <c r="I1" s="2441"/>
      <c r="J1" s="2441"/>
      <c r="K1" s="2441"/>
      <c r="L1" s="2441"/>
      <c r="M1" s="2441"/>
    </row>
    <row r="2" spans="2:14" ht="15" x14ac:dyDescent="0.2">
      <c r="B2" s="2442" t="str">
        <f>'Single Audit Cover'!E7</f>
        <v>56099255U61</v>
      </c>
      <c r="C2" s="2442"/>
      <c r="D2" s="2442"/>
      <c r="E2" s="2442"/>
      <c r="F2" s="2442"/>
      <c r="G2" s="2442"/>
      <c r="H2" s="2442"/>
      <c r="I2" s="2442"/>
      <c r="J2" s="2442"/>
      <c r="K2" s="2442"/>
      <c r="L2" s="2442"/>
      <c r="M2" s="2442"/>
      <c r="N2" s="1299"/>
    </row>
    <row r="3" spans="2:14" ht="15" x14ac:dyDescent="0.2">
      <c r="B3" s="2443" t="s">
        <v>1219</v>
      </c>
      <c r="C3" s="2443"/>
      <c r="D3" s="2443"/>
      <c r="E3" s="2443"/>
      <c r="F3" s="2443"/>
      <c r="G3" s="2443"/>
      <c r="H3" s="2443"/>
      <c r="I3" s="2443"/>
      <c r="J3" s="2443"/>
      <c r="K3" s="2443"/>
      <c r="L3" s="2443"/>
      <c r="M3" s="2443"/>
      <c r="N3" s="1299"/>
    </row>
    <row r="4" spans="2:14" ht="15" x14ac:dyDescent="0.2">
      <c r="B4" s="2444" t="str">
        <f>'Single Audit Cover'!A4</f>
        <v>Year Ending June 30, 2019</v>
      </c>
      <c r="C4" s="2444"/>
      <c r="D4" s="2444"/>
      <c r="E4" s="2444"/>
      <c r="F4" s="2444"/>
      <c r="G4" s="2444"/>
      <c r="H4" s="2444"/>
      <c r="I4" s="2444"/>
      <c r="J4" s="2444"/>
      <c r="K4" s="2444"/>
      <c r="L4" s="2444"/>
      <c r="M4" s="244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2100</v>
      </c>
      <c r="C11" s="1335"/>
      <c r="D11" s="1336"/>
      <c r="E11" s="1337"/>
      <c r="F11" s="1337"/>
      <c r="G11" s="1337"/>
      <c r="H11" s="1337"/>
      <c r="I11" s="1337"/>
      <c r="J11" s="1337"/>
      <c r="K11" s="1337"/>
      <c r="L11" s="1337">
        <f>+G11+I11+K11</f>
        <v>0</v>
      </c>
      <c r="M11" s="1337"/>
    </row>
    <row r="12" spans="2:14" ht="20.100000000000001" customHeight="1" x14ac:dyDescent="0.2">
      <c r="B12" s="1334" t="s">
        <v>2101</v>
      </c>
      <c r="C12" s="1338"/>
      <c r="D12" s="1339"/>
      <c r="E12" s="1340"/>
      <c r="F12" s="1340"/>
      <c r="G12" s="1340"/>
      <c r="H12" s="1340"/>
      <c r="I12" s="1340"/>
      <c r="J12" s="1340"/>
      <c r="K12" s="1340"/>
      <c r="L12" s="1337">
        <f t="shared" ref="L12:L27" si="0">+G12+I12+K12</f>
        <v>0</v>
      </c>
      <c r="M12" s="1340"/>
    </row>
    <row r="13" spans="2:14" ht="20.100000000000001" customHeight="1" x14ac:dyDescent="0.2">
      <c r="B13" s="1334" t="s">
        <v>2102</v>
      </c>
      <c r="C13" s="1338"/>
      <c r="D13" s="1339"/>
      <c r="E13" s="1340"/>
      <c r="F13" s="1340"/>
      <c r="G13" s="1340"/>
      <c r="H13" s="1340"/>
      <c r="I13" s="1340"/>
      <c r="J13" s="1340"/>
      <c r="K13" s="1340"/>
      <c r="L13" s="1337">
        <f t="shared" si="0"/>
        <v>0</v>
      </c>
      <c r="M13" s="1340"/>
    </row>
    <row r="14" spans="2:14" ht="20.100000000000001" customHeight="1" x14ac:dyDescent="0.2">
      <c r="B14" s="1334" t="s">
        <v>2103</v>
      </c>
      <c r="C14" s="1338" t="s">
        <v>2098</v>
      </c>
      <c r="D14" s="1339" t="s">
        <v>2104</v>
      </c>
      <c r="E14" s="1340">
        <v>32912</v>
      </c>
      <c r="F14" s="1340">
        <v>39101</v>
      </c>
      <c r="G14" s="1340">
        <v>72013</v>
      </c>
      <c r="H14" s="1340">
        <v>33240</v>
      </c>
      <c r="I14" s="1340"/>
      <c r="J14" s="1340"/>
      <c r="K14" s="1340"/>
      <c r="L14" s="1337">
        <f t="shared" si="0"/>
        <v>72013</v>
      </c>
      <c r="M14" s="1340">
        <v>72347</v>
      </c>
    </row>
    <row r="15" spans="2:14" ht="20.100000000000001" customHeight="1" x14ac:dyDescent="0.2">
      <c r="B15" s="1334" t="s">
        <v>2124</v>
      </c>
      <c r="C15" s="1338" t="s">
        <v>2098</v>
      </c>
      <c r="D15" s="1339" t="s">
        <v>2127</v>
      </c>
      <c r="E15" s="1340"/>
      <c r="F15" s="1340">
        <v>34923</v>
      </c>
      <c r="G15" s="1340"/>
      <c r="H15" s="1340"/>
      <c r="I15" s="1340">
        <v>74477</v>
      </c>
      <c r="J15" s="1340">
        <v>34369</v>
      </c>
      <c r="K15" s="1340"/>
      <c r="L15" s="1337">
        <f t="shared" si="0"/>
        <v>74477</v>
      </c>
      <c r="M15" s="1340">
        <v>74738</v>
      </c>
    </row>
    <row r="16" spans="2:14" ht="20.100000000000001" customHeight="1" x14ac:dyDescent="0.2">
      <c r="B16" s="1334" t="s">
        <v>2105</v>
      </c>
      <c r="C16" s="1338" t="s">
        <v>2099</v>
      </c>
      <c r="D16" s="1339" t="s">
        <v>2106</v>
      </c>
      <c r="E16" s="1340">
        <v>725935</v>
      </c>
      <c r="F16" s="1340">
        <v>1742958</v>
      </c>
      <c r="G16" s="1340">
        <v>2468893</v>
      </c>
      <c r="H16" s="1340">
        <v>1379466</v>
      </c>
      <c r="I16" s="1340"/>
      <c r="J16" s="1340"/>
      <c r="K16" s="1340"/>
      <c r="L16" s="1337">
        <f t="shared" si="0"/>
        <v>2468893</v>
      </c>
      <c r="M16" s="1340">
        <v>2601410</v>
      </c>
    </row>
    <row r="17" spans="2:14" ht="20.100000000000001" customHeight="1" x14ac:dyDescent="0.2">
      <c r="B17" s="1334" t="s">
        <v>2125</v>
      </c>
      <c r="C17" s="1338" t="s">
        <v>2099</v>
      </c>
      <c r="D17" s="1339" t="s">
        <v>2126</v>
      </c>
      <c r="E17" s="1340"/>
      <c r="F17" s="1340">
        <v>1180215</v>
      </c>
      <c r="G17" s="1340"/>
      <c r="H17" s="1340"/>
      <c r="I17" s="1340">
        <v>2581616</v>
      </c>
      <c r="J17" s="1340">
        <v>1402684</v>
      </c>
      <c r="K17" s="1340"/>
      <c r="L17" s="1337">
        <f t="shared" si="0"/>
        <v>2581616</v>
      </c>
      <c r="M17" s="1340">
        <v>2669525</v>
      </c>
    </row>
    <row r="18" spans="2:14" ht="20.100000000000001" customHeight="1" x14ac:dyDescent="0.2">
      <c r="B18" s="1334" t="s">
        <v>2107</v>
      </c>
      <c r="C18" s="1338"/>
      <c r="D18" s="1339"/>
      <c r="E18" s="1340">
        <f>SUM(E14:E17)</f>
        <v>758847</v>
      </c>
      <c r="F18" s="1340">
        <f>SUM(F14:F17)</f>
        <v>2997197</v>
      </c>
      <c r="G18" s="1340">
        <f>SUM(G14:G17)</f>
        <v>2540906</v>
      </c>
      <c r="H18" s="1340">
        <v>1427301</v>
      </c>
      <c r="I18" s="1340">
        <f>SUM(I14:I17)</f>
        <v>2656093</v>
      </c>
      <c r="J18" s="1340">
        <v>1437053</v>
      </c>
      <c r="K18" s="1340"/>
      <c r="L18" s="1337">
        <f t="shared" si="0"/>
        <v>5196999</v>
      </c>
      <c r="M18" s="1340">
        <f>SUM(M14:M17)</f>
        <v>5418020</v>
      </c>
    </row>
    <row r="19" spans="2:14" ht="20.100000000000001" customHeight="1" x14ac:dyDescent="0.2">
      <c r="B19" s="1334" t="s">
        <v>2108</v>
      </c>
      <c r="C19" s="1338"/>
      <c r="D19" s="1339"/>
      <c r="E19" s="1340"/>
      <c r="F19" s="1340"/>
      <c r="G19" s="1340"/>
      <c r="H19" s="1340"/>
      <c r="I19" s="1340"/>
      <c r="J19" s="1340"/>
      <c r="K19" s="1340"/>
      <c r="L19" s="1337">
        <f t="shared" si="0"/>
        <v>0</v>
      </c>
      <c r="M19" s="1340"/>
    </row>
    <row r="20" spans="2:14" ht="20.100000000000001" customHeight="1" x14ac:dyDescent="0.2">
      <c r="B20" s="1334" t="s">
        <v>2136</v>
      </c>
      <c r="C20" s="1338">
        <v>84.126000000000005</v>
      </c>
      <c r="D20" s="1339" t="s">
        <v>2152</v>
      </c>
      <c r="E20" s="1340">
        <v>33566</v>
      </c>
      <c r="F20" s="1340"/>
      <c r="G20" s="1340">
        <v>33737</v>
      </c>
      <c r="H20" s="1340"/>
      <c r="I20" s="1340"/>
      <c r="J20" s="1340"/>
      <c r="K20" s="1340"/>
      <c r="L20" s="1337">
        <f t="shared" si="0"/>
        <v>33737</v>
      </c>
      <c r="M20" s="1340">
        <v>33737</v>
      </c>
    </row>
    <row r="21" spans="2:14" ht="20.100000000000001" customHeight="1" x14ac:dyDescent="0.2">
      <c r="B21" s="1334" t="s">
        <v>2137</v>
      </c>
      <c r="C21" s="1338">
        <v>84.126000000000005</v>
      </c>
      <c r="D21" s="1339" t="s">
        <v>2153</v>
      </c>
      <c r="E21" s="1340"/>
      <c r="F21" s="1340">
        <v>29972</v>
      </c>
      <c r="G21" s="1340"/>
      <c r="H21" s="1340"/>
      <c r="I21" s="1340">
        <v>29972</v>
      </c>
      <c r="J21" s="1340"/>
      <c r="K21" s="1340"/>
      <c r="L21" s="1337">
        <f t="shared" si="0"/>
        <v>29972</v>
      </c>
      <c r="M21" s="1340">
        <v>29972</v>
      </c>
    </row>
    <row r="22" spans="2:14" ht="20.100000000000001" customHeight="1" x14ac:dyDescent="0.2">
      <c r="B22" s="1334" t="s">
        <v>2109</v>
      </c>
      <c r="C22" s="1338"/>
      <c r="D22" s="1339"/>
      <c r="E22" s="1340">
        <f>E18+E20+E21</f>
        <v>792413</v>
      </c>
      <c r="F22" s="1340">
        <f>F18+F20+F21</f>
        <v>3027169</v>
      </c>
      <c r="G22" s="1340">
        <f>G18+G20+G21</f>
        <v>2574643</v>
      </c>
      <c r="H22" s="1340"/>
      <c r="I22" s="1340">
        <f>I18+I20+I21</f>
        <v>2686065</v>
      </c>
      <c r="J22" s="1340"/>
      <c r="K22" s="1340"/>
      <c r="L22" s="1337">
        <f t="shared" si="0"/>
        <v>5260708</v>
      </c>
      <c r="M22" s="1340">
        <f>M18+M20+M21</f>
        <v>5481729</v>
      </c>
    </row>
    <row r="23" spans="2:14" ht="20.100000000000001" customHeight="1" x14ac:dyDescent="0.2">
      <c r="B23" s="1334" t="s">
        <v>2110</v>
      </c>
      <c r="C23" s="1338"/>
      <c r="D23" s="1339"/>
      <c r="E23" s="1340"/>
      <c r="F23" s="1340"/>
      <c r="G23" s="1340"/>
      <c r="H23" s="1340"/>
      <c r="I23" s="1340"/>
      <c r="J23" s="1340"/>
      <c r="K23" s="1340"/>
      <c r="L23" s="1337">
        <f t="shared" si="0"/>
        <v>0</v>
      </c>
      <c r="M23" s="1340"/>
    </row>
    <row r="24" spans="2:14" ht="20.100000000000001" customHeight="1" x14ac:dyDescent="0.2">
      <c r="B24" s="1334" t="s">
        <v>2111</v>
      </c>
      <c r="C24" s="1338"/>
      <c r="D24" s="1339"/>
      <c r="E24" s="1340"/>
      <c r="F24" s="1340"/>
      <c r="G24" s="1340"/>
      <c r="H24" s="1340"/>
      <c r="I24" s="1340"/>
      <c r="J24" s="1340"/>
      <c r="K24" s="1340"/>
      <c r="L24" s="1337">
        <f t="shared" si="0"/>
        <v>0</v>
      </c>
      <c r="M24" s="1340"/>
    </row>
    <row r="25" spans="2:14" ht="20.100000000000001" customHeight="1" x14ac:dyDescent="0.2">
      <c r="B25" s="1334" t="s">
        <v>2112</v>
      </c>
      <c r="C25" s="1338">
        <v>93.778000000000006</v>
      </c>
      <c r="D25" s="1339" t="s">
        <v>2113</v>
      </c>
      <c r="E25" s="1340">
        <v>124203</v>
      </c>
      <c r="F25" s="1340"/>
      <c r="G25" s="1340">
        <v>129378</v>
      </c>
      <c r="H25" s="1340"/>
      <c r="I25" s="1340"/>
      <c r="J25" s="1340"/>
      <c r="K25" s="1340"/>
      <c r="L25" s="1337">
        <f t="shared" si="0"/>
        <v>129378</v>
      </c>
      <c r="M25" s="1340" t="s">
        <v>2097</v>
      </c>
    </row>
    <row r="26" spans="2:14" ht="20.100000000000001" customHeight="1" x14ac:dyDescent="0.2">
      <c r="B26" s="1334" t="s">
        <v>2128</v>
      </c>
      <c r="C26" s="1338">
        <v>93.778000000000006</v>
      </c>
      <c r="D26" s="1339" t="s">
        <v>2129</v>
      </c>
      <c r="E26" s="1340"/>
      <c r="F26" s="1340">
        <v>47628</v>
      </c>
      <c r="G26" s="1340"/>
      <c r="H26" s="1340"/>
      <c r="I26" s="1340">
        <v>49613</v>
      </c>
      <c r="J26" s="1340"/>
      <c r="K26" s="1340"/>
      <c r="L26" s="1337">
        <f t="shared" si="0"/>
        <v>49613</v>
      </c>
      <c r="M26" s="1340" t="s">
        <v>2097</v>
      </c>
    </row>
    <row r="27" spans="2:14" ht="20.100000000000001" customHeight="1" x14ac:dyDescent="0.2">
      <c r="B27" s="1334" t="s">
        <v>2114</v>
      </c>
      <c r="C27" s="1338"/>
      <c r="D27" s="1339"/>
      <c r="E27" s="1340">
        <f>SUM(E25:E26)</f>
        <v>124203</v>
      </c>
      <c r="F27" s="1340">
        <f>SUM(F25:F26)</f>
        <v>47628</v>
      </c>
      <c r="G27" s="1340">
        <f>SUM(G25:G26)</f>
        <v>129378</v>
      </c>
      <c r="H27" s="1340"/>
      <c r="I27" s="1340">
        <f>SUM(I25:I26)</f>
        <v>49613</v>
      </c>
      <c r="J27" s="1340"/>
      <c r="K27" s="1340"/>
      <c r="L27" s="1337">
        <f t="shared" si="0"/>
        <v>178991</v>
      </c>
      <c r="M27" s="1340" t="s">
        <v>2097</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B1:N152"/>
  <sheetViews>
    <sheetView showGridLines="0" topLeftCell="A10" zoomScaleNormal="100" workbookViewId="0">
      <selection activeCell="I20" sqref="I20"/>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8" t="str">
        <f>'Single Audit Cover'!A7</f>
        <v>S Will Co Coop for Spec Ed</v>
      </c>
      <c r="C1" s="2441"/>
      <c r="D1" s="2441"/>
      <c r="E1" s="2441"/>
      <c r="F1" s="2441"/>
      <c r="G1" s="2441"/>
      <c r="H1" s="2441"/>
      <c r="I1" s="2441"/>
      <c r="J1" s="2441"/>
      <c r="K1" s="2441"/>
      <c r="L1" s="2441"/>
      <c r="M1" s="2441"/>
    </row>
    <row r="2" spans="2:14" ht="15" x14ac:dyDescent="0.2">
      <c r="B2" s="2442" t="str">
        <f>'Single Audit Cover'!E7</f>
        <v>56099255U61</v>
      </c>
      <c r="C2" s="2442"/>
      <c r="D2" s="2442"/>
      <c r="E2" s="2442"/>
      <c r="F2" s="2442"/>
      <c r="G2" s="2442"/>
      <c r="H2" s="2442"/>
      <c r="I2" s="2442"/>
      <c r="J2" s="2442"/>
      <c r="K2" s="2442"/>
      <c r="L2" s="2442"/>
      <c r="M2" s="2442"/>
      <c r="N2" s="1299"/>
    </row>
    <row r="3" spans="2:14" ht="15" x14ac:dyDescent="0.2">
      <c r="B3" s="2443" t="s">
        <v>1219</v>
      </c>
      <c r="C3" s="2443"/>
      <c r="D3" s="2443"/>
      <c r="E3" s="2443"/>
      <c r="F3" s="2443"/>
      <c r="G3" s="2443"/>
      <c r="H3" s="2443"/>
      <c r="I3" s="2443"/>
      <c r="J3" s="2443"/>
      <c r="K3" s="2443"/>
      <c r="L3" s="2443"/>
      <c r="M3" s="2443"/>
      <c r="N3" s="1299"/>
    </row>
    <row r="4" spans="2:14" ht="15" x14ac:dyDescent="0.2">
      <c r="B4" s="2444" t="str">
        <f>'Single Audit Cover'!A4</f>
        <v>Year Ending June 30, 2019</v>
      </c>
      <c r="C4" s="2444"/>
      <c r="D4" s="2444"/>
      <c r="E4" s="2444"/>
      <c r="F4" s="2444"/>
      <c r="G4" s="2444"/>
      <c r="H4" s="2444"/>
      <c r="I4" s="2444"/>
      <c r="J4" s="2444"/>
      <c r="K4" s="2444"/>
      <c r="L4" s="2444"/>
      <c r="M4" s="244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2115</v>
      </c>
      <c r="C11" s="1335"/>
      <c r="D11" s="1336"/>
      <c r="E11" s="1337"/>
      <c r="F11" s="1337"/>
      <c r="G11" s="1337"/>
      <c r="H11" s="1337"/>
      <c r="I11" s="1337"/>
      <c r="J11" s="1337"/>
      <c r="K11" s="1337"/>
      <c r="L11" s="1337">
        <f>+G11+I11+K11</f>
        <v>0</v>
      </c>
      <c r="M11" s="1337"/>
    </row>
    <row r="12" spans="2:14" ht="20.100000000000001" customHeight="1" x14ac:dyDescent="0.2">
      <c r="B12" s="1334" t="s">
        <v>2101</v>
      </c>
      <c r="C12" s="1338"/>
      <c r="D12" s="1339"/>
      <c r="E12" s="1340"/>
      <c r="F12" s="1340"/>
      <c r="G12" s="1340"/>
      <c r="H12" s="1340"/>
      <c r="I12" s="1340"/>
      <c r="J12" s="1340"/>
      <c r="K12" s="1340"/>
      <c r="L12" s="1337">
        <f t="shared" ref="L12:L27" si="0">+G12+I12+K12</f>
        <v>0</v>
      </c>
      <c r="M12" s="1340"/>
    </row>
    <row r="13" spans="2:14" ht="20.100000000000001" customHeight="1" x14ac:dyDescent="0.2">
      <c r="B13" s="1334" t="s">
        <v>2116</v>
      </c>
      <c r="C13" s="1338">
        <v>10.555</v>
      </c>
      <c r="D13" s="1339" t="s">
        <v>2117</v>
      </c>
      <c r="E13" s="1340">
        <v>30875</v>
      </c>
      <c r="F13" s="1340">
        <v>21574</v>
      </c>
      <c r="G13" s="1340">
        <v>42984</v>
      </c>
      <c r="H13" s="1340"/>
      <c r="I13" s="1340">
        <v>9465</v>
      </c>
      <c r="J13" s="1340"/>
      <c r="K13" s="1340"/>
      <c r="L13" s="1337">
        <f t="shared" si="0"/>
        <v>52449</v>
      </c>
      <c r="M13" s="1340" t="s">
        <v>2097</v>
      </c>
    </row>
    <row r="14" spans="2:14" ht="20.100000000000001" customHeight="1" x14ac:dyDescent="0.2">
      <c r="B14" s="1334" t="s">
        <v>2130</v>
      </c>
      <c r="C14" s="1338">
        <v>10.555</v>
      </c>
      <c r="D14" s="1339" t="s">
        <v>2133</v>
      </c>
      <c r="E14" s="1340"/>
      <c r="F14" s="1340">
        <v>38531</v>
      </c>
      <c r="G14" s="1340"/>
      <c r="H14" s="1340"/>
      <c r="I14" s="1340">
        <v>46182</v>
      </c>
      <c r="J14" s="1340"/>
      <c r="K14" s="1340"/>
      <c r="L14" s="1337">
        <f t="shared" si="0"/>
        <v>46182</v>
      </c>
      <c r="M14" s="1340" t="s">
        <v>2097</v>
      </c>
    </row>
    <row r="15" spans="2:14" ht="20.100000000000001" customHeight="1" x14ac:dyDescent="0.2">
      <c r="B15" s="1334" t="s">
        <v>2118</v>
      </c>
      <c r="C15" s="1338">
        <v>10.553000000000001</v>
      </c>
      <c r="D15" s="1339" t="s">
        <v>2119</v>
      </c>
      <c r="E15" s="1340">
        <v>6148</v>
      </c>
      <c r="F15" s="1340">
        <v>3773</v>
      </c>
      <c r="G15" s="1340">
        <v>8165</v>
      </c>
      <c r="H15" s="1340"/>
      <c r="I15" s="1340">
        <v>1756</v>
      </c>
      <c r="J15" s="1340"/>
      <c r="K15" s="1340"/>
      <c r="L15" s="1337">
        <f t="shared" si="0"/>
        <v>9921</v>
      </c>
      <c r="M15" s="1340" t="s">
        <v>2097</v>
      </c>
    </row>
    <row r="16" spans="2:14" ht="20.100000000000001" customHeight="1" x14ac:dyDescent="0.2">
      <c r="B16" s="1334" t="s">
        <v>2131</v>
      </c>
      <c r="C16" s="1338">
        <v>10.553000000000001</v>
      </c>
      <c r="D16" s="1339" t="s">
        <v>2134</v>
      </c>
      <c r="E16" s="1340"/>
      <c r="F16" s="1340">
        <v>19933</v>
      </c>
      <c r="G16" s="1340"/>
      <c r="H16" s="1340"/>
      <c r="I16" s="1340">
        <v>24236</v>
      </c>
      <c r="J16" s="1340"/>
      <c r="K16" s="1340"/>
      <c r="L16" s="1337">
        <f t="shared" si="0"/>
        <v>24236</v>
      </c>
      <c r="M16" s="1340" t="s">
        <v>2097</v>
      </c>
    </row>
    <row r="17" spans="2:14" ht="20.100000000000001" customHeight="1" x14ac:dyDescent="0.2">
      <c r="B17" s="1334" t="s">
        <v>2120</v>
      </c>
      <c r="C17" s="1338">
        <v>10.555999999999999</v>
      </c>
      <c r="D17" s="1339" t="s">
        <v>2121</v>
      </c>
      <c r="E17" s="1340">
        <v>614</v>
      </c>
      <c r="F17" s="1340">
        <v>421</v>
      </c>
      <c r="G17" s="1340">
        <v>887</v>
      </c>
      <c r="H17" s="1340"/>
      <c r="I17" s="1340">
        <v>147</v>
      </c>
      <c r="J17" s="1340"/>
      <c r="K17" s="1340"/>
      <c r="L17" s="1337">
        <f t="shared" si="0"/>
        <v>1034</v>
      </c>
      <c r="M17" s="1340" t="s">
        <v>2097</v>
      </c>
    </row>
    <row r="18" spans="2:14" ht="20.100000000000001" customHeight="1" x14ac:dyDescent="0.2">
      <c r="B18" s="1334" t="s">
        <v>2132</v>
      </c>
      <c r="C18" s="1338">
        <v>10.555999999999999</v>
      </c>
      <c r="D18" s="1339" t="s">
        <v>2135</v>
      </c>
      <c r="E18" s="1340"/>
      <c r="F18" s="1340">
        <v>1023</v>
      </c>
      <c r="G18" s="1340"/>
      <c r="H18" s="1340"/>
      <c r="I18" s="1340">
        <v>1514</v>
      </c>
      <c r="J18" s="1340"/>
      <c r="K18" s="1340"/>
      <c r="L18" s="1337">
        <f t="shared" si="0"/>
        <v>1514</v>
      </c>
      <c r="M18" s="1340" t="s">
        <v>2097</v>
      </c>
    </row>
    <row r="19" spans="2:14" ht="20.100000000000001" customHeight="1" x14ac:dyDescent="0.2">
      <c r="B19" s="1334" t="s">
        <v>2122</v>
      </c>
      <c r="C19" s="1338"/>
      <c r="D19" s="1339"/>
      <c r="E19" s="1340">
        <f>SUM(E13:E18)</f>
        <v>37637</v>
      </c>
      <c r="F19" s="1340">
        <f>SUM(F13:F18)</f>
        <v>85255</v>
      </c>
      <c r="G19" s="1340">
        <f>SUM(G13:G18)</f>
        <v>52036</v>
      </c>
      <c r="H19" s="1340"/>
      <c r="I19" s="1340">
        <f>SUM(I13:I18)</f>
        <v>83300</v>
      </c>
      <c r="J19" s="1340"/>
      <c r="K19" s="1340"/>
      <c r="L19" s="1337">
        <f t="shared" si="0"/>
        <v>135336</v>
      </c>
      <c r="M19" s="1340" t="s">
        <v>2097</v>
      </c>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t="s">
        <v>2123</v>
      </c>
      <c r="C21" s="1338"/>
      <c r="D21" s="1339"/>
      <c r="E21" s="1340">
        <f>E19+' SEFA'!E27+' SEFA'!E22</f>
        <v>954253</v>
      </c>
      <c r="F21" s="1340">
        <f>F19+' SEFA'!F27+' SEFA'!F22</f>
        <v>3160052</v>
      </c>
      <c r="G21" s="1340">
        <f>G19+' SEFA'!G27+' SEFA'!G22</f>
        <v>2756057</v>
      </c>
      <c r="H21" s="1340"/>
      <c r="I21" s="1340">
        <f>I19+' SEFA'!I27+' SEFA'!I22</f>
        <v>2818978</v>
      </c>
      <c r="J21" s="1340"/>
      <c r="K21" s="1340"/>
      <c r="L21" s="1337">
        <f t="shared" si="0"/>
        <v>5575035</v>
      </c>
      <c r="M21" s="1340">
        <f>' SEFA'!M22</f>
        <v>5481729</v>
      </c>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07" colorId="8" zoomScale="110" zoomScaleNormal="110" workbookViewId="0">
      <selection activeCell="D120" sqref="D12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9" t="s">
        <v>1168</v>
      </c>
      <c r="B2" s="2059"/>
      <c r="C2" s="2059"/>
      <c r="D2" s="2059"/>
      <c r="E2" s="2059"/>
      <c r="F2" s="2059"/>
      <c r="G2" s="2059"/>
      <c r="H2" s="2059"/>
      <c r="I2" s="2059"/>
      <c r="J2" s="205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3" t="s">
        <v>1633</v>
      </c>
      <c r="B35" s="2074"/>
      <c r="C35" s="2074"/>
      <c r="D35" s="2074"/>
      <c r="E35" s="2075"/>
      <c r="F35" s="2075"/>
      <c r="G35" s="2075"/>
      <c r="H35" s="2075"/>
      <c r="I35" s="207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3" t="s">
        <v>313</v>
      </c>
      <c r="B47" s="2076"/>
      <c r="C47" s="2076"/>
      <c r="D47" s="2076"/>
      <c r="E47" s="2077"/>
      <c r="F47" s="2077"/>
      <c r="G47" s="2077"/>
      <c r="H47" s="2077"/>
      <c r="I47" s="207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0"/>
      <c r="C57" s="2081"/>
      <c r="D57" s="2081"/>
      <c r="E57" s="2081"/>
      <c r="F57" s="2081"/>
      <c r="G57" s="2081"/>
      <c r="H57" s="2081"/>
      <c r="I57" s="2081"/>
      <c r="J57" s="2082"/>
    </row>
    <row r="58" spans="1:10" s="181" customFormat="1" x14ac:dyDescent="0.2">
      <c r="A58" s="253"/>
      <c r="B58" s="2083"/>
      <c r="C58" s="2084"/>
      <c r="D58" s="2084"/>
      <c r="E58" s="2084"/>
      <c r="F58" s="2084"/>
      <c r="G58" s="2084"/>
      <c r="H58" s="2084"/>
      <c r="I58" s="2084"/>
      <c r="J58" s="2085"/>
    </row>
    <row r="59" spans="1:10" s="181" customFormat="1" x14ac:dyDescent="0.2">
      <c r="A59" s="253"/>
      <c r="B59" s="2083"/>
      <c r="C59" s="2084"/>
      <c r="D59" s="2084"/>
      <c r="E59" s="2084"/>
      <c r="F59" s="2084"/>
      <c r="G59" s="2084"/>
      <c r="H59" s="2084"/>
      <c r="I59" s="2084"/>
      <c r="J59" s="2085"/>
    </row>
    <row r="60" spans="1:10" s="181" customFormat="1" x14ac:dyDescent="0.2">
      <c r="A60" s="253"/>
      <c r="B60" s="2083"/>
      <c r="C60" s="2084"/>
      <c r="D60" s="2084"/>
      <c r="E60" s="2084"/>
      <c r="F60" s="2084"/>
      <c r="G60" s="2084"/>
      <c r="H60" s="2084"/>
      <c r="I60" s="2084"/>
      <c r="J60" s="2085"/>
    </row>
    <row r="61" spans="1:10" s="181" customFormat="1" x14ac:dyDescent="0.2">
      <c r="A61" s="253"/>
      <c r="B61" s="2083"/>
      <c r="C61" s="2084"/>
      <c r="D61" s="2084"/>
      <c r="E61" s="2084"/>
      <c r="F61" s="2084"/>
      <c r="G61" s="2084"/>
      <c r="H61" s="2084"/>
      <c r="I61" s="2084"/>
      <c r="J61" s="2085"/>
    </row>
    <row r="62" spans="1:10" s="181" customFormat="1" x14ac:dyDescent="0.2">
      <c r="A62" s="253"/>
      <c r="B62" s="2083"/>
      <c r="C62" s="2084"/>
      <c r="D62" s="2084"/>
      <c r="E62" s="2084"/>
      <c r="F62" s="2084"/>
      <c r="G62" s="2084"/>
      <c r="H62" s="2084"/>
      <c r="I62" s="2084"/>
      <c r="J62" s="2085"/>
    </row>
    <row r="63" spans="1:10" s="181" customFormat="1" x14ac:dyDescent="0.2">
      <c r="A63" s="253"/>
      <c r="B63" s="2083"/>
      <c r="C63" s="2084"/>
      <c r="D63" s="2084"/>
      <c r="E63" s="2084"/>
      <c r="F63" s="2084"/>
      <c r="G63" s="2084"/>
      <c r="H63" s="2084"/>
      <c r="I63" s="2084"/>
      <c r="J63" s="2085"/>
    </row>
    <row r="64" spans="1:10" s="181" customFormat="1" x14ac:dyDescent="0.2">
      <c r="A64" s="253"/>
      <c r="B64" s="2083"/>
      <c r="C64" s="2084"/>
      <c r="D64" s="2084"/>
      <c r="E64" s="2084"/>
      <c r="F64" s="2084"/>
      <c r="G64" s="2084"/>
      <c r="H64" s="2084"/>
      <c r="I64" s="2084"/>
      <c r="J64" s="2085"/>
    </row>
    <row r="65" spans="1:10" s="181" customFormat="1" x14ac:dyDescent="0.2">
      <c r="A65" s="253"/>
      <c r="B65" s="2083"/>
      <c r="C65" s="2084"/>
      <c r="D65" s="2084"/>
      <c r="E65" s="2084"/>
      <c r="F65" s="2084"/>
      <c r="G65" s="2084"/>
      <c r="H65" s="2084"/>
      <c r="I65" s="2084"/>
      <c r="J65" s="2085"/>
    </row>
    <row r="66" spans="1:10" s="181" customFormat="1" x14ac:dyDescent="0.2">
      <c r="A66" s="253"/>
      <c r="B66" s="2083"/>
      <c r="C66" s="2084"/>
      <c r="D66" s="2084"/>
      <c r="E66" s="2084"/>
      <c r="F66" s="2084"/>
      <c r="G66" s="2084"/>
      <c r="H66" s="2084"/>
      <c r="I66" s="2084"/>
      <c r="J66" s="2085"/>
    </row>
    <row r="67" spans="1:10" s="181" customFormat="1" ht="9" customHeight="1" x14ac:dyDescent="0.2">
      <c r="A67" s="254"/>
      <c r="B67" s="2086"/>
      <c r="C67" s="2087"/>
      <c r="D67" s="2087"/>
      <c r="E67" s="2087"/>
      <c r="F67" s="2087"/>
      <c r="G67" s="2087"/>
      <c r="H67" s="2087"/>
      <c r="I67" s="2087"/>
      <c r="J67" s="208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3" t="s">
        <v>1323</v>
      </c>
      <c r="B70" s="2076"/>
      <c r="C70" s="2076"/>
      <c r="D70" s="2076"/>
      <c r="E70" s="2077"/>
      <c r="F70" s="2077"/>
      <c r="G70" s="2077"/>
      <c r="H70" s="2077"/>
      <c r="I70" s="207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8" t="s">
        <v>1320</v>
      </c>
      <c r="B83" s="2078"/>
      <c r="C83" s="2078"/>
      <c r="D83" s="207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0"/>
      <c r="C102" s="2061"/>
      <c r="D102" s="2061"/>
      <c r="E102" s="2061"/>
      <c r="F102" s="2061"/>
      <c r="G102" s="2061"/>
      <c r="H102" s="2061"/>
      <c r="I102" s="2062"/>
    </row>
    <row r="103" spans="1:9" s="181" customFormat="1" ht="11.25" customHeight="1" x14ac:dyDescent="0.2">
      <c r="A103" s="316"/>
      <c r="B103" s="2063"/>
      <c r="C103" s="2064"/>
      <c r="D103" s="2064"/>
      <c r="E103" s="2064"/>
      <c r="F103" s="2064"/>
      <c r="G103" s="2064"/>
      <c r="H103" s="2064"/>
      <c r="I103" s="2065"/>
    </row>
    <row r="104" spans="1:9" s="181" customFormat="1" ht="11.25" customHeight="1" x14ac:dyDescent="0.2">
      <c r="A104" s="316"/>
      <c r="B104" s="2063"/>
      <c r="C104" s="2064"/>
      <c r="D104" s="2064"/>
      <c r="E104" s="2064"/>
      <c r="F104" s="2064"/>
      <c r="G104" s="2064"/>
      <c r="H104" s="2064"/>
      <c r="I104" s="2065"/>
    </row>
    <row r="105" spans="1:9" s="181" customFormat="1" x14ac:dyDescent="0.2">
      <c r="A105" s="316"/>
      <c r="B105" s="2063"/>
      <c r="C105" s="2064"/>
      <c r="D105" s="2064"/>
      <c r="E105" s="2064"/>
      <c r="F105" s="2064"/>
      <c r="G105" s="2064"/>
      <c r="H105" s="2064"/>
      <c r="I105" s="2065"/>
    </row>
    <row r="106" spans="1:9" s="181" customFormat="1" ht="11.25" customHeight="1" x14ac:dyDescent="0.2">
      <c r="A106" s="316"/>
      <c r="B106" s="2063"/>
      <c r="C106" s="2064"/>
      <c r="D106" s="2064"/>
      <c r="E106" s="2064"/>
      <c r="F106" s="2064"/>
      <c r="G106" s="2064"/>
      <c r="H106" s="2064"/>
      <c r="I106" s="2065"/>
    </row>
    <row r="107" spans="1:9" s="181" customFormat="1" ht="11.25" customHeight="1" x14ac:dyDescent="0.2">
      <c r="A107" s="316"/>
      <c r="B107" s="2063"/>
      <c r="C107" s="2064"/>
      <c r="D107" s="2064"/>
      <c r="E107" s="2064"/>
      <c r="F107" s="2064"/>
      <c r="G107" s="2064"/>
      <c r="H107" s="2064"/>
      <c r="I107" s="2065"/>
    </row>
    <row r="108" spans="1:9" s="181" customFormat="1" ht="11.25" customHeight="1" x14ac:dyDescent="0.2">
      <c r="A108" s="316"/>
      <c r="B108" s="2063"/>
      <c r="C108" s="2064"/>
      <c r="D108" s="2064"/>
      <c r="E108" s="2064"/>
      <c r="F108" s="2064"/>
      <c r="G108" s="2064"/>
      <c r="H108" s="2064"/>
      <c r="I108" s="2065"/>
    </row>
    <row r="109" spans="1:9" s="181" customFormat="1" ht="11.25" customHeight="1" x14ac:dyDescent="0.2">
      <c r="A109" s="316"/>
      <c r="B109" s="2063"/>
      <c r="C109" s="2064"/>
      <c r="D109" s="2064"/>
      <c r="E109" s="2064"/>
      <c r="F109" s="2064"/>
      <c r="G109" s="2064"/>
      <c r="H109" s="2064"/>
      <c r="I109" s="2065"/>
    </row>
    <row r="110" spans="1:9" s="181" customFormat="1" ht="11.25" customHeight="1" x14ac:dyDescent="0.2">
      <c r="A110" s="316"/>
      <c r="B110" s="2063"/>
      <c r="C110" s="2064"/>
      <c r="D110" s="2064"/>
      <c r="E110" s="2064"/>
      <c r="F110" s="2064"/>
      <c r="G110" s="2064"/>
      <c r="H110" s="2064"/>
      <c r="I110" s="2065"/>
    </row>
    <row r="111" spans="1:9" s="181" customFormat="1" ht="11.25" customHeight="1" x14ac:dyDescent="0.2">
      <c r="A111" s="316"/>
      <c r="B111" s="2063"/>
      <c r="C111" s="2064"/>
      <c r="D111" s="2064"/>
      <c r="E111" s="2064"/>
      <c r="F111" s="2064"/>
      <c r="G111" s="2064"/>
      <c r="H111" s="2064"/>
      <c r="I111" s="2065"/>
    </row>
    <row r="112" spans="1:9" s="181" customFormat="1" ht="11.25" customHeight="1" x14ac:dyDescent="0.2">
      <c r="A112" s="316"/>
      <c r="B112" s="2066"/>
      <c r="C112" s="2067"/>
      <c r="D112" s="2067"/>
      <c r="E112" s="2067"/>
      <c r="F112" s="2067"/>
      <c r="G112" s="2067"/>
      <c r="H112" s="2067"/>
      <c r="I112" s="206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9" t="s">
        <v>2061</v>
      </c>
      <c r="D114" s="206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0" t="s">
        <v>1330</v>
      </c>
      <c r="D117" s="2071"/>
      <c r="E117" s="2072"/>
      <c r="F117" s="2072"/>
      <c r="G117" s="2072"/>
      <c r="H117" s="2072"/>
      <c r="I117" s="304"/>
    </row>
    <row r="118" spans="1:9" s="181" customFormat="1" ht="24" customHeight="1" x14ac:dyDescent="0.2">
      <c r="A118" s="316"/>
      <c r="B118" s="316"/>
      <c r="C118" s="316"/>
      <c r="D118" s="323" t="s">
        <v>2079</v>
      </c>
      <c r="E118" s="322"/>
      <c r="F118" s="324"/>
      <c r="G118" s="1840"/>
      <c r="H118" s="322"/>
      <c r="I118" s="304"/>
    </row>
    <row r="119" spans="1:9" s="181" customFormat="1" ht="11.25" customHeight="1" x14ac:dyDescent="0.2">
      <c r="A119" s="325"/>
      <c r="B119" s="325"/>
      <c r="C119" s="326"/>
      <c r="D119" s="327" t="s">
        <v>361</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G52"/>
  <sheetViews>
    <sheetView showGridLines="0" topLeftCell="A16"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S Will Co Coop for Spec Ed</v>
      </c>
      <c r="B1" s="2446"/>
      <c r="C1" s="2446"/>
      <c r="D1" s="2446"/>
      <c r="E1" s="2446"/>
      <c r="F1" s="2446"/>
    </row>
    <row r="2" spans="1:7" ht="13.5" customHeight="1" x14ac:dyDescent="0.2">
      <c r="A2" s="2442" t="str">
        <f>'Single Audit Cover'!E7</f>
        <v>56099255U61</v>
      </c>
      <c r="B2" s="2442"/>
      <c r="C2" s="2442"/>
      <c r="D2" s="2442"/>
      <c r="E2" s="2442"/>
      <c r="F2" s="2442"/>
      <c r="G2" s="1272"/>
    </row>
    <row r="3" spans="1:7" ht="15.75" customHeight="1" x14ac:dyDescent="0.2">
      <c r="A3" s="2447" t="s">
        <v>1271</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73" t="s">
        <v>1728</v>
      </c>
      <c r="C6" s="317"/>
      <c r="D6" s="317"/>
    </row>
    <row r="7" spans="1:7" ht="60.95" customHeight="1" x14ac:dyDescent="0.2">
      <c r="A7" s="2445" t="s">
        <v>2140</v>
      </c>
      <c r="B7" s="2445"/>
      <c r="C7" s="2445"/>
      <c r="D7" s="2445"/>
      <c r="E7" s="2445"/>
      <c r="F7" s="2445"/>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2070</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5" t="s">
        <v>2138</v>
      </c>
      <c r="B13" s="2445"/>
      <c r="C13" s="2445"/>
      <c r="D13" s="2445"/>
      <c r="E13" s="2445"/>
      <c r="F13" s="2445"/>
    </row>
    <row r="14" spans="1:7" ht="9.75" customHeight="1" x14ac:dyDescent="0.2">
      <c r="C14" s="1257"/>
      <c r="D14" s="1257"/>
    </row>
    <row r="15" spans="1:7" ht="13.5" customHeight="1" x14ac:dyDescent="0.2">
      <c r="C15" s="1846" t="s">
        <v>1270</v>
      </c>
      <c r="D15" s="2450" t="s">
        <v>1269</v>
      </c>
      <c r="E15" s="2450"/>
      <c r="F15" s="2450"/>
    </row>
    <row r="16" spans="1:7" ht="13.5" customHeight="1" x14ac:dyDescent="0.2">
      <c r="A16" s="1279"/>
      <c r="B16" s="1273" t="s">
        <v>1268</v>
      </c>
      <c r="C16" s="1846" t="s">
        <v>1267</v>
      </c>
      <c r="D16" s="2451" t="s">
        <v>1588</v>
      </c>
      <c r="E16" s="2451"/>
      <c r="F16" s="2451"/>
    </row>
    <row r="17" spans="1:6" ht="20.45" customHeight="1" x14ac:dyDescent="0.2">
      <c r="A17" s="1280"/>
      <c r="B17" s="1281" t="s">
        <v>2141</v>
      </c>
      <c r="C17" s="1282" t="s">
        <v>2098</v>
      </c>
      <c r="D17" s="2449">
        <v>34369</v>
      </c>
      <c r="E17" s="2449"/>
      <c r="F17" s="2449"/>
    </row>
    <row r="18" spans="1:6" ht="20.65" customHeight="1" x14ac:dyDescent="0.2">
      <c r="A18" s="1280"/>
      <c r="B18" s="1281" t="s">
        <v>2141</v>
      </c>
      <c r="C18" s="1282" t="s">
        <v>2099</v>
      </c>
      <c r="D18" s="2449">
        <v>1402684</v>
      </c>
      <c r="E18" s="2449"/>
      <c r="F18" s="2449"/>
    </row>
    <row r="19" spans="1:6" ht="20.65" customHeight="1" x14ac:dyDescent="0.2">
      <c r="A19" s="1280"/>
      <c r="B19" s="1281"/>
      <c r="C19" s="1282"/>
      <c r="D19" s="2449"/>
      <c r="E19" s="2449"/>
      <c r="F19" s="2449"/>
    </row>
    <row r="20" spans="1:6" ht="20.65" customHeight="1" x14ac:dyDescent="0.2">
      <c r="A20" s="1280"/>
      <c r="B20" s="1281"/>
      <c r="C20" s="1282"/>
      <c r="D20" s="2449"/>
      <c r="E20" s="2449"/>
      <c r="F20" s="2449"/>
    </row>
    <row r="21" spans="1:6" ht="20.65" customHeight="1" x14ac:dyDescent="0.2">
      <c r="A21" s="1280"/>
      <c r="B21" s="1281"/>
      <c r="C21" s="1282"/>
      <c r="D21" s="2449"/>
      <c r="E21" s="2449"/>
      <c r="F21" s="2449"/>
    </row>
    <row r="22" spans="1:6" ht="20.65" customHeight="1" x14ac:dyDescent="0.2">
      <c r="A22" s="1280"/>
      <c r="B22" s="1281"/>
      <c r="C22" s="1282"/>
      <c r="D22" s="2449"/>
      <c r="E22" s="2449"/>
      <c r="F22" s="2449"/>
    </row>
    <row r="23" spans="1:6" ht="20.65" customHeight="1" x14ac:dyDescent="0.2">
      <c r="A23" s="1280"/>
      <c r="B23" s="1281"/>
      <c r="C23" s="1282"/>
      <c r="D23" s="2449"/>
      <c r="E23" s="2449"/>
      <c r="F23" s="2449"/>
    </row>
    <row r="24" spans="1:6" ht="20.65" customHeight="1" x14ac:dyDescent="0.2">
      <c r="A24" s="1280"/>
      <c r="B24" s="1281"/>
      <c r="C24" s="1282"/>
      <c r="D24" s="2449"/>
      <c r="E24" s="2449"/>
      <c r="F24" s="2449"/>
    </row>
    <row r="25" spans="1:6" ht="20.65" customHeight="1" x14ac:dyDescent="0.2">
      <c r="A25" s="1280"/>
      <c r="B25" s="1281"/>
      <c r="C25" s="1282"/>
      <c r="D25" s="2449"/>
      <c r="E25" s="2449"/>
      <c r="F25" s="2449"/>
    </row>
    <row r="26" spans="1:6" ht="20.65" customHeight="1" x14ac:dyDescent="0.2">
      <c r="A26" s="1280"/>
      <c r="B26" s="1281"/>
      <c r="C26" s="1282"/>
      <c r="D26" s="2449"/>
      <c r="E26" s="2449"/>
      <c r="F26" s="2449"/>
    </row>
    <row r="27" spans="1:6" ht="20.65" customHeight="1" x14ac:dyDescent="0.2">
      <c r="A27" s="1280"/>
      <c r="B27" s="1281"/>
      <c r="C27" s="1282"/>
      <c r="D27" s="2449"/>
      <c r="E27" s="2449"/>
      <c r="F27" s="2449"/>
    </row>
    <row r="28" spans="1:6" ht="20.65" customHeight="1" x14ac:dyDescent="0.2">
      <c r="A28" s="1280"/>
      <c r="B28" s="1281"/>
      <c r="C28" s="1282"/>
      <c r="D28" s="2449"/>
      <c r="E28" s="2449"/>
      <c r="F28" s="2449"/>
    </row>
    <row r="29" spans="1:6" ht="20.65" customHeight="1" x14ac:dyDescent="0.2">
      <c r="A29" s="1280"/>
      <c r="B29" s="1281"/>
      <c r="C29" s="1282"/>
      <c r="D29" s="2449"/>
      <c r="E29" s="2449"/>
      <c r="F29" s="244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3" t="s">
        <v>2139</v>
      </c>
      <c r="B32" s="2453"/>
      <c r="C32" s="2453"/>
      <c r="D32" s="2453"/>
      <c r="E32" s="2453"/>
      <c r="F32" s="2453"/>
    </row>
    <row r="33" spans="1:6" ht="13.5" customHeight="1" x14ac:dyDescent="0.2">
      <c r="A33" s="328" t="s">
        <v>1434</v>
      </c>
      <c r="B33" s="328"/>
      <c r="C33" s="1285">
        <v>0</v>
      </c>
      <c r="D33" s="1903"/>
      <c r="E33" s="1283"/>
    </row>
    <row r="34" spans="1:6" ht="13.5" customHeight="1" x14ac:dyDescent="0.2">
      <c r="A34" s="328" t="s">
        <v>1835</v>
      </c>
      <c r="B34" s="328"/>
      <c r="C34" s="1286">
        <v>0</v>
      </c>
      <c r="D34" s="1903" t="s">
        <v>1589</v>
      </c>
      <c r="E34" s="2454">
        <f>+C33+C34</f>
        <v>0</v>
      </c>
      <c r="F34" s="245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v>0</v>
      </c>
      <c r="D38" s="1903"/>
      <c r="E38" s="1283"/>
    </row>
    <row r="39" spans="1:6" ht="14.25" customHeight="1" x14ac:dyDescent="0.2">
      <c r="A39" s="328"/>
      <c r="B39" s="328" t="s">
        <v>1436</v>
      </c>
      <c r="C39" s="1289">
        <v>0</v>
      </c>
      <c r="D39" s="1903"/>
      <c r="E39" s="1283"/>
    </row>
    <row r="40" spans="1:6" ht="14.25" customHeight="1" x14ac:dyDescent="0.2">
      <c r="A40" s="328"/>
      <c r="B40" s="328" t="s">
        <v>1437</v>
      </c>
      <c r="C40" s="1289">
        <v>0</v>
      </c>
      <c r="D40" s="1903"/>
      <c r="E40" s="1283"/>
    </row>
    <row r="41" spans="1:6" ht="14.25" customHeight="1" x14ac:dyDescent="0.2">
      <c r="A41" s="328"/>
      <c r="B41" s="328" t="s">
        <v>1438</v>
      </c>
      <c r="C41" s="1289">
        <v>0</v>
      </c>
      <c r="D41" s="1903"/>
      <c r="E41" s="1283"/>
    </row>
    <row r="42" spans="1:6" ht="14.25" customHeight="1" x14ac:dyDescent="0.2">
      <c r="A42" s="328" t="s">
        <v>1439</v>
      </c>
      <c r="B42" s="328"/>
      <c r="C42" s="1901">
        <v>0</v>
      </c>
      <c r="D42" s="1903"/>
      <c r="E42" s="1283"/>
    </row>
    <row r="43" spans="1:6" ht="14.25" customHeight="1" x14ac:dyDescent="0.2">
      <c r="A43" s="328" t="s">
        <v>1440</v>
      </c>
      <c r="B43" s="328"/>
      <c r="C43" s="1290" t="s">
        <v>572</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6" t="s">
        <v>1590</v>
      </c>
      <c r="C49" s="2456"/>
      <c r="D49" s="2456"/>
      <c r="E49" s="1396"/>
    </row>
    <row r="50" spans="1:5" s="1297" customFormat="1" ht="3.75" customHeight="1" x14ac:dyDescent="0.2">
      <c r="A50" s="1296"/>
      <c r="B50" s="1845"/>
      <c r="C50" s="1845"/>
      <c r="D50" s="1845"/>
      <c r="E50" s="1396"/>
    </row>
    <row r="51" spans="1:5" s="1297" customFormat="1" ht="20.25" customHeight="1" x14ac:dyDescent="0.2">
      <c r="A51" s="1298">
        <v>6</v>
      </c>
      <c r="B51" s="2452" t="s">
        <v>1551</v>
      </c>
      <c r="C51" s="2452"/>
      <c r="D51" s="2452"/>
    </row>
    <row r="52" spans="1:5" ht="14.25" customHeight="1" x14ac:dyDescent="0.2">
      <c r="A52" s="1298"/>
      <c r="B52" s="2452"/>
      <c r="C52" s="2452"/>
      <c r="D52" s="245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J63"/>
  <sheetViews>
    <sheetView showGridLines="0" topLeftCell="A37" zoomScale="110" zoomScaleNormal="110" workbookViewId="0">
      <selection activeCell="H51" sqref="H5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1" t="str">
        <f>'Single Audit Cover'!A7</f>
        <v>S Will Co Coop for Spec Ed</v>
      </c>
      <c r="C1" s="2462"/>
      <c r="D1" s="2462"/>
      <c r="E1" s="2462"/>
      <c r="F1" s="2462"/>
      <c r="G1" s="2462"/>
      <c r="H1" s="2462"/>
      <c r="I1" s="2462"/>
      <c r="J1" s="1406"/>
    </row>
    <row r="2" spans="2:10" s="317" customFormat="1" ht="12.75" customHeight="1" x14ac:dyDescent="0.2">
      <c r="B2" s="2463" t="str">
        <f>'Single Audit Cover'!E7</f>
        <v>56099255U61</v>
      </c>
      <c r="C2" s="2464"/>
      <c r="D2" s="2464"/>
      <c r="E2" s="2464"/>
      <c r="F2" s="2464"/>
      <c r="G2" s="2464"/>
      <c r="H2" s="2464"/>
      <c r="I2" s="2464"/>
      <c r="J2" s="1406"/>
    </row>
    <row r="3" spans="2:10" s="317" customFormat="1" ht="12.75" customHeight="1" x14ac:dyDescent="0.2">
      <c r="B3" s="2465" t="s">
        <v>1285</v>
      </c>
      <c r="C3" s="2466"/>
      <c r="D3" s="2466"/>
      <c r="E3" s="2466"/>
      <c r="F3" s="2466"/>
      <c r="G3" s="2466"/>
      <c r="H3" s="2466"/>
      <c r="I3" s="2466"/>
      <c r="J3" s="1407"/>
    </row>
    <row r="4" spans="2:10" s="317" customFormat="1" ht="12.75" customHeight="1" x14ac:dyDescent="0.2">
      <c r="B4" s="2465" t="str">
        <f>'Single Audit Cover'!A4</f>
        <v>Year Ending June 30, 2019</v>
      </c>
      <c r="C4" s="2466"/>
      <c r="D4" s="2466"/>
      <c r="E4" s="2466"/>
      <c r="F4" s="2466"/>
      <c r="G4" s="2466"/>
      <c r="H4" s="2466"/>
      <c r="I4" s="246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5" t="s">
        <v>1284</v>
      </c>
      <c r="C7" s="2466"/>
      <c r="D7" s="2466"/>
      <c r="E7" s="2466"/>
      <c r="F7" s="2466"/>
      <c r="G7" s="2466"/>
      <c r="H7" s="2466"/>
      <c r="I7" s="246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7" t="s">
        <v>1164</v>
      </c>
      <c r="D11" s="246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2070</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2070</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2070</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2070</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2070</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8" t="s">
        <v>2142</v>
      </c>
      <c r="E29" s="2468"/>
      <c r="F29" s="2468"/>
      <c r="G29" s="2468"/>
      <c r="H29" s="2468"/>
      <c r="I29" s="2468"/>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2070</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9" t="s">
        <v>1748</v>
      </c>
      <c r="D37" s="2470"/>
      <c r="E37" s="2470"/>
      <c r="F37" s="2471"/>
      <c r="G37" s="2469" t="s">
        <v>1592</v>
      </c>
      <c r="H37" s="2470"/>
      <c r="I37" s="2471"/>
    </row>
    <row r="38" spans="2:9" ht="16.5" customHeight="1" x14ac:dyDescent="0.2">
      <c r="B38" s="1428" t="s">
        <v>2143</v>
      </c>
      <c r="C38" s="2457" t="s">
        <v>2144</v>
      </c>
      <c r="D38" s="2458"/>
      <c r="E38" s="2458"/>
      <c r="F38" s="2459"/>
      <c r="G38" s="2472">
        <v>2656093</v>
      </c>
      <c r="H38" s="2473"/>
      <c r="I38" s="2474"/>
    </row>
    <row r="39" spans="2:9" ht="16.5" customHeight="1" x14ac:dyDescent="0.2">
      <c r="B39" s="1428"/>
      <c r="C39" s="2457"/>
      <c r="D39" s="2458"/>
      <c r="E39" s="2458"/>
      <c r="F39" s="2459"/>
      <c r="G39" s="2460"/>
      <c r="H39" s="2460"/>
      <c r="I39" s="2460"/>
    </row>
    <row r="40" spans="2:9" ht="16.5" customHeight="1" x14ac:dyDescent="0.2">
      <c r="B40" s="1428"/>
      <c r="C40" s="2457"/>
      <c r="D40" s="2458"/>
      <c r="E40" s="2458"/>
      <c r="F40" s="2459"/>
      <c r="G40" s="2460"/>
      <c r="H40" s="2460"/>
      <c r="I40" s="2460"/>
    </row>
    <row r="41" spans="2:9" ht="16.5" customHeight="1" x14ac:dyDescent="0.2">
      <c r="B41" s="1428"/>
      <c r="C41" s="2457"/>
      <c r="D41" s="2458"/>
      <c r="E41" s="2458"/>
      <c r="F41" s="2459"/>
      <c r="G41" s="2460"/>
      <c r="H41" s="2460"/>
      <c r="I41" s="2460"/>
    </row>
    <row r="42" spans="2:9" ht="16.5" customHeight="1" x14ac:dyDescent="0.2">
      <c r="B42" s="1428"/>
      <c r="C42" s="2457"/>
      <c r="D42" s="2458"/>
      <c r="E42" s="2458"/>
      <c r="F42" s="2459"/>
      <c r="G42" s="2460"/>
      <c r="H42" s="2460"/>
      <c r="I42" s="2460"/>
    </row>
    <row r="43" spans="2:9" ht="16.5" customHeight="1" x14ac:dyDescent="0.2">
      <c r="B43" s="1428"/>
      <c r="C43" s="2475" t="s">
        <v>1593</v>
      </c>
      <c r="D43" s="2476"/>
      <c r="E43" s="2476"/>
      <c r="F43" s="2477"/>
      <c r="G43" s="2478">
        <f>SUM(G38:I42)</f>
        <v>2656093</v>
      </c>
      <c r="H43" s="2478"/>
      <c r="I43" s="2478"/>
    </row>
    <row r="44" spans="2:9" ht="12.75" customHeight="1" x14ac:dyDescent="0.2"/>
    <row r="45" spans="2:9" ht="12.75" customHeight="1" x14ac:dyDescent="0.2">
      <c r="B45" s="1419" t="s">
        <v>2059</v>
      </c>
      <c r="D45" s="2479">
        <v>2818979</v>
      </c>
      <c r="E45" s="2480"/>
    </row>
    <row r="46" spans="2:9" ht="5.25" customHeight="1" x14ac:dyDescent="0.2">
      <c r="B46" s="1429"/>
      <c r="D46" s="1430"/>
      <c r="E46" s="1431"/>
    </row>
    <row r="47" spans="2:9" ht="12.75" customHeight="1" x14ac:dyDescent="0.2">
      <c r="B47" s="1297" t="s">
        <v>1594</v>
      </c>
      <c r="C47" s="1297"/>
      <c r="D47" s="1432">
        <f>+G43/D45</f>
        <v>0.94221808676119967</v>
      </c>
      <c r="E47" s="1433"/>
      <c r="F47" s="1434"/>
      <c r="I47" s="1435"/>
    </row>
    <row r="48" spans="2:9" ht="9.9499999999999993" customHeight="1" x14ac:dyDescent="0.2"/>
    <row r="49" spans="1:9" x14ac:dyDescent="0.2">
      <c r="B49" s="1365" t="s">
        <v>1273</v>
      </c>
      <c r="C49" s="1279"/>
      <c r="D49" s="1279"/>
      <c r="E49" s="2481">
        <v>750000</v>
      </c>
      <c r="F49" s="2481"/>
      <c r="G49" s="2481"/>
      <c r="H49" s="322"/>
    </row>
    <row r="51" spans="1:9" ht="13.5" customHeight="1" x14ac:dyDescent="0.2">
      <c r="B51" s="1365" t="s">
        <v>1272</v>
      </c>
      <c r="C51" s="1279"/>
      <c r="E51" s="1422"/>
      <c r="F51" s="1297" t="s">
        <v>885</v>
      </c>
      <c r="G51" s="1422" t="s">
        <v>2070</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S Will Co Coop for Spec Ed</v>
      </c>
      <c r="C1" s="2461"/>
      <c r="D1" s="2461"/>
      <c r="E1" s="2461"/>
      <c r="F1" s="2461"/>
      <c r="G1" s="2461"/>
      <c r="H1" s="2461"/>
      <c r="I1" s="2461"/>
      <c r="J1" s="2461"/>
      <c r="K1" s="2461"/>
      <c r="L1" s="1371"/>
      <c r="M1" s="1371"/>
    </row>
    <row r="2" spans="1:13" ht="12" customHeight="1" x14ac:dyDescent="0.2">
      <c r="B2" s="2463" t="str">
        <f>'Single Audit Cover'!E7</f>
        <v>56099255U61</v>
      </c>
      <c r="C2" s="2463"/>
      <c r="D2" s="2463"/>
      <c r="E2" s="2463"/>
      <c r="F2" s="2463"/>
      <c r="G2" s="2463"/>
      <c r="H2" s="2463"/>
      <c r="I2" s="2463"/>
      <c r="J2" s="2463"/>
      <c r="K2" s="2463"/>
      <c r="L2" s="1372"/>
      <c r="M2" s="1373"/>
    </row>
    <row r="3" spans="1:13" ht="10.35" customHeight="1" x14ac:dyDescent="0.2">
      <c r="B3" s="2484" t="s">
        <v>1285</v>
      </c>
      <c r="C3" s="2484"/>
      <c r="D3" s="2484"/>
      <c r="E3" s="2484"/>
      <c r="F3" s="2484"/>
      <c r="G3" s="2484"/>
      <c r="H3" s="2484"/>
      <c r="I3" s="2484"/>
      <c r="J3" s="2484"/>
      <c r="K3" s="2484"/>
      <c r="L3" s="1374"/>
      <c r="M3" s="1374"/>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5" t="s">
        <v>1296</v>
      </c>
      <c r="C7" s="2485"/>
      <c r="D7" s="2486"/>
      <c r="E7" s="2486"/>
      <c r="F7" s="2486"/>
      <c r="G7" s="2486"/>
      <c r="H7" s="2486"/>
      <c r="I7" s="2486"/>
      <c r="J7" s="2486"/>
      <c r="K7" s="248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t="s">
        <v>2097</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3"/>
      <c r="C14" s="2483"/>
      <c r="D14" s="2483"/>
      <c r="E14" s="2483"/>
      <c r="F14" s="2483"/>
      <c r="G14" s="2483"/>
      <c r="H14" s="2483"/>
      <c r="I14" s="2483"/>
      <c r="J14" s="2483"/>
      <c r="K14" s="248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3"/>
      <c r="C17" s="2483"/>
      <c r="D17" s="2483"/>
      <c r="E17" s="2483"/>
      <c r="F17" s="2483"/>
      <c r="G17" s="2483"/>
      <c r="H17" s="2483"/>
      <c r="I17" s="2483"/>
      <c r="J17" s="2483"/>
      <c r="K17" s="2483"/>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7"/>
      <c r="C20" s="2487"/>
      <c r="D20" s="2483"/>
      <c r="E20" s="2483"/>
      <c r="F20" s="2483"/>
      <c r="G20" s="2483"/>
      <c r="H20" s="2483"/>
      <c r="I20" s="2483"/>
      <c r="J20" s="2483"/>
      <c r="K20" s="248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3"/>
      <c r="C23" s="2483"/>
      <c r="D23" s="2483"/>
      <c r="E23" s="2483"/>
      <c r="F23" s="2483"/>
      <c r="G23" s="2483"/>
      <c r="H23" s="2483"/>
      <c r="I23" s="2483"/>
      <c r="J23" s="2483"/>
      <c r="K23" s="248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3"/>
      <c r="C26" s="2483"/>
      <c r="D26" s="2483"/>
      <c r="E26" s="2483"/>
      <c r="F26" s="2483"/>
      <c r="G26" s="2483"/>
      <c r="H26" s="2483"/>
      <c r="I26" s="2483"/>
      <c r="J26" s="2483"/>
      <c r="K26" s="248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2"/>
      <c r="C29" s="2482"/>
      <c r="D29" s="2483"/>
      <c r="E29" s="2483"/>
      <c r="F29" s="2483"/>
      <c r="G29" s="2483"/>
      <c r="H29" s="2483"/>
      <c r="I29" s="2483"/>
      <c r="J29" s="2483"/>
      <c r="K29" s="248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82"/>
      <c r="C32" s="2482"/>
      <c r="D32" s="2483"/>
      <c r="E32" s="2483"/>
      <c r="F32" s="2483"/>
      <c r="G32" s="2483"/>
      <c r="H32" s="2483"/>
      <c r="I32" s="2483"/>
      <c r="J32" s="2483"/>
      <c r="K32" s="248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L48"/>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8" t="str">
        <f>'Single Audit Cover'!A7</f>
        <v>S Will Co Coop for Spec Ed</v>
      </c>
      <c r="C1" s="2488"/>
      <c r="D1" s="2488"/>
      <c r="E1" s="2488"/>
      <c r="F1" s="2488"/>
      <c r="G1" s="2488"/>
      <c r="H1" s="2488"/>
      <c r="I1" s="2488"/>
      <c r="J1" s="2488"/>
      <c r="K1" s="2488"/>
      <c r="L1" s="1449"/>
    </row>
    <row r="2" spans="1:12" ht="12.75" customHeight="1" x14ac:dyDescent="0.2">
      <c r="B2" s="2489" t="str">
        <f>'Single Audit Cover'!E7</f>
        <v>56099255U61</v>
      </c>
      <c r="C2" s="2489"/>
      <c r="D2" s="2489"/>
      <c r="E2" s="2489"/>
      <c r="F2" s="2489"/>
      <c r="G2" s="2489"/>
      <c r="H2" s="2489"/>
      <c r="I2" s="2489"/>
      <c r="J2" s="2489"/>
      <c r="K2" s="2489"/>
      <c r="L2" s="1450"/>
    </row>
    <row r="3" spans="1:12" ht="12.75" customHeight="1" x14ac:dyDescent="0.2">
      <c r="B3" s="2484" t="s">
        <v>1285</v>
      </c>
      <c r="C3" s="2484"/>
      <c r="D3" s="2484"/>
      <c r="E3" s="2484"/>
      <c r="F3" s="2484"/>
      <c r="G3" s="2484"/>
      <c r="H3" s="2484"/>
      <c r="I3" s="2484"/>
      <c r="J3" s="2484"/>
      <c r="K3" s="2484"/>
      <c r="L3" s="1374"/>
    </row>
    <row r="4" spans="1:12" ht="12.75" customHeight="1" x14ac:dyDescent="0.2">
      <c r="B4" s="2484" t="str">
        <f>'Single Audit Cover'!A4</f>
        <v>Year Ending June 30, 2019</v>
      </c>
      <c r="C4" s="2484"/>
      <c r="D4" s="2484"/>
      <c r="E4" s="2484"/>
      <c r="F4" s="2484"/>
      <c r="G4" s="2484"/>
      <c r="H4" s="2484"/>
      <c r="I4" s="2484"/>
      <c r="J4" s="2484"/>
      <c r="K4" s="2484"/>
      <c r="L4" s="1374"/>
    </row>
    <row r="5" spans="1:12" ht="5.25" customHeight="1" x14ac:dyDescent="0.2">
      <c r="B5" s="1257" t="s">
        <v>1169</v>
      </c>
      <c r="C5" s="1257"/>
      <c r="L5" s="322"/>
    </row>
    <row r="6" spans="1:12" ht="30.75" customHeight="1" x14ac:dyDescent="0.2">
      <c r="A6" s="322"/>
      <c r="B6" s="2490" t="s">
        <v>1308</v>
      </c>
      <c r="C6" s="2490"/>
      <c r="D6" s="2490"/>
      <c r="E6" s="2490"/>
      <c r="F6" s="2490"/>
      <c r="G6" s="2490"/>
      <c r="H6" s="2490"/>
      <c r="I6" s="2490"/>
      <c r="J6" s="2490"/>
      <c r="K6" s="2490"/>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t="s">
        <v>2097</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8"/>
      <c r="G12" s="2468"/>
      <c r="H12" s="2468"/>
      <c r="I12" s="2468"/>
      <c r="J12" s="2468"/>
      <c r="K12" s="246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1"/>
      <c r="E14" s="2491"/>
      <c r="F14" s="2491"/>
      <c r="H14" s="1459" t="s">
        <v>1303</v>
      </c>
      <c r="I14" s="2492"/>
      <c r="J14" s="2492"/>
      <c r="K14" s="249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2"/>
      <c r="E16" s="2492"/>
      <c r="F16" s="2492"/>
      <c r="G16" s="2492"/>
      <c r="H16" s="2492"/>
      <c r="I16" s="2492"/>
      <c r="J16" s="2492"/>
      <c r="K16" s="2492"/>
      <c r="L16" s="322"/>
    </row>
    <row r="17" spans="2:12" ht="13.5" customHeight="1" x14ac:dyDescent="0.2">
      <c r="B17" s="1384" t="s">
        <v>1301</v>
      </c>
      <c r="C17" s="1384"/>
      <c r="D17" s="2493"/>
      <c r="E17" s="2493"/>
      <c r="F17" s="2493"/>
      <c r="G17" s="2493"/>
      <c r="H17" s="2493"/>
      <c r="I17" s="2493"/>
      <c r="J17" s="2493"/>
      <c r="K17" s="249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3"/>
      <c r="C20" s="2483"/>
      <c r="D20" s="2483"/>
      <c r="E20" s="2483"/>
      <c r="F20" s="2483"/>
      <c r="G20" s="2483"/>
      <c r="H20" s="2483"/>
      <c r="I20" s="2483"/>
      <c r="J20" s="2483"/>
      <c r="K20" s="248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3"/>
      <c r="C23" s="2483"/>
      <c r="D23" s="2483"/>
      <c r="E23" s="2483"/>
      <c r="F23" s="2483"/>
      <c r="G23" s="2483"/>
      <c r="H23" s="2483"/>
      <c r="I23" s="2483"/>
      <c r="J23" s="2483"/>
      <c r="K23" s="248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83"/>
      <c r="C26" s="2483"/>
      <c r="D26" s="2483"/>
      <c r="E26" s="2483"/>
      <c r="F26" s="2483"/>
      <c r="G26" s="2483"/>
      <c r="H26" s="2483"/>
      <c r="I26" s="2483"/>
      <c r="J26" s="2483"/>
      <c r="K26" s="248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83"/>
      <c r="C29" s="2483"/>
      <c r="D29" s="2483"/>
      <c r="E29" s="2483"/>
      <c r="F29" s="2483"/>
      <c r="G29" s="2483"/>
      <c r="H29" s="2483"/>
      <c r="I29" s="2483"/>
      <c r="J29" s="2483"/>
      <c r="K29" s="248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3"/>
      <c r="C32" s="2483"/>
      <c r="D32" s="2483"/>
      <c r="E32" s="2483"/>
      <c r="F32" s="2483"/>
      <c r="G32" s="2483"/>
      <c r="H32" s="2483"/>
      <c r="I32" s="2483"/>
      <c r="J32" s="2483"/>
      <c r="K32" s="248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3"/>
      <c r="C35" s="2483"/>
      <c r="D35" s="2483"/>
      <c r="E35" s="2483"/>
      <c r="F35" s="2483"/>
      <c r="G35" s="2483"/>
      <c r="H35" s="2483"/>
      <c r="I35" s="2483"/>
      <c r="J35" s="2483"/>
      <c r="K35" s="248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3"/>
      <c r="C38" s="2483"/>
      <c r="D38" s="2483"/>
      <c r="E38" s="2483"/>
      <c r="F38" s="2483"/>
      <c r="G38" s="2483"/>
      <c r="H38" s="2483"/>
      <c r="I38" s="2483"/>
      <c r="J38" s="2483"/>
      <c r="K38" s="248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83"/>
      <c r="C41" s="2483"/>
      <c r="D41" s="2483"/>
      <c r="E41" s="2483"/>
      <c r="F41" s="2483"/>
      <c r="G41" s="2483"/>
      <c r="H41" s="2483"/>
      <c r="I41" s="2483"/>
      <c r="J41" s="2483"/>
      <c r="K41" s="248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1" t="str">
        <f>'Single Audit Cover'!A7</f>
        <v>S Will Co Coop for Spec Ed</v>
      </c>
      <c r="C1" s="2461"/>
      <c r="D1" s="2461"/>
      <c r="E1" s="1469"/>
    </row>
    <row r="2" spans="2:5" s="1279" customFormat="1" ht="12.75" customHeight="1" x14ac:dyDescent="0.2">
      <c r="B2" s="2463" t="str">
        <f>'Single Audit Cover'!E7</f>
        <v>56099255U61</v>
      </c>
      <c r="C2" s="2463"/>
      <c r="D2" s="2463"/>
      <c r="E2" s="1470"/>
    </row>
    <row r="3" spans="2:5" ht="12.75" customHeight="1" x14ac:dyDescent="0.2">
      <c r="B3" s="2484" t="s">
        <v>1763</v>
      </c>
      <c r="C3" s="2484"/>
      <c r="D3" s="2484"/>
      <c r="E3" s="1271"/>
    </row>
    <row r="4" spans="2:5" s="1279" customFormat="1" ht="12.75" customHeight="1" x14ac:dyDescent="0.2">
      <c r="B4" s="2494" t="str">
        <f>'Single Audit Cover'!A4</f>
        <v>Year Ending June 30, 2019</v>
      </c>
      <c r="C4" s="2494"/>
      <c r="D4" s="2494"/>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2145</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50" colorId="8" zoomScale="110" zoomScaleNormal="110" workbookViewId="0">
      <selection activeCell="A9" sqref="A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9" t="s">
        <v>386</v>
      </c>
      <c r="B1" s="2089"/>
      <c r="C1" s="2089"/>
      <c r="D1" s="2089"/>
      <c r="E1" s="2089"/>
      <c r="F1" s="2089"/>
      <c r="G1" s="2089"/>
      <c r="H1" s="2089"/>
      <c r="I1" s="2089"/>
      <c r="J1" s="2089"/>
      <c r="K1" s="2089"/>
      <c r="L1" s="2089"/>
      <c r="M1" s="208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9" t="str">
        <f>IF(SUM(J10)&lt;=0.0999999,"","Enter the Tax Rates by moving the decimal two places to the left.")</f>
        <v/>
      </c>
      <c r="E11" s="2100"/>
      <c r="F11" s="2100"/>
      <c r="G11" s="2100"/>
      <c r="H11" s="2100"/>
      <c r="I11" s="2100"/>
      <c r="J11" s="210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16118248</v>
      </c>
      <c r="E16" s="356"/>
      <c r="F16" s="1733">
        <f>SUM('Acct Summary 7-8'!C17,'Acct Summary 7-8'!D17,'Acct Summary 7-8'!F17)</f>
        <v>15524682</v>
      </c>
      <c r="G16" s="356"/>
      <c r="H16" s="1733">
        <f>SUM(D16-F16)</f>
        <v>593566</v>
      </c>
      <c r="I16" s="222"/>
      <c r="J16" s="1733">
        <f>SUM('Acct Summary 7-8'!C81,'Acct Summary 7-8'!D81,'Acct Summary 7-8'!F81,'Acct Summary 7-8'!I81)</f>
        <v>4688349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0"/>
      <c r="C54" s="2091"/>
      <c r="D54" s="2091"/>
      <c r="E54" s="2091"/>
      <c r="F54" s="2091"/>
      <c r="G54" s="2091"/>
      <c r="H54" s="2091"/>
      <c r="I54" s="2091"/>
      <c r="J54" s="2091"/>
      <c r="K54" s="2091"/>
      <c r="L54" s="2092"/>
      <c r="M54" s="380"/>
    </row>
    <row r="55" spans="1:13" ht="12.75" customHeight="1" x14ac:dyDescent="0.2">
      <c r="B55" s="2093"/>
      <c r="C55" s="2094"/>
      <c r="D55" s="2094"/>
      <c r="E55" s="2094"/>
      <c r="F55" s="2094"/>
      <c r="G55" s="2094"/>
      <c r="H55" s="2094"/>
      <c r="I55" s="2094"/>
      <c r="J55" s="2094"/>
      <c r="K55" s="2094"/>
      <c r="L55" s="2095"/>
      <c r="M55" s="380"/>
    </row>
    <row r="56" spans="1:13" ht="12.75" customHeight="1" x14ac:dyDescent="0.2">
      <c r="B56" s="2093"/>
      <c r="C56" s="2094"/>
      <c r="D56" s="2094"/>
      <c r="E56" s="2094"/>
      <c r="F56" s="2094"/>
      <c r="G56" s="2094"/>
      <c r="H56" s="2094"/>
      <c r="I56" s="2094"/>
      <c r="J56" s="2094"/>
      <c r="K56" s="2094"/>
      <c r="L56" s="2095"/>
      <c r="M56" s="222"/>
    </row>
    <row r="57" spans="1:13" ht="12.75" customHeight="1" x14ac:dyDescent="0.2">
      <c r="B57" s="2093"/>
      <c r="C57" s="2094"/>
      <c r="D57" s="2094"/>
      <c r="E57" s="2094"/>
      <c r="F57" s="2094"/>
      <c r="G57" s="2094"/>
      <c r="H57" s="2094"/>
      <c r="I57" s="2094"/>
      <c r="J57" s="2094"/>
      <c r="K57" s="2094"/>
      <c r="L57" s="2095"/>
      <c r="M57" s="222"/>
    </row>
    <row r="58" spans="1:13" x14ac:dyDescent="0.2">
      <c r="B58" s="2096"/>
      <c r="C58" s="2097"/>
      <c r="D58" s="2097"/>
      <c r="E58" s="2097"/>
      <c r="F58" s="2097"/>
      <c r="G58" s="2097"/>
      <c r="H58" s="2097"/>
      <c r="I58" s="2097"/>
      <c r="J58" s="2097"/>
      <c r="K58" s="2097"/>
      <c r="L58" s="209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1"/>
      <c r="D61" s="210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4"/>
      <c r="B1" s="2105"/>
      <c r="C1" s="2105"/>
      <c r="D1" s="384"/>
      <c r="E1" s="384"/>
      <c r="F1" s="384"/>
      <c r="G1" s="384"/>
      <c r="H1" s="384"/>
      <c r="I1" s="384"/>
      <c r="J1" s="384"/>
      <c r="K1" s="384"/>
      <c r="L1" s="384"/>
      <c r="M1" s="384"/>
      <c r="N1" s="384"/>
      <c r="O1" s="2104"/>
      <c r="P1" s="2105"/>
      <c r="Q1" s="2105"/>
    </row>
    <row r="2" spans="1:18" ht="15" x14ac:dyDescent="0.2">
      <c r="A2" s="2108" t="s">
        <v>556</v>
      </c>
      <c r="B2" s="2108"/>
      <c r="C2" s="2108"/>
      <c r="D2" s="2108"/>
      <c r="E2" s="2108"/>
      <c r="F2" s="2108"/>
      <c r="G2" s="2108"/>
      <c r="H2" s="2108"/>
      <c r="I2" s="2108"/>
      <c r="J2" s="2108"/>
      <c r="K2" s="2108"/>
      <c r="L2" s="2108"/>
      <c r="M2" s="2108"/>
      <c r="N2" s="2108"/>
      <c r="O2" s="2108"/>
      <c r="P2" s="2108"/>
      <c r="Q2" s="2108"/>
      <c r="R2" s="2108"/>
    </row>
    <row r="3" spans="1:18" ht="12.75" x14ac:dyDescent="0.2">
      <c r="A3" s="2109" t="s">
        <v>1413</v>
      </c>
      <c r="B3" s="2109"/>
      <c r="C3" s="2109"/>
      <c r="D3" s="2109"/>
      <c r="E3" s="2109"/>
      <c r="F3" s="2109"/>
      <c r="G3" s="2109"/>
      <c r="H3" s="2109"/>
      <c r="I3" s="2109"/>
      <c r="J3" s="2109"/>
      <c r="K3" s="2109"/>
      <c r="L3" s="2109"/>
      <c r="M3" s="2109"/>
      <c r="N3" s="2109"/>
      <c r="O3" s="2109"/>
      <c r="P3" s="2109"/>
      <c r="Q3" s="2109"/>
      <c r="R3" s="2109"/>
    </row>
    <row r="4" spans="1:18" x14ac:dyDescent="0.2">
      <c r="A4" s="2110" t="s">
        <v>1554</v>
      </c>
      <c r="B4" s="2110"/>
      <c r="C4" s="2110"/>
      <c r="D4" s="2110"/>
      <c r="E4" s="2110"/>
      <c r="F4" s="2110"/>
      <c r="G4" s="2110"/>
      <c r="H4" s="2110"/>
      <c r="I4" s="2110"/>
      <c r="J4" s="2110"/>
      <c r="K4" s="2110"/>
      <c r="L4" s="2110"/>
      <c r="M4" s="2110"/>
      <c r="N4" s="2110"/>
      <c r="O4" s="2110"/>
      <c r="P4" s="2110"/>
      <c r="Q4" s="2110"/>
      <c r="R4" s="211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 Will Co Coop for Spec Ed</v>
      </c>
      <c r="E7" s="391"/>
      <c r="G7" s="252"/>
      <c r="H7" s="387"/>
      <c r="I7" s="387"/>
      <c r="J7" s="387"/>
      <c r="K7" s="387"/>
      <c r="L7" s="329"/>
      <c r="M7" s="329"/>
      <c r="N7" s="329"/>
      <c r="O7" s="329"/>
      <c r="P7" s="329"/>
    </row>
    <row r="8" spans="1:18" ht="12.75" x14ac:dyDescent="0.2">
      <c r="A8" s="329"/>
      <c r="B8" s="329"/>
      <c r="C8" s="389" t="s">
        <v>1125</v>
      </c>
      <c r="D8" s="392" t="str">
        <f>COVER!A13</f>
        <v>56099255U61</v>
      </c>
      <c r="E8" s="393"/>
      <c r="G8" s="329"/>
      <c r="H8" s="329"/>
      <c r="I8" s="329"/>
      <c r="J8" s="329"/>
      <c r="K8" s="329"/>
      <c r="L8" s="329"/>
      <c r="M8" s="329"/>
      <c r="N8" s="329"/>
      <c r="O8" s="329"/>
      <c r="P8" s="329"/>
    </row>
    <row r="9" spans="1:18" ht="12.75" x14ac:dyDescent="0.2">
      <c r="A9" s="329"/>
      <c r="B9" s="329"/>
      <c r="C9" s="389" t="s">
        <v>713</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4688349</v>
      </c>
      <c r="I12" s="404"/>
      <c r="J12" s="404"/>
      <c r="K12" s="405">
        <f>TRUNC((H12/H13*100000),5)/100000</f>
        <v>0.29087212200000001</v>
      </c>
      <c r="L12" s="406"/>
      <c r="M12" s="360" t="s">
        <v>1144</v>
      </c>
      <c r="N12" s="360"/>
      <c r="O12" s="407">
        <v>0.35</v>
      </c>
      <c r="P12" s="218"/>
      <c r="Q12" s="218"/>
    </row>
    <row r="13" spans="1:18" s="408" customFormat="1" ht="12.75" x14ac:dyDescent="0.2">
      <c r="A13" s="218"/>
      <c r="B13" s="401"/>
      <c r="C13" s="2106" t="s">
        <v>1324</v>
      </c>
      <c r="D13" s="2107"/>
      <c r="E13" s="218"/>
      <c r="F13" s="409" t="s">
        <v>793</v>
      </c>
      <c r="G13" s="402"/>
      <c r="H13" s="403">
        <f>SUM('Acct Summary 7-8'!C8+'Acct Summary 7-8'!D8+'Acct Summary 7-8'!F8+'Acct Summary 7-8'!I8)+H14</f>
        <v>16118248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15524682</v>
      </c>
      <c r="I17" s="404"/>
      <c r="J17" s="416"/>
      <c r="K17" s="405">
        <f>TRUNC((H17/H18*100000),5)/100000</f>
        <v>0.96317428539999994</v>
      </c>
      <c r="L17" s="406"/>
      <c r="M17" s="417" t="s">
        <v>1171</v>
      </c>
      <c r="O17" s="418" t="str">
        <f>IF(AND(O16="2", J20 &gt; 2),"1",IF(AND(O16 = "1", J20 &gt; 2),"2",IF(AND(O16="1", J20 &gt;1),"1","0")))</f>
        <v>0</v>
      </c>
      <c r="P17" s="218"/>
    </row>
    <row r="18" spans="1:18" s="408" customFormat="1" ht="11.25" x14ac:dyDescent="0.2">
      <c r="A18" s="218"/>
      <c r="B18" s="401"/>
      <c r="C18" s="2106" t="s">
        <v>1317</v>
      </c>
      <c r="D18" s="2107"/>
      <c r="E18" s="218"/>
      <c r="F18" s="419" t="s">
        <v>794</v>
      </c>
      <c r="G18" s="402"/>
      <c r="H18" s="403">
        <f>SUM('Acct Summary 7-8'!C8+'Acct Summary 7-8'!D8+'Acct Summary 7-8'!F8+'Acct Summary 7-8'!I8)+H19</f>
        <v>16118248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3" t="s">
        <v>1412</v>
      </c>
      <c r="D24" s="2103"/>
      <c r="E24" s="218"/>
      <c r="F24" s="218" t="s">
        <v>445</v>
      </c>
      <c r="G24" s="402"/>
      <c r="H24" s="403">
        <f>SUM('Assets-Liab 5-6'!C4+'Assets-Liab 5-6'!D4+'Assets-Liab 5-6'!F4+'Assets-Liab 5-6'!I4+'Assets-Liab 5-6'!C5+'Assets-Liab 5-6'!D5+'Assets-Liab 5-6'!F5+'Assets-Liab 5-6'!I5)</f>
        <v>4688349</v>
      </c>
      <c r="I24" s="422"/>
      <c r="J24" s="422"/>
      <c r="K24" s="423">
        <f>TRUNC(((H24/H25*100000)/100000),2)</f>
        <v>108.71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43124.116670000003</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80" zoomScaleNormal="80" workbookViewId="0">
      <pane ySplit="2" topLeftCell="A24"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3" t="s">
        <v>973</v>
      </c>
      <c r="B3" s="2114"/>
      <c r="C3" s="1559"/>
      <c r="D3" s="1560"/>
      <c r="E3" s="1560"/>
      <c r="F3" s="1560"/>
      <c r="G3" s="1560"/>
      <c r="H3" s="1560"/>
      <c r="I3" s="1560"/>
      <c r="J3" s="1560"/>
      <c r="K3" s="1560"/>
      <c r="L3" s="1560"/>
      <c r="M3" s="1561"/>
      <c r="N3" s="1562"/>
    </row>
    <row r="4" spans="1:14" ht="13.5" customHeight="1" x14ac:dyDescent="0.2">
      <c r="A4" s="463" t="s">
        <v>1651</v>
      </c>
      <c r="B4" s="464"/>
      <c r="C4" s="465">
        <v>4688349</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4688349</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15" t="s">
        <v>147</v>
      </c>
      <c r="B14" s="2116"/>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548700</v>
      </c>
      <c r="N16" s="484"/>
    </row>
    <row r="17" spans="1:14" s="485" customFormat="1" ht="12.75" customHeight="1" x14ac:dyDescent="0.2">
      <c r="A17" s="482" t="s">
        <v>1403</v>
      </c>
      <c r="B17" s="483">
        <v>230</v>
      </c>
      <c r="C17" s="477"/>
      <c r="D17" s="477"/>
      <c r="E17" s="477"/>
      <c r="F17" s="477"/>
      <c r="G17" s="477"/>
      <c r="H17" s="477"/>
      <c r="I17" s="477"/>
      <c r="J17" s="477"/>
      <c r="K17" s="477"/>
      <c r="L17" s="477"/>
      <c r="M17" s="467">
        <v>2165973</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25653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2740326</v>
      </c>
      <c r="N23" s="1688">
        <f>SUM(N21:N22)</f>
        <v>0</v>
      </c>
    </row>
    <row r="24" spans="1:14" ht="18" customHeight="1" thickTop="1" x14ac:dyDescent="0.2">
      <c r="A24" s="2117" t="s">
        <v>598</v>
      </c>
      <c r="B24" s="2118"/>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9" t="s">
        <v>529</v>
      </c>
      <c r="B35" s="2120"/>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v>811906</v>
      </c>
      <c r="D38" s="466"/>
      <c r="E38" s="466"/>
      <c r="F38" s="466"/>
      <c r="G38" s="466"/>
      <c r="H38" s="466"/>
      <c r="I38" s="466"/>
      <c r="J38" s="467"/>
      <c r="K38" s="466"/>
      <c r="L38" s="481"/>
      <c r="M38" s="497"/>
      <c r="N38" s="497"/>
    </row>
    <row r="39" spans="1:14" s="329" customFormat="1" ht="13.5" customHeight="1" x14ac:dyDescent="0.2">
      <c r="A39" s="496" t="s">
        <v>342</v>
      </c>
      <c r="B39" s="483">
        <v>730</v>
      </c>
      <c r="C39" s="466">
        <v>3876443</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2740326</v>
      </c>
      <c r="N40" s="497"/>
    </row>
    <row r="41" spans="1:14" ht="13.5" customHeight="1" thickBot="1" x14ac:dyDescent="0.25">
      <c r="A41" s="1736" t="s">
        <v>655</v>
      </c>
      <c r="B41" s="1706"/>
      <c r="C41" s="1688">
        <f>(SUM(C34,C37,C38,C39))</f>
        <v>4688349</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2740326</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9" activePane="bottomLeft" state="frozen"/>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9"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1" t="s">
        <v>1175</v>
      </c>
      <c r="B3" s="2142"/>
      <c r="C3" s="1573"/>
      <c r="D3" s="1574"/>
      <c r="E3" s="1574"/>
      <c r="F3" s="1574"/>
      <c r="G3" s="1574"/>
      <c r="H3" s="1574"/>
      <c r="I3" s="1574"/>
      <c r="J3" s="1574"/>
      <c r="K3" s="1575"/>
      <c r="L3" s="506"/>
    </row>
    <row r="4" spans="1:13" ht="15.75" customHeight="1" x14ac:dyDescent="0.2">
      <c r="A4" s="1928" t="s">
        <v>1499</v>
      </c>
      <c r="B4" s="1929">
        <v>1000</v>
      </c>
      <c r="C4" s="1742">
        <f>'Revenues 9-14'!C109</f>
        <v>11170237</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1662783</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3285228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16118248</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908028</v>
      </c>
      <c r="D9" s="516"/>
      <c r="E9" s="481"/>
      <c r="F9" s="481"/>
      <c r="G9" s="517"/>
      <c r="H9" s="481"/>
      <c r="I9" s="509" t="s">
        <v>1169</v>
      </c>
      <c r="J9" s="478"/>
      <c r="K9" s="481"/>
      <c r="L9" s="347"/>
    </row>
    <row r="10" spans="1:13" s="519" customFormat="1" ht="13.5" thickBot="1" x14ac:dyDescent="0.25">
      <c r="A10" s="1736" t="s">
        <v>1173</v>
      </c>
      <c r="B10" s="1709"/>
      <c r="C10" s="1688">
        <f>SUM(C8:C9)</f>
        <v>17026276</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15" t="s">
        <v>1176</v>
      </c>
      <c r="B11" s="2116"/>
      <c r="C11" s="1570"/>
      <c r="D11" s="1571"/>
      <c r="E11" s="1571"/>
      <c r="F11" s="1571"/>
      <c r="G11" s="1571"/>
      <c r="H11" s="1571"/>
      <c r="I11" s="1571"/>
      <c r="J11" s="1571"/>
      <c r="K11" s="1572"/>
      <c r="L11" s="518"/>
    </row>
    <row r="12" spans="1:13" ht="15.75" customHeight="1" x14ac:dyDescent="0.2">
      <c r="A12" s="1576" t="s">
        <v>456</v>
      </c>
      <c r="B12" s="1578">
        <v>1000</v>
      </c>
      <c r="C12" s="1742">
        <f>'Expenditures 15-22'!K33</f>
        <v>8001228</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6086401</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1437053</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15524682</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908028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16432710</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31" t="s">
        <v>1655</v>
      </c>
      <c r="B20" s="2132"/>
      <c r="C20" s="1746">
        <f>C8-C17</f>
        <v>593566</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43" t="s">
        <v>595</v>
      </c>
      <c r="B21" s="2144"/>
      <c r="C21" s="1570"/>
      <c r="D21" s="1571"/>
      <c r="E21" s="1571"/>
      <c r="F21" s="1571"/>
      <c r="G21" s="1571"/>
      <c r="H21" s="1571"/>
      <c r="I21" s="1571"/>
      <c r="J21" s="1571"/>
      <c r="K21" s="1572"/>
      <c r="L21" s="524"/>
    </row>
    <row r="22" spans="1:12" ht="15.75" customHeight="1" collapsed="1" x14ac:dyDescent="0.2">
      <c r="A22" s="2139" t="s">
        <v>596</v>
      </c>
      <c r="B22" s="2140"/>
      <c r="C22" s="477"/>
      <c r="D22" s="477"/>
      <c r="E22" s="477"/>
      <c r="F22" s="477"/>
      <c r="G22" s="477"/>
      <c r="H22" s="477"/>
      <c r="I22" s="477"/>
      <c r="J22" s="477"/>
      <c r="K22" s="477"/>
      <c r="L22" s="347"/>
    </row>
    <row r="23" spans="1:12" s="485" customFormat="1" ht="15.75" customHeight="1" x14ac:dyDescent="0.2">
      <c r="A23" s="2135" t="s">
        <v>293</v>
      </c>
      <c r="B23" s="2136"/>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7" t="s">
        <v>981</v>
      </c>
      <c r="B32" s="2138"/>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5" t="s">
        <v>374</v>
      </c>
      <c r="B44" s="2146"/>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9" t="s">
        <v>108</v>
      </c>
      <c r="B45" s="2140"/>
      <c r="C45" s="528"/>
      <c r="D45" s="528"/>
      <c r="E45" s="528"/>
      <c r="F45" s="528"/>
      <c r="G45" s="528"/>
      <c r="H45" s="528"/>
      <c r="I45" s="528"/>
      <c r="J45" s="528"/>
      <c r="K45" s="528"/>
      <c r="L45" s="347"/>
    </row>
    <row r="46" spans="1:12" s="485" customFormat="1" ht="15.75" customHeight="1" x14ac:dyDescent="0.2">
      <c r="A46" s="2147" t="s">
        <v>109</v>
      </c>
      <c r="B46" s="2148"/>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1" t="s">
        <v>440</v>
      </c>
      <c r="B76" s="2122"/>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3" t="s">
        <v>1177</v>
      </c>
      <c r="B77" s="2124"/>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7" t="s">
        <v>597</v>
      </c>
      <c r="B78" s="2128"/>
      <c r="C78" s="1702">
        <f t="shared" ref="C78:K78" si="9">C20+C77</f>
        <v>593566</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1944</v>
      </c>
      <c r="B79" s="534"/>
      <c r="C79" s="478">
        <v>4094783</v>
      </c>
      <c r="D79" s="535"/>
      <c r="E79" s="535"/>
      <c r="F79" s="535"/>
      <c r="G79" s="535"/>
      <c r="H79" s="535"/>
      <c r="I79" s="535"/>
      <c r="J79" s="535"/>
      <c r="K79" s="535"/>
      <c r="L79" s="347"/>
    </row>
    <row r="80" spans="1:12" x14ac:dyDescent="0.2">
      <c r="A80" s="2133" t="s">
        <v>1792</v>
      </c>
      <c r="B80" s="2134"/>
      <c r="C80" s="467"/>
      <c r="D80" s="467"/>
      <c r="E80" s="467"/>
      <c r="F80" s="467"/>
      <c r="G80" s="467"/>
      <c r="H80" s="467"/>
      <c r="I80" s="467"/>
      <c r="J80" s="467"/>
      <c r="K80" s="467"/>
      <c r="L80" s="347"/>
    </row>
    <row r="81" spans="1:12" ht="13.5" thickBot="1" x14ac:dyDescent="0.25">
      <c r="A81" s="2125" t="s">
        <v>1945</v>
      </c>
      <c r="B81" s="2126"/>
      <c r="C81" s="1688">
        <f>(SUM(C78:C80))</f>
        <v>4688349</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593566</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0.12660448272942137</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80" zoomScaleNormal="80" zoomScaleSheetLayoutView="75" workbookViewId="0">
      <pane ySplit="2" topLeftCell="A85" activePane="bottomLeft" state="frozen"/>
      <selection pane="bottomLeft" activeCell="C104" sqref="C10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9" t="s">
        <v>1799</v>
      </c>
      <c r="B1" s="452"/>
      <c r="C1" s="453" t="s">
        <v>425</v>
      </c>
      <c r="D1" s="453" t="s">
        <v>426</v>
      </c>
      <c r="E1" s="453" t="s">
        <v>427</v>
      </c>
      <c r="F1" s="453" t="s">
        <v>428</v>
      </c>
      <c r="G1" s="453" t="s">
        <v>429</v>
      </c>
      <c r="H1" s="453" t="s">
        <v>430</v>
      </c>
      <c r="I1" s="453" t="s">
        <v>431</v>
      </c>
      <c r="J1" s="453" t="s">
        <v>432</v>
      </c>
      <c r="K1" s="453" t="s">
        <v>756</v>
      </c>
    </row>
    <row r="2" spans="1:12" ht="36" x14ac:dyDescent="0.2">
      <c r="A2" s="213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10403538</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10403538</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25957</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25957</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5446</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5446</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615699</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28355</v>
      </c>
      <c r="D106" s="489"/>
      <c r="E106" s="467"/>
      <c r="F106" s="467"/>
      <c r="G106" s="467"/>
      <c r="H106" s="467"/>
      <c r="I106" s="521"/>
      <c r="J106" s="467"/>
      <c r="K106" s="467"/>
    </row>
    <row r="107" spans="1:12" ht="12.75" customHeight="1" x14ac:dyDescent="0.2">
      <c r="A107" s="463" t="s">
        <v>78</v>
      </c>
      <c r="B107" s="470">
        <v>1999</v>
      </c>
      <c r="C107" s="551">
        <v>91242</v>
      </c>
      <c r="D107" s="466"/>
      <c r="E107" s="466"/>
      <c r="F107" s="466"/>
      <c r="G107" s="466"/>
      <c r="H107" s="466"/>
      <c r="I107" s="466"/>
      <c r="J107" s="467"/>
      <c r="K107" s="466"/>
    </row>
    <row r="108" spans="1:12" ht="12.75" customHeight="1" thickBot="1" x14ac:dyDescent="0.25">
      <c r="A108" s="1708" t="s">
        <v>487</v>
      </c>
      <c r="B108" s="1712"/>
      <c r="C108" s="1707">
        <f>SUM(C95:C107)</f>
        <v>735296</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11170237</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1660826</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1931</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1660826</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1174</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v>783</v>
      </c>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783</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9" t="s">
        <v>398</v>
      </c>
      <c r="B169" s="2150"/>
      <c r="C169" s="1722">
        <f t="shared" ref="C169:K169" si="6">SUM(C132,C141,C145,C146:C150,C155,C156:C167,C168)</f>
        <v>1957</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1662783</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1" t="s">
        <v>1492</v>
      </c>
      <c r="B172" s="2152"/>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5" t="s">
        <v>1665</v>
      </c>
      <c r="B175" s="2156"/>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9" t="s">
        <v>1664</v>
      </c>
      <c r="B176" s="2160"/>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7" t="s">
        <v>785</v>
      </c>
      <c r="B181" s="2158"/>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3" t="s">
        <v>1800</v>
      </c>
      <c r="B182" s="2154"/>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60105</v>
      </c>
      <c r="D191" s="468"/>
      <c r="E191" s="561"/>
      <c r="F191" s="468"/>
      <c r="G191" s="585"/>
      <c r="H191" s="468"/>
      <c r="I191" s="468"/>
      <c r="J191" s="468"/>
      <c r="K191" s="468"/>
    </row>
    <row r="192" spans="1:11" ht="12.75" customHeight="1" x14ac:dyDescent="0.2">
      <c r="A192" s="463" t="s">
        <v>1047</v>
      </c>
      <c r="B192" s="470">
        <v>4215</v>
      </c>
      <c r="C192" s="551">
        <v>1443</v>
      </c>
      <c r="D192" s="468"/>
      <c r="E192" s="561"/>
      <c r="F192" s="468"/>
      <c r="G192" s="585"/>
      <c r="H192" s="468"/>
      <c r="I192" s="468"/>
      <c r="J192" s="468"/>
      <c r="K192" s="468"/>
    </row>
    <row r="193" spans="1:11" ht="12.75" customHeight="1" x14ac:dyDescent="0.2">
      <c r="A193" s="463" t="s">
        <v>1059</v>
      </c>
      <c r="B193" s="470">
        <v>4220</v>
      </c>
      <c r="C193" s="551">
        <v>23707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85255</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74024</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2923173</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2997197</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1932</v>
      </c>
      <c r="B261" s="470">
        <v>4981</v>
      </c>
      <c r="C261" s="575"/>
      <c r="D261" s="576"/>
      <c r="E261" s="468"/>
      <c r="F261" s="576"/>
      <c r="G261" s="576"/>
      <c r="H261" s="468"/>
      <c r="I261" s="468"/>
      <c r="J261" s="468"/>
      <c r="K261" s="468"/>
    </row>
    <row r="262" spans="1:11" ht="12.75" customHeight="1" thickTop="1" thickBot="1" x14ac:dyDescent="0.25">
      <c r="A262" s="1931"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47628</v>
      </c>
      <c r="D263" s="576"/>
      <c r="E263" s="468"/>
      <c r="F263" s="576"/>
      <c r="G263" s="576"/>
      <c r="H263" s="468"/>
      <c r="I263" s="468"/>
      <c r="J263" s="468"/>
      <c r="K263" s="468"/>
    </row>
    <row r="264" spans="1:11" ht="12.75" customHeight="1" thickTop="1" thickBot="1" x14ac:dyDescent="0.25">
      <c r="A264" s="463" t="s">
        <v>377</v>
      </c>
      <c r="B264" s="470">
        <v>4992</v>
      </c>
      <c r="C264" s="575">
        <v>125176</v>
      </c>
      <c r="D264" s="576"/>
      <c r="E264" s="468"/>
      <c r="F264" s="576"/>
      <c r="G264" s="576"/>
      <c r="H264" s="468"/>
      <c r="I264" s="468"/>
      <c r="J264" s="468"/>
      <c r="K264" s="468"/>
    </row>
    <row r="265" spans="1:11" s="593" customFormat="1" ht="12.75" customHeight="1" thickTop="1" thickBot="1" x14ac:dyDescent="0.25">
      <c r="A265" s="563" t="s">
        <v>75</v>
      </c>
      <c r="B265" s="557">
        <v>4999</v>
      </c>
      <c r="C265" s="575">
        <v>29972</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3285228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3285228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16118248</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90" zoomScaleNormal="90" workbookViewId="0">
      <pane ySplit="2" topLeftCell="A102" activePane="bottomLeft" state="frozen"/>
      <selection pane="bottomLeft" activeCell="L80" sqref="L8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9"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9" t="s">
        <v>297</v>
      </c>
      <c r="B3" s="2170"/>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5878542</v>
      </c>
      <c r="D8" s="466">
        <v>1152362</v>
      </c>
      <c r="E8" s="466">
        <v>208988</v>
      </c>
      <c r="F8" s="466">
        <v>38988</v>
      </c>
      <c r="G8" s="466">
        <v>16132</v>
      </c>
      <c r="H8" s="466">
        <v>35974</v>
      </c>
      <c r="I8" s="467"/>
      <c r="J8" s="467"/>
      <c r="K8" s="1671">
        <f t="shared" si="0"/>
        <v>7330986</v>
      </c>
      <c r="L8" s="466">
        <v>7935136</v>
      </c>
    </row>
    <row r="9" spans="1:14" x14ac:dyDescent="0.2">
      <c r="A9" s="1504" t="s">
        <v>721</v>
      </c>
      <c r="B9" s="614" t="s">
        <v>968</v>
      </c>
      <c r="C9" s="467">
        <v>430509</v>
      </c>
      <c r="D9" s="467">
        <v>31259</v>
      </c>
      <c r="E9" s="467">
        <v>6499</v>
      </c>
      <c r="F9" s="467">
        <v>2289</v>
      </c>
      <c r="G9" s="467"/>
      <c r="H9" s="467">
        <v>3890</v>
      </c>
      <c r="I9" s="467"/>
      <c r="J9" s="467"/>
      <c r="K9" s="1671">
        <f t="shared" si="0"/>
        <v>474446</v>
      </c>
      <c r="L9" s="466">
        <v>455071</v>
      </c>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29600</v>
      </c>
      <c r="D13" s="466">
        <v>5208</v>
      </c>
      <c r="E13" s="466"/>
      <c r="F13" s="466"/>
      <c r="G13" s="466"/>
      <c r="H13" s="466"/>
      <c r="I13" s="467"/>
      <c r="J13" s="467"/>
      <c r="K13" s="1671">
        <f t="shared" si="0"/>
        <v>34808</v>
      </c>
      <c r="L13" s="466">
        <v>34584</v>
      </c>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v>147045</v>
      </c>
      <c r="D15" s="466">
        <v>11435</v>
      </c>
      <c r="E15" s="466"/>
      <c r="F15" s="466">
        <v>2508</v>
      </c>
      <c r="G15" s="466"/>
      <c r="H15" s="466"/>
      <c r="I15" s="467"/>
      <c r="J15" s="467"/>
      <c r="K15" s="1671">
        <f t="shared" si="0"/>
        <v>160988</v>
      </c>
      <c r="L15" s="466">
        <v>131683</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6485696</v>
      </c>
      <c r="D33" s="1670">
        <f t="shared" ref="D33:L33" si="1">SUM(D5:D32)</f>
        <v>1200264</v>
      </c>
      <c r="E33" s="1670">
        <f t="shared" si="1"/>
        <v>215487</v>
      </c>
      <c r="F33" s="1670">
        <f t="shared" si="1"/>
        <v>43785</v>
      </c>
      <c r="G33" s="1670">
        <f t="shared" si="1"/>
        <v>16132</v>
      </c>
      <c r="H33" s="1670">
        <f t="shared" si="1"/>
        <v>39864</v>
      </c>
      <c r="I33" s="1670">
        <f t="shared" si="1"/>
        <v>0</v>
      </c>
      <c r="J33" s="1670">
        <f t="shared" si="1"/>
        <v>0</v>
      </c>
      <c r="K33" s="1670">
        <f t="shared" si="1"/>
        <v>8001228</v>
      </c>
      <c r="L33" s="1670">
        <f t="shared" si="1"/>
        <v>8556474</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588059</v>
      </c>
      <c r="D36" s="481">
        <v>52807</v>
      </c>
      <c r="E36" s="481">
        <v>19061</v>
      </c>
      <c r="F36" s="481">
        <v>1446</v>
      </c>
      <c r="G36" s="481"/>
      <c r="H36" s="481"/>
      <c r="I36" s="467"/>
      <c r="J36" s="467"/>
      <c r="K36" s="1671">
        <f t="shared" ref="K36:K41" si="2">SUM(C36:J36)</f>
        <v>661373</v>
      </c>
      <c r="L36" s="466">
        <v>679232</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24999</v>
      </c>
      <c r="D38" s="466">
        <v>4387</v>
      </c>
      <c r="E38" s="466"/>
      <c r="F38" s="466">
        <v>252</v>
      </c>
      <c r="G38" s="466"/>
      <c r="H38" s="466"/>
      <c r="I38" s="467"/>
      <c r="J38" s="467"/>
      <c r="K38" s="1671">
        <f t="shared" si="2"/>
        <v>29638</v>
      </c>
      <c r="L38" s="466">
        <v>63617</v>
      </c>
    </row>
    <row r="39" spans="1:14" x14ac:dyDescent="0.2">
      <c r="A39" s="1504" t="s">
        <v>199</v>
      </c>
      <c r="B39" s="614">
        <v>2140</v>
      </c>
      <c r="C39" s="466">
        <v>939473</v>
      </c>
      <c r="D39" s="466">
        <v>104299</v>
      </c>
      <c r="E39" s="466">
        <v>13749</v>
      </c>
      <c r="F39" s="466"/>
      <c r="G39" s="466"/>
      <c r="H39" s="466"/>
      <c r="I39" s="467"/>
      <c r="J39" s="467"/>
      <c r="K39" s="1671">
        <f t="shared" si="2"/>
        <v>1057521</v>
      </c>
      <c r="L39" s="466">
        <v>1059495</v>
      </c>
    </row>
    <row r="40" spans="1:14" x14ac:dyDescent="0.2">
      <c r="A40" s="1504" t="s">
        <v>200</v>
      </c>
      <c r="B40" s="614">
        <v>2150</v>
      </c>
      <c r="C40" s="466">
        <v>1773318</v>
      </c>
      <c r="D40" s="466">
        <v>223041</v>
      </c>
      <c r="E40" s="466">
        <v>35478</v>
      </c>
      <c r="F40" s="466">
        <v>5345</v>
      </c>
      <c r="G40" s="466"/>
      <c r="H40" s="466"/>
      <c r="I40" s="467"/>
      <c r="J40" s="467"/>
      <c r="K40" s="1671">
        <f t="shared" si="2"/>
        <v>2037182</v>
      </c>
      <c r="L40" s="466">
        <v>1948515</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3325849</v>
      </c>
      <c r="D42" s="1670">
        <f t="shared" ref="D42:L42" si="3">SUM(D36:D41)</f>
        <v>384534</v>
      </c>
      <c r="E42" s="1670">
        <f t="shared" si="3"/>
        <v>68288</v>
      </c>
      <c r="F42" s="1670">
        <f t="shared" si="3"/>
        <v>7043</v>
      </c>
      <c r="G42" s="1670">
        <f t="shared" si="3"/>
        <v>0</v>
      </c>
      <c r="H42" s="1670">
        <f t="shared" si="3"/>
        <v>0</v>
      </c>
      <c r="I42" s="1670">
        <f t="shared" si="3"/>
        <v>0</v>
      </c>
      <c r="J42" s="1670">
        <f t="shared" si="3"/>
        <v>0</v>
      </c>
      <c r="K42" s="1670">
        <f t="shared" si="3"/>
        <v>3785714</v>
      </c>
      <c r="L42" s="1670">
        <f t="shared" si="3"/>
        <v>3750859</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41989</v>
      </c>
      <c r="D44" s="481">
        <v>4136</v>
      </c>
      <c r="E44" s="481">
        <v>70938</v>
      </c>
      <c r="F44" s="481"/>
      <c r="G44" s="481"/>
      <c r="H44" s="481"/>
      <c r="I44" s="467"/>
      <c r="J44" s="467"/>
      <c r="K44" s="1672">
        <f>SUM(C44:J44)</f>
        <v>117063</v>
      </c>
      <c r="L44" s="481">
        <v>131507</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41989</v>
      </c>
      <c r="D47" s="1670">
        <f t="shared" ref="D47:K47" si="4">SUM(D44:D46)</f>
        <v>4136</v>
      </c>
      <c r="E47" s="1670">
        <f t="shared" si="4"/>
        <v>70938</v>
      </c>
      <c r="F47" s="1670">
        <f t="shared" si="4"/>
        <v>0</v>
      </c>
      <c r="G47" s="1670">
        <f t="shared" si="4"/>
        <v>0</v>
      </c>
      <c r="H47" s="1670">
        <f t="shared" si="4"/>
        <v>0</v>
      </c>
      <c r="I47" s="1670">
        <f t="shared" si="4"/>
        <v>0</v>
      </c>
      <c r="J47" s="1670">
        <f t="shared" si="4"/>
        <v>0</v>
      </c>
      <c r="K47" s="1670">
        <f t="shared" si="4"/>
        <v>117063</v>
      </c>
      <c r="L47" s="1670">
        <f>SUM(L44:L46)</f>
        <v>131507</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v>1174966</v>
      </c>
      <c r="D50" s="466">
        <v>588432</v>
      </c>
      <c r="E50" s="466">
        <v>278715</v>
      </c>
      <c r="F50" s="466">
        <v>51299</v>
      </c>
      <c r="G50" s="466"/>
      <c r="H50" s="466">
        <v>27850</v>
      </c>
      <c r="I50" s="467"/>
      <c r="J50" s="467"/>
      <c r="K50" s="1672">
        <f>SUM(C50:J50)</f>
        <v>2121262</v>
      </c>
      <c r="L50" s="466">
        <v>1915489</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1174966</v>
      </c>
      <c r="D53" s="1670">
        <f t="shared" ref="D53:L53" si="5">SUM(D49:D52)</f>
        <v>588432</v>
      </c>
      <c r="E53" s="1670">
        <f t="shared" si="5"/>
        <v>278715</v>
      </c>
      <c r="F53" s="1670">
        <f t="shared" si="5"/>
        <v>51299</v>
      </c>
      <c r="G53" s="1670">
        <f t="shared" si="5"/>
        <v>0</v>
      </c>
      <c r="H53" s="1670">
        <f t="shared" si="5"/>
        <v>27850</v>
      </c>
      <c r="I53" s="1670">
        <f t="shared" si="5"/>
        <v>0</v>
      </c>
      <c r="J53" s="1670">
        <f t="shared" si="5"/>
        <v>0</v>
      </c>
      <c r="K53" s="1670">
        <f t="shared" si="5"/>
        <v>2121262</v>
      </c>
      <c r="L53" s="1670">
        <f t="shared" si="5"/>
        <v>1915489</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c r="F60" s="466"/>
      <c r="G60" s="466"/>
      <c r="H60" s="466"/>
      <c r="I60" s="467"/>
      <c r="J60" s="467"/>
      <c r="K60" s="1672">
        <f t="shared" si="7"/>
        <v>0</v>
      </c>
      <c r="L60" s="466"/>
      <c r="M60" s="609"/>
      <c r="N60" s="609"/>
    </row>
    <row r="61" spans="1:14" s="343" customFormat="1" x14ac:dyDescent="0.2">
      <c r="A61" s="1504" t="s">
        <v>197</v>
      </c>
      <c r="B61" s="614">
        <v>2540</v>
      </c>
      <c r="C61" s="466"/>
      <c r="D61" s="466"/>
      <c r="E61" s="466">
        <v>30446</v>
      </c>
      <c r="F61" s="466"/>
      <c r="G61" s="466">
        <v>31916</v>
      </c>
      <c r="H61" s="466"/>
      <c r="I61" s="467"/>
      <c r="J61" s="467"/>
      <c r="K61" s="1672">
        <f t="shared" si="7"/>
        <v>62362</v>
      </c>
      <c r="L61" s="466">
        <v>291059</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0</v>
      </c>
      <c r="D65" s="1670">
        <f t="shared" ref="D65:L65" si="8">SUM(D59:D64)</f>
        <v>0</v>
      </c>
      <c r="E65" s="1670">
        <f t="shared" si="8"/>
        <v>30446</v>
      </c>
      <c r="F65" s="1670">
        <f t="shared" si="8"/>
        <v>0</v>
      </c>
      <c r="G65" s="1670">
        <f t="shared" si="8"/>
        <v>31916</v>
      </c>
      <c r="H65" s="1670">
        <f t="shared" si="8"/>
        <v>0</v>
      </c>
      <c r="I65" s="1670">
        <f t="shared" si="8"/>
        <v>0</v>
      </c>
      <c r="J65" s="1670">
        <f t="shared" si="8"/>
        <v>0</v>
      </c>
      <c r="K65" s="1670">
        <f t="shared" si="8"/>
        <v>62362</v>
      </c>
      <c r="L65" s="1670">
        <f t="shared" si="8"/>
        <v>291059</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4542804</v>
      </c>
      <c r="D74" s="1677">
        <f t="shared" ref="D74:K74" si="10">SUM(D42,D47,D53,D57,D65,D72,D73)</f>
        <v>977102</v>
      </c>
      <c r="E74" s="1677">
        <f t="shared" si="10"/>
        <v>448387</v>
      </c>
      <c r="F74" s="1677">
        <f t="shared" si="10"/>
        <v>58342</v>
      </c>
      <c r="G74" s="1677">
        <f t="shared" si="10"/>
        <v>31916</v>
      </c>
      <c r="H74" s="1677">
        <f t="shared" si="10"/>
        <v>27850</v>
      </c>
      <c r="I74" s="1677">
        <f t="shared" si="10"/>
        <v>0</v>
      </c>
      <c r="J74" s="1677">
        <f t="shared" si="10"/>
        <v>0</v>
      </c>
      <c r="K74" s="1677">
        <f t="shared" si="10"/>
        <v>6086401</v>
      </c>
      <c r="L74" s="1677">
        <f>SUM(L42,L47,L53,L57,L65,L72,L73)</f>
        <v>6088914</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1437053</v>
      </c>
      <c r="I79" s="477"/>
      <c r="J79" s="477"/>
      <c r="K79" s="1671">
        <f t="shared" si="11"/>
        <v>1437053</v>
      </c>
      <c r="L79" s="466">
        <v>1485902</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1437053</v>
      </c>
      <c r="I84" s="477"/>
      <c r="J84" s="477"/>
      <c r="K84" s="1670">
        <f>SUM(K78:K83)</f>
        <v>1437053</v>
      </c>
      <c r="L84" s="1670">
        <f>SUM(L78:L83)</f>
        <v>1485902</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1437053</v>
      </c>
      <c r="I102" s="477"/>
      <c r="J102" s="477"/>
      <c r="K102" s="1677">
        <f>SUM(K84,K92,K100,K101)</f>
        <v>1437053</v>
      </c>
      <c r="L102" s="1677">
        <f>SUM(L84,L92,L100,L101)</f>
        <v>1485902</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11028500</v>
      </c>
      <c r="D114" s="1670">
        <f t="shared" ref="D114:K114" si="13">SUM(D33,D74,D75,D102,D112,D113)</f>
        <v>2177366</v>
      </c>
      <c r="E114" s="1670">
        <f t="shared" si="13"/>
        <v>663874</v>
      </c>
      <c r="F114" s="1670">
        <f t="shared" si="13"/>
        <v>102127</v>
      </c>
      <c r="G114" s="1670">
        <f t="shared" si="13"/>
        <v>48048</v>
      </c>
      <c r="H114" s="1670">
        <f>SUM(H33,H74,H75,H102,H112,H113)</f>
        <v>1504767</v>
      </c>
      <c r="I114" s="1670">
        <f t="shared" si="13"/>
        <v>0</v>
      </c>
      <c r="J114" s="1670">
        <f t="shared" si="13"/>
        <v>0</v>
      </c>
      <c r="K114" s="1670">
        <f t="shared" si="13"/>
        <v>15524682</v>
      </c>
      <c r="L114" s="1670">
        <f>SUM(L33,L74,L75,L102,L112,L113)</f>
        <v>16131290</v>
      </c>
    </row>
    <row r="115" spans="1:14" ht="13.5" thickTop="1" x14ac:dyDescent="0.2">
      <c r="A115" s="2161" t="s">
        <v>996</v>
      </c>
      <c r="B115" s="2162"/>
      <c r="C115" s="618"/>
      <c r="D115" s="618"/>
      <c r="E115" s="618"/>
      <c r="F115" s="618"/>
      <c r="G115" s="618"/>
      <c r="H115" s="618"/>
      <c r="I115" s="618"/>
      <c r="J115" s="618"/>
      <c r="K115" s="1684">
        <f>'Revenues 9-14'!C268-'Expenditures 15-22'!K114</f>
        <v>593566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6" t="s">
        <v>296</v>
      </c>
      <c r="B117" s="2167"/>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2055</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1841</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8" t="s">
        <v>620</v>
      </c>
      <c r="B151" s="2158"/>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81" t="s">
        <v>1178</v>
      </c>
      <c r="B152" s="2182"/>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6" t="s">
        <v>621</v>
      </c>
      <c r="B154" s="216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1841</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1843</v>
      </c>
      <c r="C158" s="616"/>
      <c r="D158" s="616"/>
      <c r="E158" s="616"/>
      <c r="F158" s="616"/>
      <c r="G158" s="616"/>
      <c r="H158" s="467"/>
      <c r="I158" s="616"/>
      <c r="J158" s="616"/>
      <c r="K158" s="1671">
        <f>H158</f>
        <v>0</v>
      </c>
      <c r="L158" s="467"/>
      <c r="M158" s="619"/>
      <c r="N158" s="619"/>
    </row>
    <row r="159" spans="1:14" s="620" customFormat="1" ht="12" x14ac:dyDescent="0.2">
      <c r="A159" s="1826" t="s">
        <v>1844</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1845</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61" t="s">
        <v>996</v>
      </c>
      <c r="B175" s="2162"/>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2055</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61" t="s">
        <v>996</v>
      </c>
      <c r="B211" s="2162"/>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3" t="s">
        <v>965</v>
      </c>
      <c r="B213" s="2184"/>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1841</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9" t="s">
        <v>505</v>
      </c>
      <c r="B295" s="2180"/>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61" t="s">
        <v>996</v>
      </c>
      <c r="B296" s="2162"/>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1" t="s">
        <v>143</v>
      </c>
      <c r="B298" s="2165"/>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6" t="s">
        <v>277</v>
      </c>
      <c r="B312" s="2177"/>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2" t="s">
        <v>996</v>
      </c>
      <c r="B313" s="2173"/>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5" t="s">
        <v>149</v>
      </c>
      <c r="B315" s="218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7" t="s">
        <v>898</v>
      </c>
      <c r="B317" s="2186"/>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1847</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1841</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1843</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1848</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74" t="s">
        <v>996</v>
      </c>
      <c r="B343" s="2175"/>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4" t="s">
        <v>966</v>
      </c>
      <c r="B345" s="2165"/>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c r="I354" s="701"/>
      <c r="J354" s="616"/>
      <c r="K354" s="1699">
        <f>H354</f>
        <v>0</v>
      </c>
      <c r="L354" s="471"/>
    </row>
    <row r="355" spans="1:14" ht="12.75" customHeight="1" x14ac:dyDescent="0.2">
      <c r="A355" s="1513" t="s">
        <v>1850</v>
      </c>
      <c r="B355" s="690" t="s">
        <v>1843</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61" t="s">
        <v>996</v>
      </c>
      <c r="B368" s="2162"/>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purl.org/dc/elements/1.1/"/>
    <ds:schemaRef ds:uri="http://schemas.microsoft.com/office/infopath/2007/PartnerControls"/>
    <ds:schemaRef ds:uri="http://schemas.openxmlformats.org/package/2006/metadata/core-properties"/>
    <ds:schemaRef ds:uri="http://schemas.microsoft.com/office/2006/documentManagement/types"/>
    <ds:schemaRef ds:uri="http://schemas.microsoft.com/office/2006/metadata/properties"/>
    <ds:schemaRef ds:uri="http://purl.org/dc/dcmitype/"/>
    <ds:schemaRef ds:uri="http://www.w3.org/XML/1998/namespace"/>
    <ds:schemaRef ds:uri="d21dc803-237d-4c68-8692-8d731fd29118"/>
    <ds:schemaRef ds:uri="4d435f69-8686-490b-bd6d-b153bf22ab50"/>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2019-10-14T12:57:43Z</cp:lastPrinted>
  <dcterms:created xsi:type="dcterms:W3CDTF">2003-10-29T19:06:34Z</dcterms:created>
  <dcterms:modified xsi:type="dcterms:W3CDTF">2019-11-21T15:24:30Z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af5fa459-e813-40d0-a4a0-04e2c55a0d8a</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WPCSUniqueID">
    <vt:lpwstr>e7805afb-1d78-4c6b-91c3-cc688d8a73ec</vt:lpwstr>
  </property>
</Properties>
</file>