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2B6B4C4-A370-4A60-8364-9516F927AB87}"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B7001" i="106" s="1"/>
  <c r="D7001" i="106" s="1"/>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E27" i="108"/>
  <c r="G27" i="108"/>
  <c r="F28" i="108"/>
  <c r="F36" i="108"/>
  <c r="G28" i="108"/>
  <c r="G29" i="108"/>
  <c r="D31"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L22" i="37"/>
  <c r="H28" i="118" l="1"/>
  <c r="D14" i="4"/>
  <c r="B2570" i="106" s="1"/>
  <c r="D2570" i="106" s="1"/>
  <c r="F38" i="34"/>
  <c r="F34" i="34"/>
  <c r="G39" i="108"/>
  <c r="E34" i="108"/>
  <c r="D36" i="108"/>
  <c r="G30" i="108"/>
  <c r="G26" i="108"/>
  <c r="B3647" i="106"/>
  <c r="D3647" i="106" s="1"/>
  <c r="G15" i="145"/>
  <c r="J210" i="29"/>
  <c r="B7072" i="106" s="1"/>
  <c r="D7072" i="106" s="1"/>
  <c r="F77" i="4"/>
  <c r="B3255" i="106" s="1"/>
  <c r="D3255" i="106" s="1"/>
  <c r="D24" i="37"/>
  <c r="B4270" i="106" s="1"/>
  <c r="D4270" i="106" s="1"/>
  <c r="F36" i="34"/>
  <c r="C342" i="29"/>
  <c r="B7216" i="106" s="1"/>
  <c r="D7216" i="106" s="1"/>
  <c r="H76" i="4"/>
  <c r="B3298" i="106" s="1"/>
  <c r="D3298" i="106" s="1"/>
  <c r="H342" i="29"/>
  <c r="C352" i="29"/>
  <c r="J22" i="37"/>
  <c r="F19" i="7"/>
  <c r="B1807" i="106" s="1"/>
  <c r="D1807" i="106" s="1"/>
  <c r="L13" i="11"/>
  <c r="B2060" i="106" s="1"/>
  <c r="D2060" i="106" s="1"/>
  <c r="D69" i="36"/>
  <c r="F27" i="108"/>
  <c r="F50" i="34"/>
  <c r="I210" i="29"/>
  <c r="B7071" i="106" s="1"/>
  <c r="D7071" i="106" s="1"/>
  <c r="J77" i="4"/>
  <c r="B6262" i="106" s="1"/>
  <c r="D6262" i="106" s="1"/>
  <c r="K184" i="29"/>
  <c r="F13" i="4" s="1"/>
  <c r="B2596" i="106" s="1"/>
  <c r="D2596" i="106" s="1"/>
  <c r="G210" i="29"/>
  <c r="C129" i="29"/>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C114" i="29"/>
  <c r="B757" i="106" s="1"/>
  <c r="D757"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1" i="108" l="1"/>
  <c r="E43" i="108" s="1"/>
  <c r="F66" i="34"/>
  <c r="J16" i="4"/>
  <c r="B6226" i="106" s="1"/>
  <c r="D6226" i="106" s="1"/>
  <c r="D7251" i="106"/>
  <c r="D7254" i="106"/>
  <c r="L16" i="11"/>
  <c r="B2061" i="106" s="1"/>
  <c r="D2061"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<sst xmlns="http://schemas.openxmlformats.org/spreadsheetml/2006/main" count="5082" uniqueCount="2101">
  <si>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</si>
  <si>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</si>
  <si>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</si>
  <si>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</si>
  <si>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</si>
  <si>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</si>
  <si>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</si>
  <si>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</si>
  <si>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</si>
  <si>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</si>
  <si>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</si>
  <si>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</si>
  <si>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</si>
  <si>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</si>
  <si>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</si>
  <si>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</si>
  <si>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</si>
  <si>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</si>
  <si>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</si>
  <si>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</si>
  <si>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</si>
  <si>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</si>
  <si>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</si>
  <si>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</si>
  <si>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</si>
  <si>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</si>
  <si>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</si>
  <si>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</si>
  <si>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</si>
  <si>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</si>
  <si>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</si>
  <si>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</si>
  <si>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</si>
  <si>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</si>
  <si>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</si>
  <si>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</si>
  <si>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</si>
  <si>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</si>
  <si>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</si>
  <si>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</si>
  <si>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</si>
  <si>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</si>
  <si>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</si>
  <si>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</si>
  <si>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</si>
  <si>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</si>
  <si>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</si>
  <si>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</si>
  <si>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</si>
  <si>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</si>
  <si>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</si>
  <si>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</si>
  <si>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</si>
  <si>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</si>
  <si>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</si>
  <si>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</si>
  <si>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</si>
  <si>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</si>
  <si>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</si>
  <si>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</si>
  <si>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</si>
  <si>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</si>
  <si>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</si>
  <si>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</si>
  <si>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</si>
  <si>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</si>
  <si>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</si>
  <si>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</si>
  <si>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</si>
  <si>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</si>
  <si>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</si>
  <si>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</si>
  <si>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</si>
  <si>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</si>
  <si>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</si>
  <si>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</si>
  <si>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</si>
  <si>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</si>
  <si>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</si>
  <si>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</si>
  <si>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</si>
  <si>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</si>
  <si>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</si>
  <si>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</si>
  <si>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</si>
  <si>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</si>
  <si>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</si>
  <si>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</si>
  <si>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</si>
  <si>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</si>
  <si>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</si>
  <si>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</si>
  <si>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</si>
  <si>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</si>
  <si>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</si>
  <si>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</si>
  <si>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</si>
  <si>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</si>
  <si>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</si>
  <si>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</si>
  <si>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</si>
  <si>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</si>
  <si>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</si>
  <si>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</si>
  <si>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</si>
  <si>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</si>
  <si>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</si>
  <si>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</si>
  <si>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</si>
  <si>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</si>
  <si>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</si>
  <si>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</si>
  <si>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</si>
  <si>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</si>
  <si>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</si>
  <si>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</si>
  <si>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</si>
  <si>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</si>
  <si>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</si>
  <si>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</si>
  <si>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</si>
  <si>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</si>
  <si>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</si>
  <si>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</si>
  <si>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</si>
  <si>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</si>
  <si>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</si>
  <si>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</si>
  <si>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</si>
  <si>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</si>
  <si>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</si>
  <si>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</si>
  <si>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</si>
  <si>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</si>
  <si>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</si>
  <si>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</si>
  <si>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</si>
  <si>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</si>
  <si>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</si>
  <si>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</si>
  <si>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</si>
  <si>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</si>
  <si>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</si>
  <si>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</si>
  <si>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</si>
  <si>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</si>
  <si>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</si>
  <si>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</si>
  <si>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</si>
  <si>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</si>
  <si>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</si>
  <si>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</si>
  <si>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</si>
  <si>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</si>
  <si>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</si>
  <si>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</si>
  <si>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</si>
  <si>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</si>
  <si>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</si>
  <si>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</si>
  <si>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</si>
  <si>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</si>
  <si>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</si>
  <si>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</si>
  <si>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</si>
  <si>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</si>
  <si>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</si>
  <si>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</si>
  <si>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</si>
  <si>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</si>
  <si>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</si>
  <si>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</si>
  <si>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</si>
  <si>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</si>
  <si>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</si>
  <si>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</si>
  <si>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</si>
  <si>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</si>
  <si>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</si>
  <si>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</si>
  <si>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</si>
  <si>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</si>
  <si>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</si>
  <si>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</si>
  <si>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</si>
  <si>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</si>
  <si>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</si>
  <si>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</si>
  <si>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</si>
  <si>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</si>
  <si>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</si>
  <si>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</si>
  <si>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</si>
  <si>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</si>
  <si>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</si>
  <si>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</si>
  <si>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</si>
  <si>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</si>
  <si>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</si>
  <si>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</si>
  <si>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</si>
  <si>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</si>
  <si>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</si>
  <si>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</si>
  <si>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</si>
  <si>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</si>
  <si>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</si>
  <si>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</si>
  <si>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</si>
  <si>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</si>
  <si>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</si>
  <si>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</si>
  <si>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</si>
  <si>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</si>
  <si>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</si>
  <si>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</si>
  <si>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</si>
  <si>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</si>
  <si>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</si>
  <si>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</si>
  <si>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</si>
  <si>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</si>
  <si>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</si>
  <si>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</si>
  <si>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</si>
  <si>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</si>
  <si>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</si>
  <si>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</si>
  <si>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</si>
  <si>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</si>
  <si>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</si>
  <si>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</si>
  <si>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</si>
  <si>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</si>
  <si>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</si>
  <si>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</si>
  <si>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</si>
  <si>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</si>
  <si>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</si>
  <si>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</si>
  <si>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</si>
  <si>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</si>
  <si>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</si>
  <si>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</si>
  <si>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</si>
  <si>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</si>
  <si>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</si>
  <si>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</si>
  <si>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</si>
  <si>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</si>
  <si>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</si>
  <si>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</si>
  <si>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</si>
  <si>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</si>
  <si>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</si>
  <si>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</si>
  <si>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</si>
  <si>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</si>
  <si>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</si>
  <si>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</si>
  <si>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</si>
  <si>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</si>
  <si>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</si>
  <si>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</si>
  <si>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</si>
  <si>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</si>
  <si>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</si>
  <si>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</si>
  <si>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</si>
  <si>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</si>
  <si>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</si>
  <si>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</si>
  <si>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</si>
  <si>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</si>
  <si>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</si>
  <si>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</si>
  <si>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</si>
  <si>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</si>
  <si>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</si>
  <si>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</si>
  <si>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</si>
  <si>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</si>
  <si>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</si>
  <si>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</si>
  <si>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</si>
  <si>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</si>
  <si>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</si>
  <si>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</si>
  <si>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</si>
  <si>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</si>
  <si>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</si>
  <si>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</si>
  <si>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</si>
  <si>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</si>
  <si>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</si>
  <si>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</si>
  <si>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</si>
  <si>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</si>
  <si>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</si>
  <si>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</si>
  <si>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</si>
  <si>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</si>
  <si>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</si>
  <si>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</si>
  <si>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</si>
  <si>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</si>
  <si>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</si>
  <si>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</si>
  <si>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</si>
  <si>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</si>
  <si>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</si>
  <si>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</si>
  <si>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</si>
  <si>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</si>
  <si>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</si>
  <si>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</si>
  <si>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</si>
  <si>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</si>
  <si>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</si>
  <si>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</si>
  <si>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</si>
  <si>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</si>
  <si>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</si>
  <si>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</si>
  <si>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</si>
  <si>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</si>
  <si>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</si>
  <si>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</si>
  <si>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</si>
  <si>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</si>
  <si>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</si>
  <si>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</si>
  <si>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</si>
  <si>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</si>
  <si>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</si>
  <si>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</si>
  <si>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</si>
  <si>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</si>
  <si>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</si>
  <si>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</si>
  <si>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</si>
  <si>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</si>
  <si>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</si>
  <si>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</si>
  <si>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</si>
  <si>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</si>
  <si>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</si>
  <si>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</si>
  <si>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</si>
  <si>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</si>
  <si>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</si>
  <si>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</si>
  <si>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</si>
  <si>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</si>
  <si>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</si>
  <si>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</si>
  <si>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</si>
  <si>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</si>
  <si>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</si>
  <si>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</si>
  <si>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</si>
  <si>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</si>
  <si>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</si>
  <si>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</si>
  <si>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</si>
  <si>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</si>
  <si>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</si>
  <si>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</si>
  <si>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</si>
  <si>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</si>
  <si>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</si>
  <si>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</si>
  <si>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</si>
  <si>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</si>
  <si>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</si>
  <si>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</si>
  <si>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</si>
  <si>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</si>
  <si>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</si>
  <si>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</si>
  <si>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</si>
  <si>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</si>
  <si>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</si>
  <si>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</si>
  <si>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</si>
  <si>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</si>
  <si>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</si>
  <si>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</si>
  <si>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</si>
  <si>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</si>
  <si>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</si>
  <si>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</si>
  <si>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</si>
  <si>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</si>
  <si>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</si>
  <si>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</si>
  <si>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</si>
  <si>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</si>
  <si>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</si>
  <si>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</si>
  <si>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</si>
  <si>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</si>
  <si>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</si>
  <si>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</si>
  <si>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</si>
  <si>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</si>
  <si>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</si>
  <si>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</si>
  <si>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</si>
  <si>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</si>
  <si>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</si>
  <si>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</si>
  <si>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</si>
  <si>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</si>
  <si>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</si>
  <si>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</si>
  <si>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</si>
  <si>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</si>
  <si>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</si>
  <si>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</si>
  <si>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</si>
  <si>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</si>
  <si>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</si>
  <si>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</si>
  <si>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</si>
  <si>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</si>
  <si>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</si>
  <si>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</si>
  <si>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</si>
  <si>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</si>
  <si>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</si>
  <si>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</si>
  <si>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</si>
  <si>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</si>
  <si>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</si>
  <si>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</si>
  <si>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</si>
  <si>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</si>
  <si>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</si>
  <si>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</si>
  <si>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</si>
  <si>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</si>
  <si>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</si>
  <si>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</si>
  <si>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</si>
  <si>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</si>
  <si>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</si>
  <si>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</si>
  <si>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</si>
  <si>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</si>
  <si>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</si>
  <si>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</si>
  <si>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</si>
  <si>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</si>
  <si>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</si>
  <si>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</si>
  <si>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</si>
  <si>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</si>
  <si>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</si>
  <si>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</si>
  <si>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</si>
  <si>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</si>
  <si>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</si>
  <si>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</si>
  <si>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</si>
  <si>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</si>
  <si>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</si>
  <si>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</si>
  <si>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</si>
  <si>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</si>
  <si>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</si>
  <si>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</si>
  <si>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</si>
  <si>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</si>
  <si>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</si>
  <si>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</si>
  <si>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</si>
  <si>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</si>
  <si>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</si>
  <si>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</si>
  <si>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</si>
  <si>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</si>
  <si>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</si>
  <si>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</si>
  <si>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</si>
  <si>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</si>
  <si>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</si>
  <si>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</si>
  <si>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</si>
  <si>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</si>
  <si>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</si>
  <si>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</si>
  <si>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</si>
  <si>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</si>
  <si>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</si>
  <si>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</si>
  <si>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</si>
  <si>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</si>
  <si>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</si>
  <si>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</si>
  <si>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</si>
  <si>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</si>
  <si>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</si>
  <si>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</si>
  <si>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</si>
  <si>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</si>
  <si>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</si>
  <si>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</si>
  <si>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</si>
  <si>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</si>
  <si>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</si>
  <si>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</si>
  <si>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</si>
  <si>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</si>
  <si>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</si>
  <si>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</si>
  <si>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</si>
  <si>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</si>
  <si>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</si>
  <si>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</si>
  <si>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</si>
  <si>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</si>
  <si>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</si>
  <si>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</si>
  <si>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</si>
  <si>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</si>
  <si>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</si>
  <si>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</si>
  <si>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</si>
  <si>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</si>
  <si>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</si>
  <si>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</si>
  <si>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</si>
  <si>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</si>
  <si>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</si>
  <si>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</si>
  <si>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</si>
  <si>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</si>
  <si>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</si>
  <si>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</si>
  <si>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</si>
  <si>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</si>
  <si>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</si>
  <si>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</si>
  <si>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</si>
  <si>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</si>
  <si>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</si>
  <si>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</si>
  <si>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</si>
  <si>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</si>
  <si>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</si>
  <si>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</si>
  <si>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</si>
  <si>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</si>
  <si>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</si>
  <si>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</si>
  <si>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</si>
  <si>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</si>
  <si>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</si>
  <si>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</si>
  <si>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</si>
  <si>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</si>
  <si>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</si>
  <si>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</si>
  <si>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</si>
  <si>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</si>
  <si>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</si>
  <si>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</si>
  <si>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</si>
  <si>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</si>
  <si>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</si>
  <si>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</si>
  <si>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</si>
  <si>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</si>
  <si>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</si>
  <si>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</si>
  <si>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</si>
  <si>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</si>
  <si>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</si>
  <si>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</si>
  <si>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</si>
  <si>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</si>
  <si>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</si>
  <si>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</si>
  <si>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</si>
  <si>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</si>
  <si>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</si>
  <si>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</si>
  <si>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</si>
  <si>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</si>
  <si>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</si>
  <si>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</si>
  <si>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</si>
  <si>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</si>
  <si>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</si>
  <si>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</si>
  <si>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</si>
  <si>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</si>
  <si>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</si>
  <si>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</si>
  <si>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</si>
  <si>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</si>
  <si>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</si>
  <si>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</si>
  <si>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</si>
  <si>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</si>
  <si>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</si>
  <si>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</si>
  <si>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</si>
  <si>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</si>
  <si>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</si>
  <si>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</si>
  <si>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</si>
  <si>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</si>
  <si>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</si>
  <si>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</si>
  <si>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</si>
  <si>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</si>
  <si>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</si>
  <si>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</si>
  <si>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</si>
  <si>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</si>
  <si>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</si>
  <si>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</si>
  <si>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</si>
  <si>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</si>
  <si>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</si>
  <si>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</si>
  <si>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</si>
  <si>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</si>
  <si>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</si>
  <si>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</si>
  <si>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</si>
  <si>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</si>
  <si>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</si>
  <si>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</si>
  <si>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</si>
  <si>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</si>
  <si>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</si>
  <si>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</si>
  <si>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</si>
  <si>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</si>
  <si>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</si>
  <si>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</si>
  <si>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</si>
  <si>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</si>
  <si>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</si>
  <si>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</si>
  <si>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</si>
  <si>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</si>
  <si>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</si>
  <si>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</si>
  <si>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</si>
  <si>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</si>
  <si>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</si>
  <si>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</si>
  <si>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</si>
  <si>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</si>
  <si>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</si>
  <si>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</si>
  <si>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</si>
  <si>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</si>
  <si>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</si>
  <si>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</si>
  <si>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</si>
  <si>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</si>
  <si>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</si>
  <si>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</si>
  <si>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</si>
  <si>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</si>
  <si>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</si>
  <si>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</si>
  <si>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</si>
  <si>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</si>
  <si>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</si>
  <si>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</si>
  <si>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</si>
  <si>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</si>
  <si>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</si>
  <si>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</si>
  <si>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</si>
  <si>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</si>
  <si>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</si>
  <si>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</si>
  <si>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</si>
  <si>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</si>
  <si>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</si>
  <si>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</si>
  <si>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</si>
  <si>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</si>
  <si>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</si>
  <si>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</si>
  <si>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</si>
  <si>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</si>
  <si>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</si>
  <si>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</si>
  <si>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</si>
  <si>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</si>
  <si>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</si>
  <si>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</si>
  <si>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</si>
  <si>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</si>
  <si>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</si>
  <si>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</si>
  <si>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</si>
  <si>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</si>
  <si>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</si>
  <si>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</si>
  <si>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</si>
  <si>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</si>
  <si>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</si>
  <si>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</si>
  <si>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</si>
  <si>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</si>
  <si>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</si>
  <si>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</si>
  <si>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</si>
  <si>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</si>
  <si>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</si>
  <si>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</si>
  <si>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</si>
  <si>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</si>
  <si>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</si>
  <si>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</si>
  <si>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</si>
  <si>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</si>
  <si>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</si>
  <si>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</si>
  <si>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</si>
  <si>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</si>
  <si>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</si>
  <si>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</si>
  <si>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</si>
  <si>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</si>
  <si>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</si>
  <si>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</si>
  <si>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</si>
  <si>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</si>
  <si>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</si>
  <si>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</si>
  <si>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</si>
  <si>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</si>
  <si>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</si>
  <si>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</si>
  <si>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</si>
  <si>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</si>
  <si>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</si>
  <si>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</si>
  <si>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</si>
  <si>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</si>
  <si>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</si>
  <si>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</si>
  <si>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</si>
  <si>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</si>
  <si>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</si>
  <si>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</si>
  <si>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</si>
  <si>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</si>
  <si>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</si>
  <si>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</si>
  <si>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</si>
  <si>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</si>
  <si>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</si>
  <si>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</si>
  <si>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</si>
  <si>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</si>
  <si>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</si>
  <si>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</si>
  <si>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</si>
  <si>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</si>
  <si>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</si>
  <si>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</si>
  <si>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</si>
  <si>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</si>
  <si>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</si>
  <si>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</si>
  <si>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</si>
  <si>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</si>
  <si>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</si>
  <si>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</si>
  <si>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</si>
  <si>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</si>
  <si>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</si>
  <si>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</si>
  <si>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</si>
  <si>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</si>
  <si>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</si>
  <si>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</si>
  <si>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</si>
  <si>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</si>
  <si>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</si>
  <si>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</si>
  <si>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</si>
  <si>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</si>
  <si>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</si>
  <si>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</si>
  <si>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</si>
  <si>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</si>
  <si>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</si>
  <si>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</si>
  <si>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</si>
  <si>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</si>
  <si>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</si>
  <si>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</si>
  <si>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</si>
  <si>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</si>
  <si>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</si>
  <si>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</si>
  <si>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</si>
  <si>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</si>
  <si>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</si>
  <si>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</si>
  <si>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</si>
  <si>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</si>
  <si>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</si>
  <si>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</si>
  <si>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</si>
  <si>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</si>
  <si>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</si>
  <si>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</si>
  <si>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</si>
  <si>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</si>
  <si>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</si>
  <si>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</si>
  <si>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</si>
  <si>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</si>
  <si>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</si>
  <si>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</si>
  <si>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</si>
  <si>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</si>
  <si>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</si>
  <si>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</si>
  <si>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</si>
  <si>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</si>
  <si>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</si>
  <si>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</si>
  <si>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</si>
  <si>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</si>
  <si>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</si>
  <si>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</si>
  <si>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</si>
  <si>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</si>
  <si>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</si>
  <si>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</si>
  <si>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</si>
  <si>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</si>
  <si>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</si>
  <si>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</si>
  <si>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</si>
  <si>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</si>
  <si>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</si>
  <si>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</si>
  <si>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</si>
  <si>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</si>
  <si>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</si>
  <si>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</si>
  <si>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</si>
  <si>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</si>
  <si>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</si>
  <si>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</si>
  <si>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</si>
  <si>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</si>
  <si>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</si>
  <si>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</si>
  <si>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</si>
  <si>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</si>
  <si>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</si>
  <si>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</si>
  <si>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</si>
  <si>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</si>
  <si>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</si>
  <si>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</si>
  <si>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</si>
  <si>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</si>
  <si>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</si>
  <si>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</si>
  <si>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</si>
  <si>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</si>
  <si>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</si>
  <si>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</si>
  <si>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</si>
  <si>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</si>
  <si>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</si>
  <si>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</si>
  <si>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</si>
  <si>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</si>
  <si>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</si>
  <si>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</si>
  <si>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</si>
  <si>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</si>
  <si>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</si>
  <si>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</si>
  <si>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</si>
  <si>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</si>
  <si>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</si>
  <si>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</si>
  <si>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</si>
  <si>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</si>
  <si>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</si>
  <si>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</si>
  <si>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</si>
  <si>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</si>
  <si>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</si>
  <si>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</si>
  <si>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</si>
  <si>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</si>
  <si>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</si>
  <si>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</si>
  <si>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</si>
  <si>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</si>
  <si>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</si>
  <si>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</si>
  <si>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</si>
  <si>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</si>
  <si>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</si>
  <si>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</si>
  <si>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</si>
  <si>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</si>
  <si>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</si>
  <si>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</si>
  <si>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</si>
  <si>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</si>
  <si>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</si>
  <si>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</si>
  <si>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</si>
  <si>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</si>
  <si>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</si>
  <si>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</si>
  <si>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</si>
  <si>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</si>
  <si>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</si>
  <si>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</si>
  <si>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</si>
  <si>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</si>
  <si>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</si>
  <si>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</si>
  <si>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</si>
  <si>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</si>
  <si>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</si>
  <si>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</si>
  <si>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</si>
  <si>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</si>
  <si>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</si>
  <si>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</si>
  <si>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</si>
  <si>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</si>
  <si>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</si>
  <si>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</si>
  <si>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</si>
  <si>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</si>
  <si>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</si>
  <si>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</si>
  <si>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</si>
  <si>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</si>
  <si>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</si>
  <si>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</si>
  <si>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</si>
  <si>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</si>
  <si>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</si>
  <si>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</si>
  <si>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</si>
  <si>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</si>
  <si>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</si>
  <si>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</si>
  <si>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</si>
  <si>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</si>
  <si>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</si>
  <si>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</si>
  <si>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</si>
  <si>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</si>
  <si>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</si>
  <si>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</si>
  <si>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</si>
  <si>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</si>
  <si>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</si>
  <si>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</si>
  <si>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</si>
  <si>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</si>
  <si>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</si>
  <si>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</si>
  <si>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</si>
  <si>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</si>
  <si>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</si>
  <si>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</si>
  <si>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</si>
  <si>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</si>
  <si>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</si>
  <si>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</si>
  <si>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</si>
  <si>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</si>
  <si>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</si>
  <si>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</si>
  <si>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</si>
  <si>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</si>
  <si>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</si>
  <si>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</si>
  <si>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</si>
  <si>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</si>
  <si>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</si>
  <si>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</si>
  <si>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</si>
  <si>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</si>
  <si>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</si>
  <si>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</si>
  <si>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</si>
  <si>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</si>
  <si>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</si>
  <si>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</si>
  <si>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</si>
  <si>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</si>
  <si>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</si>
  <si>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</si>
  <si>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</si>
  <si>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</si>
  <si>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</si>
  <si>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</si>
  <si>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</si>
  <si>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</si>
  <si>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</si>
  <si>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</si>
  <si>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</si>
  <si>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</si>
  <si>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</si>
  <si>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</si>
  <si>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</si>
  <si>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</si>
  <si>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</si>
  <si>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</si>
  <si>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</si>
  <si>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</si>
  <si>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</si>
  <si>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</si>
  <si>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</si>
  <si>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</si>
  <si>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</si>
  <si>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</si>
  <si>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</si>
  <si>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</si>
  <si>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</si>
  <si>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</si>
  <si>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</si>
  <si>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</si>
  <si>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</si>
  <si>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</si>
  <si>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</si>
  <si>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</si>
  <si>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</si>
  <si>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</si>
  <si>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</si>
  <si>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</si>
  <si>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</si>
  <si>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</si>
  <si>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</si>
  <si>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</si>
  <si>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</si>
  <si>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</si>
  <si>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</si>
  <si>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</si>
  <si>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</si>
  <si>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</si>
  <si>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</si>
  <si>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</si>
  <si>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</si>
  <si>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</si>
  <si>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</si>
  <si>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</si>
  <si>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</si>
  <si>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</si>
  <si>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</si>
  <si>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</si>
  <si>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</si>
  <si>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</si>
  <si>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</si>
  <si>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</si>
  <si>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</si>
  <si>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</si>
  <si>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</si>
  <si>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</si>
  <si>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</si>
  <si>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</si>
  <si>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</si>
  <si>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</si>
  <si>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</si>
  <si>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</si>
  <si>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</si>
  <si>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</si>
  <si>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</si>
  <si>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</si>
  <si>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</si>
  <si>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</si>
  <si>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</si>
  <si>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</si>
  <si>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</si>
  <si>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</si>
  <si>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</si>
  <si>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</si>
  <si>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</si>
  <si>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</si>
  <si>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</si>
  <si>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</si>
  <si>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</si>
  <si>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</si>
  <si>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</si>
  <si>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</si>
  <si>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</si>
  <si>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</si>
  <si>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</si>
  <si>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</si>
  <si>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</si>
  <si>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</si>
  <si>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</si>
  <si>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</si>
  <si>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</si>
  <si>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</si>
  <si>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</si>
  <si>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</si>
  <si>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</si>
  <si>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</si>
  <si>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</si>
  <si>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</si>
  <si>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</si>
  <si>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</si>
  <si>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</si>
  <si>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</si>
  <si>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</si>
  <si>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</si>
  <si>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</si>
  <si>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</si>
  <si>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</si>
  <si>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</si>
  <si>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</si>
  <si>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</si>
  <si>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</si>
  <si>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</si>
  <si>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</si>
  <si>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</si>
  <si>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</si>
  <si>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</si>
  <si>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</si>
  <si>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</si>
  <si>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</si>
  <si>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</si>
  <si>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</si>
  <si>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</si>
  <si>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</si>
  <si>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</si>
  <si>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</si>
  <si>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</si>
  <si>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</si>
  <si>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</si>
  <si>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</si>
  <si>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</si>
  <si>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</si>
  <si>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</si>
  <si>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</si>
  <si>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</si>
  <si>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</si>
  <si>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</si>
  <si>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</si>
  <si>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</si>
  <si>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</si>
  <si>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</si>
  <si>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</si>
  <si>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</si>
  <si>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</si>
  <si>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</si>
  <si>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</si>
  <si>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</si>
  <si>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</si>
  <si>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</si>
  <si>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</si>
  <si>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</si>
  <si>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</si>
  <si>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</si>
  <si>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</si>
  <si>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</si>
  <si>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</si>
  <si>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</si>
  <si>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</si>
  <si>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</si>
  <si>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</si>
  <si>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</si>
  <si>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</si>
  <si>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</si>
  <si>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</si>
  <si>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</si>
  <si>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</si>
  <si>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</si>
  <si>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</si>
  <si>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</si>
  <si>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</si>
  <si>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</si>
  <si>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</si>
  <si>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</si>
  <si>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</si>
  <si>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</si>
  <si>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</si>
  <si>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</si>
  <si>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</si>
  <si>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</si>
  <si>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</si>
  <si>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</si>
  <si>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</si>
  <si>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</si>
  <si>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</si>
  <si>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</si>
  <si>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</si>
  <si>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</si>
  <si>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</si>
  <si>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</si>
  <si>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</si>
  <si>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</si>
  <si>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</si>
  <si>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</si>
  <si>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</si>
  <si>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</si>
  <si>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</si>
  <si>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</si>
  <si>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</si>
  <si>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</si>
  <si>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</si>
  <si>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</si>
  <si>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</si>
  <si>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</si>
  <si>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</si>
  <si>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</si>
  <si>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</si>
  <si>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</si>
  <si>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</si>
  <si>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</si>
  <si>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</si>
  <si>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</si>
  <si>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</si>
  <si>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</si>
  <si>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</si>
  <si>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</si>
  <si>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</si>
  <si>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</si>
  <si>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</si>
  <si>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</si>
  <si>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</si>
  <si>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</si>
  <si>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</si>
  <si>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</si>
  <si>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</si>
  <si>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</si>
  <si>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</si>
  <si>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</si>
  <si>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</si>
  <si>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</si>
  <si>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</si>
  <si>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</si>
  <si>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</si>
  <si>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</si>
  <si>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</si>
  <si>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</si>
  <si>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</si>
  <si>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</si>
  <si>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</si>
  <si>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</si>
  <si>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</si>
  <si>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</si>
  <si>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</si>
  <si>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</si>
  <si>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</si>
  <si>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</si>
  <si>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</si>
  <si>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</si>
  <si>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</si>
  <si>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</si>
  <si>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</si>
  <si>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</si>
  <si>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</si>
  <si>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</si>
  <si>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</si>
  <si>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</si>
  <si>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</si>
  <si>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</si>
  <si>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</si>
  <si>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</si>
  <si>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</si>
  <si>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</si>
  <si>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</si>
  <si>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</si>
  <si>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</si>
  <si>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</si>
  <si>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</si>
  <si>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</si>
  <si>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</si>
  <si>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</si>
  <si>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</si>
  <si>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</si>
  <si>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</si>
  <si>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</si>
  <si>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</si>
  <si>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</si>
  <si>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</si>
  <si>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</si>
  <si>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</si>
  <si>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</si>
  <si>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</si>
  <si>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</si>
  <si>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</si>
  <si>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</si>
  <si>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</si>
  <si>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</si>
  <si>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</si>
  <si>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</si>
  <si>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</si>
  <si>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</si>
  <si>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</si>
  <si>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</si>
  <si>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</si>
  <si>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</si>
  <si>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</si>
  <si>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</si>
  <si>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</si>
  <si>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</si>
  <si>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</si>
  <si>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</si>
  <si>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</si>
  <si>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</si>
  <si>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</si>
  <si>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</si>
  <si>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</si>
  <si>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</si>
  <si>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</si>
  <si>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</si>
  <si>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</si>
  <si>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</si>
  <si>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</si>
  <si>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</si>
  <si>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</si>
  <si>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</si>
  <si>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</si>
  <si>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</si>
  <si>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</si>
  <si>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</si>
  <si>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</si>
  <si>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</si>
  <si>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</si>
  <si>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</si>
  <si>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</si>
  <si>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</si>
  <si>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</si>
  <si>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</si>
  <si>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</si>
  <si>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</si>
  <si>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</si>
  <si>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</si>
  <si>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</si>
  <si>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</si>
  <si>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</si>
  <si>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</si>
  <si>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</si>
  <si>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</si>
  <si>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</si>
  <si>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</si>
  <si>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</si>
  <si>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</si>
  <si>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</si>
  <si>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</si>
  <si>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</si>
  <si>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</si>
  <si>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</si>
  <si>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</si>
  <si>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</si>
  <si>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</si>
  <si>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</si>
  <si>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</si>
  <si>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</si>
  <si>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</si>
  <si>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</si>
  <si>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</si>
  <si>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</si>
  <si>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</si>
  <si>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</si>
  <si>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</si>
  <si>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</si>
  <si>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</si>
  <si>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</si>
  <si>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</si>
  <si>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</si>
  <si>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</si>
  <si>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</si>
  <si>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</si>
  <si>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</si>
  <si>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</si>
  <si>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</si>
  <si>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</si>
  <si>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</si>
  <si>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</si>
  <si>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</si>
  <si>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</si>
  <si>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</si>
  <si>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</si>
  <si>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</si>
  <si>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</si>
  <si>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</si>
  <si>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</si>
  <si>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</si>
  <si>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</si>
  <si>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</si>
  <si>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</si>
  <si>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</si>
  <si>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</si>
  <si>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</si>
  <si>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</si>
  <si>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</si>
  <si>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</si>
  <si>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</si>
  <si>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</si>
  <si>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</si>
  <si>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</si>
  <si>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</si>
  <si>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</si>
  <si>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</si>
  <si>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</si>
  <si>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</si>
  <si>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</si>
  <si>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</si>
  <si>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</si>
  <si>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</si>
  <si>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</si>
  <si>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</si>
  <si>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</si>
  <si>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</si>
  <si>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</si>
  <si>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</si>
  <si>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</si>
  <si>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</si>
  <si>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</si>
  <si>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</si>
  <si>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</si>
  <si>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</si>
  <si>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</si>
  <si>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</si>
  <si>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</si>
  <si>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</si>
  <si>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</si>
  <si>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</si>
  <si>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</si>
  <si>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</si>
  <si>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</si>
  <si>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</si>
  <si>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</si>
  <si>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</si>
  <si>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</si>
  <si>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</si>
  <si>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</si>
  <si>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</si>
  <si>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</si>
  <si>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</si>
  <si>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</si>
  <si>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</si>
  <si>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</si>
  <si>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</si>
  <si>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</si>
  <si>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</si>
  <si>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</si>
  <si>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</si>
  <si>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</si>
  <si>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</si>
  <si>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</si>
  <si>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</si>
  <si>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</si>
  <si>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</si>
  <si>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</si>
  <si>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</si>
  <si>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</si>
  <si>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</si>
  <si>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</si>
  <si>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</si>
  <si>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</si>
  <si>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</si>
  <si>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</si>
  <si>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</si>
  <si>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</si>
  <si>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</si>
  <si>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</si>
  <si>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</si>
  <si>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</si>
  <si>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</si>
  <si>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</si>
  <si>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</si>
  <si>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</si>
  <si>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</si>
  <si>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</si>
  <si>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</si>
  <si>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</si>
  <si>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</si>
  <si>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</si>
  <si>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</si>
  <si>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</si>
  <si>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</si>
  <si>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</si>
  <si>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</si>
  <si>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</si>
  <si>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</si>
  <si>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</si>
  <si>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</si>
  <si>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</si>
  <si>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</si>
  <si>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</si>
  <si>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</si>
  <si>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</si>
  <si>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</si>
  <si>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</si>
  <si>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</si>
  <si>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</si>
  <si>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</si>
  <si>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</si>
  <si>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</si>
  <si>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</si>
  <si>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</si>
  <si>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</si>
  <si>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</si>
  <si>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</si>
  <si>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</si>
  <si>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</si>
  <si>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</si>
  <si>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</si>
  <si>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</si>
  <si>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</si>
  <si>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</si>
  <si>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</si>
  <si>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</si>
  <si>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</si>
  <si>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</si>
  <si>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</si>
  <si>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</si>
  <si>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</si>
  <si>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</si>
  <si>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</si>
  <si>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</si>
  <si>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</si>
  <si>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</si>
  <si>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</si>
  <si>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</si>
  <si>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</si>
  <si>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</si>
  <si>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</si>
  <si>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</si>
  <si>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</si>
  <si>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</si>
  <si>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</si>
  <si>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</si>
  <si>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</si>
  <si>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</si>
  <si>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</si>
  <si>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</si>
  <si>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</si>
  <si>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</si>
  <si>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</si>
  <si>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</si>
  <si>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</si>
  <si>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</si>
  <si>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</si>
  <si>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</si>
  <si>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</si>
  <si>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</si>
  <si>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</si>
  <si>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</si>
  <si>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</si>
  <si>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</si>
  <si>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</si>
  <si>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</si>
  <si>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</si>
  <si>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</si>
  <si>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</si>
  <si>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</si>
  <si>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</si>
  <si>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</si>
  <si>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</si>
  <si>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</si>
  <si>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</si>
  <si>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</si>
  <si>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</si>
  <si>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</si>
  <si>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</si>
  <si>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</si>
  <si>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</si>
  <si>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</si>
  <si>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</si>
  <si>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</si>
  <si>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</si>
  <si>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</si>
  <si>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</si>
  <si>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</si>
  <si>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</si>
  <si>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</si>
  <si>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</si>
  <si>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</si>
  <si>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</si>
  <si>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</si>
  <si>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</si>
  <si>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</si>
  <si>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</si>
  <si>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</si>
  <si>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</si>
  <si>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</si>
  <si>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</si>
  <si>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</si>
  <si>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</si>
  <si>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</si>
  <si>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</si>
  <si>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</si>
  <si>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</si>
  <si>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</si>
  <si>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</si>
  <si>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</si>
  <si>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</si>
  <si>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</si>
  <si>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</si>
  <si>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</si>
  <si>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</si>
  <si>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</si>
  <si>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</si>
  <si>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</si>
  <si>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</si>
  <si>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</si>
  <si>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</si>
  <si>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</si>
  <si>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</si>
  <si>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</si>
  <si>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</si>
  <si>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</si>
  <si>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</si>
  <si>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</si>
  <si>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</si>
  <si>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</si>
  <si>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</si>
  <si>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</si>
  <si>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</si>
  <si>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</si>
  <si>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</si>
  <si>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</si>
  <si>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</si>
  <si>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</si>
  <si>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</si>
  <si>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</si>
  <si>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</si>
  <si>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</si>
  <si>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</si>
  <si>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</si>
  <si>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</si>
  <si>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</si>
  <si>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</si>
  <si>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</si>
  <si>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</si>
  <si>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</si>
  <si>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</si>
  <si>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</si>
  <si>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</si>
  <si>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</si>
  <si>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</si>
  <si>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</si>
  <si>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</si>
  <si>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</si>
  <si>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</si>
  <si>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</si>
  <si>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</si>
  <si>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</si>
  <si>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</si>
  <si>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</si>
  <si>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</si>
  <si>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</si>
  <si>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</si>
  <si>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</si>
  <si>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</si>
  <si>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</si>
  <si>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</si>
  <si>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</si>
  <si>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</si>
  <si>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</si>
  <si>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</si>
  <si>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</si>
  <si>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</si>
  <si>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</si>
  <si>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</si>
  <si>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</si>
  <si>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</si>
  <si>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</si>
  <si>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</si>
  <si>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</si>
  <si>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</si>
  <si>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</si>
  <si>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</si>
  <si>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</si>
  <si>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</si>
  <si>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</si>
  <si>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</si>
  <si>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</si>
  <si>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</si>
  <si>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</si>
  <si>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</si>
  <si>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</si>
  <si>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</si>
  <si>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</si>
  <si>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</si>
  <si>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</si>
  <si>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</si>
  <si>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</si>
  <si>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</si>
  <si>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</si>
  <si>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</si>
  <si>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</si>
  <si>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</si>
  <si>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</si>
  <si>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</si>
  <si>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</si>
  <si>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</si>
  <si>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</si>
  <si>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</si>
  <si>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</si>
  <si>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</si>
  <si>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</si>
  <si>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</si>
  <si>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</si>
  <si>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</si>
  <si>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</si>
  <si>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</si>
  <si>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</si>
  <si>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</si>
  <si>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</si>
  <si>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</si>
  <si>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</si>
  <si>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</si>
  <si>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</si>
  <si>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</si>
  <si>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</si>
  <si>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</si>
  <si>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</si>
  <si>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</si>
  <si>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</si>
  <si>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</si>
  <si>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</si>
  <si>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</si>
  <si>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</si>
  <si>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</si>
  <si>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</si>
  <si>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</si>
  <si>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</si>
  <si>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</si>
  <si>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</si>
  <si>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</si>
  <si>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</si>
  <si>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</si>
  <si>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</si>
  <si>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</si>
  <si>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</si>
  <si>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</si>
  <si>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</si>
  <si>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</si>
  <si>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</si>
  <si>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</si>
  <si>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</si>
  <si>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</si>
  <si>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</si>
  <si>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</si>
  <si>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</si>
  <si>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</si>
  <si>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</si>
  <si>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</si>
  <si>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</si>
  <si>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</si>
  <si>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</si>
  <si>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</si>
  <si>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</si>
  <si>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</si>
  <si>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</si>
  <si>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</si>
  <si>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</si>
  <si>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</si>
  <si>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</si>
  <si>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</si>
  <si>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</si>
  <si>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</si>
  <si>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</si>
  <si>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</si>
  <si>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</si>
  <si>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</si>
  <si>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</si>
  <si>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</si>
  <si>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</si>
  <si>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</si>
  <si>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</si>
  <si>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</si>
  <si>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</si>
  <si>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</si>
  <si>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</si>
  <si>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</si>
  <si>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</si>
  <si>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</si>
  <si>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</si>
  <si>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</si>
  <si>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</si>
  <si>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</si>
  <si>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</si>
  <si>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</si>
  <si>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</si>
  <si>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</si>
  <si>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</si>
  <si>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</si>
  <si>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</si>
  <si>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</si>
  <si>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</si>
  <si>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</si>
  <si>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</si>
  <si>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</si>
  <si>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</si>
  <si>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</si>
  <si>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</si>
  <si>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</si>
  <si>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</si>
  <si>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</si>
  <si>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</si>
  <si>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</si>
  <si>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</si>
  <si>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</si>
  <si>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</si>
  <si>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</si>
  <si>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</si>
  <si>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</si>
  <si>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</si>
  <si>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</si>
  <si>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</si>
  <si>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</si>
  <si>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</si>
  <si>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</si>
  <si>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</si>
  <si>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</si>
  <si>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</si>
  <si>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</si>
  <si>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</si>
  <si>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</si>
  <si>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</si>
  <si>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</si>
  <si>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</si>
  <si>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</si>
  <si>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</si>
  <si>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</si>
  <si>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</si>
  <si>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</si>
  <si>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</si>
  <si>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</si>
  <si>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</si>
  <si>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</si>
  <si>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</si>
  <si>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</si>
  <si>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</si>
  <si>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</si>
  <si>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</si>
  <si>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</si>
  <si>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</si>
  <si>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</si>
  <si>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</si>
  <si>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</si>
  <si>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</si>
  <si>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</si>
  <si>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</si>
  <si>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</si>
  <si>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</si>
  <si>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</si>
  <si>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</si>
  <si>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</si>
  <si>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</si>
  <si>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</si>
  <si>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</si>
  <si>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</si>
  <si>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</si>
  <si>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</si>
  <si>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</si>
  <si>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</si>
  <si>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</si>
  <si>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</si>
  <si>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</si>
  <si>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</si>
  <si>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</si>
  <si>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</si>
  <si>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</si>
  <si>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</si>
  <si>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</si>
  <si>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</si>
  <si>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</si>
  <si>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</si>
  <si>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</si>
  <si>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</si>
  <si>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</si>
  <si>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</si>
  <si>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</si>
  <si>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</si>
  <si>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</si>
  <si>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</si>
  <si>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</si>
  <si>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</si>
  <si>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</si>
  <si>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</si>
  <si>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</si>
  <si>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</si>
  <si>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</si>
  <si>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</si>
  <si>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</si>
  <si>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</si>
  <si>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</si>
  <si>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</si>
  <si>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</si>
  <si>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</si>
  <si>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</si>
  <si>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</si>
  <si>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</si>
  <si>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</si>
  <si>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</si>
  <si>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</si>
  <si>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</si>
  <si>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</si>
  <si>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</si>
  <si>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</si>
  <si>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</si>
  <si>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</si>
  <si>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</si>
  <si>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</si>
  <si>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</si>
  <si>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</si>
  <si>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</si>
  <si>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</si>
  <si>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</si>
  <si>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</si>
  <si>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</si>
  <si>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</si>
  <si>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</si>
  <si>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</si>
  <si>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</si>
  <si>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</si>
  <si>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</si>
  <si>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</si>
  <si>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</si>
  <si>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</si>
  <si>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</si>
  <si>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</si>
  <si>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</si>
  <si>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</si>
  <si>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</si>
  <si>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</si>
  <si>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</si>
  <si>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</si>
  <si>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</si>
  <si>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</si>
  <si>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</si>
  <si>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</si>
  <si>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</si>
  <si>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</si>
  <si>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</si>
  <si>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</si>
  <si>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</si>
  <si>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</si>
  <si>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</si>
  <si>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</si>
  <si>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</si>
  <si>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</si>
  <si>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</si>
  <si>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</si>
  <si>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</si>
  <si>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</si>
  <si>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</si>
  <si>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</si>
  <si>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</si>
  <si>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</si>
  <si>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</si>
  <si>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</si>
  <si>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</si>
  <si>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</si>
  <si>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</si>
  <si>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</si>
  <si>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</si>
  <si>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</si>
  <si>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</si>
  <si>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</si>
  <si>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</si>
  <si>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</si>
  <si>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</si>
  <si>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</si>
  <si>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</si>
  <si>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</si>
  <si>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</si>
  <si>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</si>
  <si>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</si>
  <si>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</si>
  <si>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</si>
  <si>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</si>
  <si>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</si>
  <si>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</si>
  <si>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</si>
  <si>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</si>
  <si>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</si>
  <si>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</si>
  <si>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</si>
  <si>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</si>
  <si>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</si>
  <si>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</si>
  <si>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</si>
  <si>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</si>
  <si>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</si>
  <si>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</si>
  <si>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</si>
  <si>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</si>
  <si>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</si>
  <si>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</si>
  <si>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</si>
  <si>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</si>
  <si>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</si>
  <si>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</si>
  <si>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</si>
  <si>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</si>
  <si>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</si>
  <si>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</si>
  <si>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</si>
  <si>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</si>
  <si>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</si>
  <si>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</si>
  <si>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</si>
  <si>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</si>
  <si>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</si>
  <si>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</si>
  <si>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</si>
  <si>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</si>
  <si>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</si>
  <si>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</si>
  <si>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</si>
  <si>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</si>
  <si>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</si>
  <si>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</si>
  <si>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</si>
  <si>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</si>
  <si>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</si>
  <si>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</si>
  <si>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</si>
  <si>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</si>
  <si>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</si>
  <si>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</si>
  <si>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</si>
  <si>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</si>
  <si>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</si>
  <si>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</si>
  <si>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</si>
  <si>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</si>
  <si>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</si>
  <si>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</si>
  <si>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</si>
  <si>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</si>
  <si>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</si>
  <si>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</si>
  <si>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</si>
  <si>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</si>
  <si>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</si>
  <si>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</si>
  <si>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</si>
  <si>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</si>
  <si>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</si>
  <si>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</si>
  <si>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</si>
  <si>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</si>
  <si>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</si>
  <si>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</si>
  <si>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</si>
  <si>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</si>
  <si>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</si>
  <si>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</si>
  <si>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</si>
  <si>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</si>
  <si>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</si>
  <si>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</si>
  <si>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</si>
  <si>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</si>
  <si>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Will</t>
  </si>
  <si>
    <t>Wilco Area Career Center</t>
  </si>
  <si>
    <t>500 Wilco Boulevard</t>
  </si>
  <si>
    <t>Romeoville</t>
  </si>
  <si>
    <t>jramirez@wilco.k12.il.us</t>
  </si>
  <si>
    <t>Elizabeth Kaufman</t>
  </si>
  <si>
    <t>ekaufman@wilco.k12.il.us</t>
  </si>
  <si>
    <t>815-838-6941</t>
  </si>
  <si>
    <t>815-838-1163</t>
  </si>
  <si>
    <t>PDF in Opinion Page with signature</t>
  </si>
  <si>
    <t>Series 2016 Debt Certificates</t>
  </si>
  <si>
    <t>See Below</t>
  </si>
  <si>
    <t>IL School Cooperative</t>
  </si>
  <si>
    <t>Line 19 - Insurance - Health Insurance - Lincolnway Area Affiliation, Liability Insurance - ESIC, Workers Comp. Insurance - SELF</t>
  </si>
  <si>
    <t>Line 13 - Grundy Area Vocational Center; JJC, The Nail Inn, Champions Beauty-Barber University, Professional Choice, Franklin Cosmetology, Local 150 Apprenticeship</t>
  </si>
  <si>
    <t>Page 11, Acct. #1999 - Other Local Revenues - Ins. Reimb., TRS Refund, Scrap income, other misc. reimb.</t>
  </si>
  <si>
    <t>ED - FISCAL SERVICES - PURCHASED SERVCES</t>
  </si>
  <si>
    <t>10-2520-300</t>
  </si>
  <si>
    <t>SPECIALIZED DATA SYSTEMS</t>
  </si>
  <si>
    <t>ED - O&amp;M PLANT - PURCHASED SERVICES</t>
  </si>
  <si>
    <t>10-2540-300</t>
  </si>
  <si>
    <t>CHAPMAN &amp; CUTLER, LLP</t>
  </si>
  <si>
    <t>D&amp;I ELECTRONICS</t>
  </si>
  <si>
    <t>ECOLAB PEST ELIMINATION</t>
  </si>
  <si>
    <t>ESIC</t>
  </si>
  <si>
    <t>SELF</t>
  </si>
  <si>
    <t>TYCO INTEGRATED SECURITY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</si>
</sst>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 fontId="54" fillId="0" borderId="2" xfId="9" applyNumberFormat="1" applyFont="1" applyBorder="1" applyAlignment="1" applyProtection="1">
      <alignment horizontal="right" vertical="center"/>
      <protection locked="0"/>
    </xf>
    <xf numFmtId="49" fontId="132" fillId="0" borderId="107" xfId="18"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readingOrder="1"/>
      <protection locked="0"/>
    </xf>
    <xf numFmtId="0" fontId="12" fillId="0" borderId="128" xfId="0"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1</xdr:col>
          <xdr:colOff>904875</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3" t="s">
        <v>405</v>
      </c>
      <c r="J1" s="2024"/>
      <c r="K1" s="2024"/>
      <c r="L1" s="2024"/>
      <c r="M1" s="2024"/>
      <c r="N1" s="2024"/>
      <c r="O1" s="2024"/>
      <c r="P1" s="2024"/>
      <c r="Q1" s="2024"/>
      <c r="R1" s="2024"/>
      <c r="S1" s="2024"/>
    </row>
    <row r="2" spans="1:28" ht="12" customHeight="1" x14ac:dyDescent="0.2">
      <c r="A2" s="47" t="s">
        <v>1991</v>
      </c>
      <c r="D2" s="48"/>
      <c r="I2" s="2025" t="s">
        <v>979</v>
      </c>
      <c r="J2" s="2024"/>
      <c r="K2" s="2024"/>
      <c r="L2" s="2024"/>
      <c r="M2" s="2024"/>
      <c r="N2" s="2024"/>
      <c r="O2" s="2024"/>
      <c r="P2" s="2024"/>
      <c r="Q2" s="2024"/>
      <c r="R2" s="2024"/>
      <c r="S2" s="2024"/>
    </row>
    <row r="3" spans="1:28" ht="12" customHeight="1" x14ac:dyDescent="0.2">
      <c r="A3" s="155" t="s">
        <v>1943</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c r="C5" s="26" t="s">
        <v>910</v>
      </c>
      <c r="D5" s="84"/>
      <c r="E5" s="84"/>
      <c r="H5" s="38"/>
      <c r="I5" s="2032" t="s">
        <v>680</v>
      </c>
      <c r="J5" s="1974"/>
      <c r="K5" s="1974"/>
      <c r="L5" s="1974"/>
      <c r="M5" s="1974"/>
      <c r="N5" s="1974"/>
      <c r="O5" s="1974"/>
      <c r="P5" s="1974"/>
      <c r="Q5" s="1974"/>
      <c r="R5" s="1974"/>
      <c r="S5" s="1974"/>
    </row>
    <row r="6" spans="1:28" ht="14.1" customHeight="1" x14ac:dyDescent="0.2">
      <c r="B6" s="104" t="s">
        <v>2073</v>
      </c>
      <c r="C6" s="26" t="s">
        <v>911</v>
      </c>
      <c r="D6" s="84"/>
      <c r="E6" s="84"/>
      <c r="I6" s="2031" t="s">
        <v>883</v>
      </c>
      <c r="J6" s="1974"/>
      <c r="K6" s="1974"/>
      <c r="L6" s="1974"/>
      <c r="M6" s="1974"/>
      <c r="N6" s="1974"/>
      <c r="O6" s="1974"/>
      <c r="P6" s="1974"/>
      <c r="Q6" s="1974"/>
      <c r="R6" s="1974"/>
      <c r="S6" s="1974"/>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2073</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56000000040</v>
      </c>
      <c r="B13" s="1991"/>
      <c r="C13" s="1991"/>
      <c r="D13" s="1991"/>
      <c r="E13" s="1991"/>
      <c r="F13" s="1991"/>
      <c r="G13" s="1991"/>
      <c r="H13" s="1992"/>
      <c r="I13" s="31"/>
      <c r="J13" s="30"/>
      <c r="K13" s="28"/>
      <c r="L13" s="30"/>
      <c r="M13" s="30"/>
      <c r="N13" s="30"/>
      <c r="O13" s="30"/>
      <c r="P13" s="30"/>
      <c r="Q13" s="30"/>
      <c r="R13" s="30"/>
      <c r="S13" s="30"/>
      <c r="T13" s="1995" t="s">
        <v>2064</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2074</v>
      </c>
      <c r="B15" s="1993"/>
      <c r="C15" s="1993"/>
      <c r="D15" s="1993"/>
      <c r="E15" s="1993"/>
      <c r="F15" s="1993"/>
      <c r="G15" s="1993"/>
      <c r="H15" s="1994"/>
      <c r="T15" s="1999" t="s">
        <v>2065</v>
      </c>
      <c r="U15" s="2000"/>
      <c r="V15" s="2000"/>
      <c r="W15" s="2000"/>
      <c r="X15" s="2000"/>
      <c r="Y15" s="2001"/>
      <c r="Z15" s="2001"/>
      <c r="AA15" s="200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0" t="s">
        <v>2075</v>
      </c>
      <c r="B17" s="2021"/>
      <c r="C17" s="2021"/>
      <c r="D17" s="2021"/>
      <c r="E17" s="2021"/>
      <c r="F17" s="2021"/>
      <c r="G17" s="2021"/>
      <c r="H17" s="2022"/>
      <c r="T17" s="2007" t="s">
        <v>2066</v>
      </c>
      <c r="U17" s="2008"/>
      <c r="V17" s="2008"/>
      <c r="W17" s="2008"/>
      <c r="X17" s="2008"/>
      <c r="Y17" s="2008"/>
      <c r="Z17" s="2008"/>
      <c r="AA17" s="2009"/>
    </row>
    <row r="18" spans="1:27" ht="13.5" customHeight="1" x14ac:dyDescent="0.2">
      <c r="A18" s="85" t="s">
        <v>530</v>
      </c>
      <c r="B18" s="76"/>
      <c r="C18" s="72"/>
      <c r="D18" s="76"/>
      <c r="E18" s="76"/>
      <c r="F18" s="76"/>
      <c r="G18" s="76"/>
      <c r="H18" s="56"/>
      <c r="I18" s="2017" t="s">
        <v>676</v>
      </c>
      <c r="J18" s="2018"/>
      <c r="K18" s="2018"/>
      <c r="L18" s="2018"/>
      <c r="M18" s="2018"/>
      <c r="N18" s="2018"/>
      <c r="O18" s="2018"/>
      <c r="P18" s="2018"/>
      <c r="Q18" s="2018"/>
      <c r="R18" s="2018"/>
      <c r="S18" s="2019"/>
      <c r="T18" s="85" t="s">
        <v>711</v>
      </c>
      <c r="U18" s="51"/>
      <c r="V18" s="72"/>
      <c r="W18" s="50"/>
      <c r="X18" s="85" t="s">
        <v>266</v>
      </c>
      <c r="Y18" s="81"/>
      <c r="Z18" s="159" t="s">
        <v>677</v>
      </c>
      <c r="AA18" s="46"/>
    </row>
    <row r="19" spans="1:27" ht="13.5" customHeight="1" x14ac:dyDescent="0.2">
      <c r="A19" s="1988" t="s">
        <v>2076</v>
      </c>
      <c r="B19" s="1989"/>
      <c r="C19" s="1989"/>
      <c r="D19" s="1989"/>
      <c r="E19" s="1989"/>
      <c r="F19" s="1989"/>
      <c r="G19" s="1989"/>
      <c r="H19" s="1987"/>
      <c r="I19" s="30"/>
      <c r="J19" s="99"/>
      <c r="K19" s="40"/>
      <c r="L19" s="38"/>
      <c r="M19" s="112" t="s">
        <v>315</v>
      </c>
      <c r="P19" s="27"/>
      <c r="Q19" s="27"/>
      <c r="R19" s="27"/>
      <c r="S19" s="31"/>
      <c r="T19" s="1988" t="s">
        <v>2067</v>
      </c>
      <c r="U19" s="1986"/>
      <c r="V19" s="1986"/>
      <c r="W19" s="1987"/>
      <c r="X19" s="2005" t="s">
        <v>2068</v>
      </c>
      <c r="Y19" s="2006"/>
      <c r="Z19" s="2003">
        <v>60450</v>
      </c>
      <c r="AA19" s="200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2077</v>
      </c>
      <c r="B21" s="1986"/>
      <c r="C21" s="1986"/>
      <c r="D21" s="1986"/>
      <c r="E21" s="1986"/>
      <c r="F21" s="1986"/>
      <c r="G21" s="1986"/>
      <c r="H21" s="1987"/>
      <c r="I21" s="2013" t="s">
        <v>678</v>
      </c>
      <c r="J21" s="1974"/>
      <c r="K21" s="1974"/>
      <c r="L21" s="1974"/>
      <c r="M21" s="1974"/>
      <c r="N21" s="1974"/>
      <c r="O21" s="1974"/>
      <c r="P21" s="1974"/>
      <c r="Q21" s="1974"/>
      <c r="R21" s="1974"/>
      <c r="S21" s="1975"/>
      <c r="T21" s="1953" t="s">
        <v>2069</v>
      </c>
      <c r="U21" s="1954"/>
      <c r="V21" s="1954"/>
      <c r="W21" s="1954"/>
      <c r="X21" s="1967" t="s">
        <v>2070</v>
      </c>
      <c r="Y21" s="1968"/>
      <c r="Z21" s="1968"/>
      <c r="AA21" s="1969"/>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10" t="s">
        <v>2078</v>
      </c>
      <c r="B23" s="2011"/>
      <c r="C23" s="2011"/>
      <c r="D23" s="2011"/>
      <c r="E23" s="2011"/>
      <c r="F23" s="2011"/>
      <c r="G23" s="2011"/>
      <c r="H23" s="2012"/>
      <c r="T23" s="1948" t="s">
        <v>2071</v>
      </c>
      <c r="U23" s="1949"/>
      <c r="V23" s="1949"/>
      <c r="W23" s="1949"/>
      <c r="X23" s="1964">
        <v>44530</v>
      </c>
      <c r="Y23" s="1965"/>
      <c r="Z23" s="1965"/>
      <c r="AA23" s="1966"/>
    </row>
    <row r="24" spans="1:27" ht="14.1" customHeight="1" x14ac:dyDescent="0.2">
      <c r="A24" s="88" t="s">
        <v>677</v>
      </c>
      <c r="B24" s="49"/>
      <c r="C24" s="49"/>
      <c r="D24" s="49"/>
      <c r="E24" s="49"/>
      <c r="F24" s="49"/>
      <c r="G24" s="49"/>
      <c r="H24" s="61"/>
      <c r="J24" s="2053" t="str">
        <f>IF(B5="x",IF(AUDITCHECK!D29="AFR form Incomplete.","",IF(AUDITCHECK!D29="Deficit reduction plan is required.","School District must complete a deficit reduction plan in the 2019-2020 Budget",)),"")</f>
        <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5">
        <v>60441</v>
      </c>
      <c r="B25" s="1986"/>
      <c r="C25" s="1986"/>
      <c r="D25" s="1986"/>
      <c r="E25" s="1986"/>
      <c r="F25" s="1986"/>
      <c r="G25" s="1986"/>
      <c r="H25" s="1987"/>
      <c r="I25" s="113"/>
      <c r="J25" s="2055"/>
      <c r="K25" s="2055"/>
      <c r="L25" s="2055"/>
      <c r="M25" s="2055"/>
      <c r="N25" s="2055"/>
      <c r="O25" s="2055"/>
      <c r="P25" s="2055"/>
      <c r="Q25" s="2055"/>
      <c r="R25" s="2055"/>
      <c r="S25" s="2056"/>
      <c r="T25" s="1945" t="s">
        <v>2072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2073</v>
      </c>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0" t="s">
        <v>2079</v>
      </c>
      <c r="B38" s="2021"/>
      <c r="C38" s="2021"/>
      <c r="D38" s="2021"/>
      <c r="E38" s="2021"/>
      <c r="F38" s="1986"/>
      <c r="G38" s="1986"/>
      <c r="H38" s="1987"/>
      <c r="I38" s="2040"/>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2080</v>
      </c>
      <c r="B40" s="2048"/>
      <c r="C40" s="2049"/>
      <c r="D40" s="2049"/>
      <c r="E40" s="2049"/>
      <c r="F40" s="2050"/>
      <c r="G40" s="2050"/>
      <c r="H40" s="2051"/>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2081</v>
      </c>
      <c r="B42" s="2038"/>
      <c r="C42" s="2039"/>
      <c r="D42" s="2052" t="s">
        <v>2082</v>
      </c>
      <c r="E42" s="2038"/>
      <c r="F42" s="2038"/>
      <c r="G42" s="2038"/>
      <c r="H42" s="2039"/>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1802</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3" colorId="8" zoomScale="90" zoomScaleNormal="9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1802</v>
      </c>
      <c r="B2" s="2206"/>
      <c r="C2" s="1884" t="s">
        <v>1954</v>
      </c>
      <c r="D2" s="723" t="s">
        <v>1955</v>
      </c>
      <c r="E2" s="723" t="s">
        <v>1956</v>
      </c>
      <c r="F2" s="1884" t="s">
        <v>1957</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1937" t="s">
        <v>2084</v>
      </c>
      <c r="B31" s="1938">
        <v>42527</v>
      </c>
      <c r="C31" s="1939">
        <v>2100000</v>
      </c>
      <c r="D31" s="1940">
        <v>6</v>
      </c>
      <c r="E31" s="734">
        <v>1740000</v>
      </c>
      <c r="F31" s="734"/>
      <c r="G31" s="734"/>
      <c r="H31" s="734">
        <v>195000</v>
      </c>
      <c r="I31" s="1756">
        <f>((E31+F31)-H31)+G31</f>
        <v>1545000</v>
      </c>
      <c r="J31" s="734">
        <v>1545000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2100000</v>
      </c>
      <c r="D49" s="745"/>
      <c r="E49" s="1756">
        <f t="shared" ref="E49:J49" si="2">SUM(E31:E48)</f>
        <v>1740000</v>
      </c>
      <c r="F49" s="1756">
        <f t="shared" si="2"/>
        <v>0</v>
      </c>
      <c r="G49" s="1756">
        <f t="shared" si="2"/>
        <v>0</v>
      </c>
      <c r="H49" s="1756">
        <f t="shared" si="2"/>
        <v>195000</v>
      </c>
      <c r="I49" s="1756">
        <f t="shared" si="2"/>
        <v>1545000</v>
      </c>
      <c r="J49" s="1756">
        <f t="shared" si="2"/>
        <v>1545000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1812</v>
      </c>
      <c r="K2" s="762" t="s">
        <v>138</v>
      </c>
    </row>
    <row r="3" spans="1:11" x14ac:dyDescent="0.2">
      <c r="A3" s="2227" t="s">
        <v>1962</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1813</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0</v>
      </c>
      <c r="I12" s="1758">
        <f>SUM(I5:I11)</f>
        <v>0</v>
      </c>
      <c r="J12" s="1758">
        <f>SUM(J5:J11)</f>
        <v>0</v>
      </c>
      <c r="K12" s="1758">
        <f>SUM(K5:K11)</f>
        <v>0</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c r="I14" s="771"/>
      <c r="J14" s="773"/>
      <c r="K14" s="765"/>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1809</v>
      </c>
      <c r="B19" s="2256"/>
      <c r="C19" s="2256"/>
      <c r="D19" s="2256"/>
      <c r="E19" s="2257"/>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1815</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0</v>
      </c>
      <c r="I23" s="1758">
        <f>SUM(I14:I16,I21,I22)</f>
        <v>0</v>
      </c>
      <c r="J23" s="1758">
        <f>SUM(J14:J16,J21,J22)</f>
        <v>0</v>
      </c>
      <c r="K23" s="1758">
        <f>SUM(K14:K16,K21,K22)</f>
        <v>0</v>
      </c>
    </row>
    <row r="24" spans="1:11" ht="14.25" thickTop="1" thickBot="1" x14ac:dyDescent="0.25">
      <c r="A24" s="2242" t="s">
        <v>1963</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2" colorId="8" zoomScaleNormal="100" workbookViewId="0">
      <selection activeCell="L12" sqref="L12: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90524</v>
      </c>
      <c r="D5" s="841"/>
      <c r="E5" s="841"/>
      <c r="F5" s="1760">
        <f>(C5+D5)-E5</f>
        <v>90524</v>
      </c>
      <c r="G5" s="837"/>
      <c r="H5" s="842"/>
      <c r="I5" s="842"/>
      <c r="J5" s="842"/>
      <c r="K5" s="793"/>
      <c r="L5" s="1769">
        <f>F5-K5</f>
        <v>90524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8068865</v>
      </c>
      <c r="D8" s="844"/>
      <c r="E8" s="844"/>
      <c r="F8" s="1760">
        <f>(C8+D8)-E8</f>
        <v>8068865</v>
      </c>
      <c r="G8" s="843">
        <v>50</v>
      </c>
      <c r="H8" s="765">
        <v>3345234</v>
      </c>
      <c r="I8" s="765">
        <v>169401</v>
      </c>
      <c r="J8" s="765"/>
      <c r="K8" s="1769">
        <f>(H8+I8)-J8</f>
        <v>3514635</v>
      </c>
      <c r="L8" s="1769">
        <f>F8-K8</f>
        <v>4554230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36010</v>
      </c>
      <c r="D12" s="844"/>
      <c r="E12" s="844"/>
      <c r="F12" s="1760">
        <f>(C12+D12)-E12</f>
        <v>36010</v>
      </c>
      <c r="G12" s="843">
        <v>10</v>
      </c>
      <c r="H12" s="765">
        <v>33992</v>
      </c>
      <c r="I12" s="765">
        <v>505</v>
      </c>
      <c r="J12" s="765"/>
      <c r="K12" s="1769">
        <f>(H12+I12)-J12</f>
        <v>34497</v>
      </c>
      <c r="L12" s="1769">
        <f>F12-K12</f>
        <v>1513</v>
      </c>
    </row>
    <row r="13" spans="1:14" ht="14.25" thickTop="1" thickBot="1" x14ac:dyDescent="0.25">
      <c r="A13" s="848" t="s">
        <v>1122</v>
      </c>
      <c r="B13" s="840">
        <v>252</v>
      </c>
      <c r="C13" s="844">
        <v>1578657</v>
      </c>
      <c r="D13" s="844">
        <v>53198</v>
      </c>
      <c r="E13" s="844"/>
      <c r="F13" s="1760">
        <f>(C13+D13)-E13</f>
        <v>1631855</v>
      </c>
      <c r="G13" s="843">
        <v>5</v>
      </c>
      <c r="H13" s="765">
        <v>1413733</v>
      </c>
      <c r="I13" s="765">
        <v>51204</v>
      </c>
      <c r="J13" s="765"/>
      <c r="K13" s="1769">
        <f>(H13+I13)-J13</f>
        <v>1464937</v>
      </c>
      <c r="L13" s="1769">
        <f>F13-K13</f>
        <v>166918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9774056</v>
      </c>
      <c r="D16" s="1760">
        <f>SUM(D3,D5:D6,D8:D10,D12:D15)</f>
        <v>53198</v>
      </c>
      <c r="E16" s="1760">
        <f>SUM(E3,E5:E6,E8:E10,E12:E15)</f>
        <v>0</v>
      </c>
      <c r="F16" s="1760">
        <f>SUM(F3,F5:F6,F8:F10,F12:F15)</f>
        <v>9827254</v>
      </c>
      <c r="G16" s="843"/>
      <c r="H16" s="1760">
        <f>SUM(H3,H6,H8:H10,H12:H14,)</f>
        <v>4792959</v>
      </c>
      <c r="I16" s="1760">
        <f>SUM(I3,I6,I8:I10,I12:I14,)</f>
        <v>221110</v>
      </c>
      <c r="J16" s="1760">
        <f>SUM(J3,J6,J8:J10,J12:J14,)</f>
        <v>0</v>
      </c>
      <c r="K16" s="1760">
        <f>(H16+I16)-J16</f>
        <v>5014069</v>
      </c>
      <c r="L16" s="1760">
        <f>F16-K16</f>
        <v>4813185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221110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3605519</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241988</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3847507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10392</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283274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195000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488666</v>
      </c>
      <c r="G76" s="865"/>
    </row>
    <row r="77" spans="1:8" s="893" customFormat="1" ht="12" customHeight="1" thickTop="1" thickBot="1" x14ac:dyDescent="0.25">
      <c r="A77" s="1779"/>
      <c r="B77" s="1776"/>
      <c r="C77" s="1772"/>
      <c r="D77" s="1777" t="s">
        <v>1899</v>
      </c>
      <c r="E77" s="1774"/>
      <c r="F77" s="1780">
        <f>(F14-F76)</f>
        <v>3358841</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33266</v>
      </c>
      <c r="G95" s="912"/>
    </row>
    <row r="96" spans="1:7" x14ac:dyDescent="0.2">
      <c r="A96" s="908" t="s">
        <v>459</v>
      </c>
      <c r="B96" s="908" t="s">
        <v>176</v>
      </c>
      <c r="C96" s="910">
        <f>'Revenues 9-14'!B84</f>
        <v>1811</v>
      </c>
      <c r="D96" s="911" t="str">
        <f>'Revenues 9-14'!A84</f>
        <v>Rentals - Regular Textbooks</v>
      </c>
      <c r="E96" s="906"/>
      <c r="F96" s="1789">
        <f>'Revenues 9-14'!C84</f>
        <v>6713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241988</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591891</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121913</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995771</v>
      </c>
    </row>
    <row r="175" spans="1:7" ht="12" customHeight="1" x14ac:dyDescent="0.2">
      <c r="A175" s="1770"/>
      <c r="B175" s="1784"/>
      <c r="C175" s="1785"/>
      <c r="D175" s="1786" t="s">
        <v>2055</v>
      </c>
      <c r="E175" s="1787"/>
      <c r="F175" s="1789">
        <f>'PCTC-OEPP 27-28'!F77-F174</f>
        <v>2363070</v>
      </c>
    </row>
    <row r="176" spans="1:7" ht="12" customHeight="1" x14ac:dyDescent="0.2">
      <c r="A176" s="1770"/>
      <c r="B176" s="1784"/>
      <c r="C176" s="1785"/>
      <c r="D176" s="1786" t="s">
        <v>1817</v>
      </c>
      <c r="E176" s="1787"/>
      <c r="F176" s="1789">
        <f>'Cap Outlay Deprec 26'!I18</f>
        <v>221110</v>
      </c>
    </row>
    <row r="177" spans="1:7" ht="12" customHeight="1" x14ac:dyDescent="0.2">
      <c r="A177" s="1770"/>
      <c r="B177" s="1784"/>
      <c r="C177" s="1785"/>
      <c r="D177" s="1786" t="s">
        <v>2056</v>
      </c>
      <c r="E177" s="1787"/>
      <c r="F177" s="1789">
        <f>F175+F176</f>
        <v>2584180</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D26" sqref="D26"/>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534" t="s">
        <v>1819</v>
      </c>
      <c r="B6" s="1535"/>
      <c r="C6" s="1535"/>
      <c r="D6" s="1535"/>
      <c r="E6" s="1535"/>
      <c r="F6" s="1535"/>
      <c r="G6" s="1536"/>
    </row>
    <row r="7" spans="1:7" ht="30.75" customHeight="1" x14ac:dyDescent="0.25">
      <c r="A7" s="2283" t="s">
        <v>1931</v>
      </c>
      <c r="B7" s="2284"/>
      <c r="C7" s="2284"/>
      <c r="D7" s="2284"/>
      <c r="E7" s="2284"/>
      <c r="F7" s="2284"/>
      <c r="G7" s="2285"/>
    </row>
    <row r="8" spans="1:7" ht="15.75" customHeight="1" x14ac:dyDescent="0.25">
      <c r="A8" s="2286" t="s">
        <v>1906</v>
      </c>
      <c r="B8" s="2287"/>
      <c r="C8" s="2287"/>
      <c r="D8" s="2287"/>
      <c r="E8" s="2287"/>
      <c r="F8" s="2287"/>
      <c r="G8" s="2288"/>
    </row>
    <row r="9" spans="1:7" ht="35.25" customHeight="1" x14ac:dyDescent="0.25">
      <c r="A9" s="2283" t="s">
        <v>2063</v>
      </c>
      <c r="B9" s="2284"/>
      <c r="C9" s="2284"/>
      <c r="D9" s="2284"/>
      <c r="E9" s="2284"/>
      <c r="F9" s="2284"/>
      <c r="G9" s="2285"/>
    </row>
    <row r="10" spans="1:7" ht="15" customHeight="1" x14ac:dyDescent="0.25">
      <c r="A10" s="1537" t="s">
        <v>1820</v>
      </c>
      <c r="B10" s="1538"/>
      <c r="C10" s="1538"/>
      <c r="D10" s="1538"/>
      <c r="E10" s="1538"/>
      <c r="F10" s="1538"/>
      <c r="G10" s="1539"/>
    </row>
    <row r="11" spans="1:7" ht="17.25" customHeight="1" x14ac:dyDescent="0.25">
      <c r="A11" s="2283" t="s">
        <v>1933</v>
      </c>
      <c r="B11" s="2284"/>
      <c r="C11" s="2284"/>
      <c r="D11" s="2284"/>
      <c r="E11" s="2284"/>
      <c r="F11" s="2284"/>
      <c r="G11" s="2285"/>
    </row>
    <row r="12" spans="1:7" ht="15" customHeight="1" x14ac:dyDescent="0.25">
      <c r="A12" s="1537" t="s">
        <v>1825</v>
      </c>
      <c r="B12" s="1538"/>
      <c r="C12" s="1538"/>
      <c r="D12" s="1538"/>
      <c r="E12" s="1538"/>
      <c r="F12" s="1538"/>
      <c r="G12" s="1539"/>
    </row>
    <row r="13" spans="1:7" ht="32.25" customHeight="1" x14ac:dyDescent="0.25">
      <c r="A13" s="2274" t="s">
        <v>1974</v>
      </c>
      <c r="B13" s="2275"/>
      <c r="C13" s="2275"/>
      <c r="D13" s="2275"/>
      <c r="E13" s="2275"/>
      <c r="F13" s="2275"/>
      <c r="G13" s="227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2" t="s">
        <v>2090</v>
      </c>
      <c r="B17" s="1943" t="s">
        <v>2091</v>
      </c>
      <c r="C17" s="1944" t="s">
        <v>2092</v>
      </c>
      <c r="D17" s="1844">
        <v>3798</v>
      </c>
      <c r="E17" s="1540">
        <f t="shared" ref="E17:E141" si="0">IF(D17&lt;=25000,D17,IF(D17&gt;25000,25000,0))</f>
        <v>3798</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3798</v>
      </c>
      <c r="G17" s="1793">
        <f>IF(F17=0,0,D17-F17)</f>
        <v>0</v>
      </c>
      <c r="H17" s="1647"/>
    </row>
    <row r="18" spans="1:8" x14ac:dyDescent="0.25">
      <c r="A18" s="1942" t="s">
        <v>2093</v>
      </c>
      <c r="B18" s="1943" t="s">
        <v>2094</v>
      </c>
      <c r="C18" s="1944" t="s">
        <v>2095</v>
      </c>
      <c r="D18" s="1844">
        <v>2000</v>
      </c>
      <c r="E18" s="1540">
        <f t="shared" ref="E18:E140" si="2">IF(D18&lt;=25000,D18,IF(D18&gt;25000,25000,0))</f>
        <v>2000</v>
      </c>
      <c r="F18" s="1932">
        <f t="shared" si="1"/>
        <v>2000</v>
      </c>
      <c r="G18" s="1793">
        <f t="shared" ref="G18:G140" si="3">IF(F18=0,0,D18-F18)</f>
        <v>0</v>
      </c>
    </row>
    <row r="19" spans="1:8" x14ac:dyDescent="0.25">
      <c r="A19" s="1942" t="s">
        <v>2093</v>
      </c>
      <c r="B19" s="1943" t="s">
        <v>2094</v>
      </c>
      <c r="C19" s="1944" t="s">
        <v>2096</v>
      </c>
      <c r="D19" s="1844">
        <v>660</v>
      </c>
      <c r="E19" s="1540">
        <f t="shared" si="2"/>
        <v>660</v>
      </c>
      <c r="F19" s="1932">
        <f t="shared" si="1"/>
        <v>660</v>
      </c>
      <c r="G19" s="1793">
        <f t="shared" si="3"/>
        <v>0</v>
      </c>
    </row>
    <row r="20" spans="1:8" x14ac:dyDescent="0.25">
      <c r="A20" s="1942" t="s">
        <v>2093</v>
      </c>
      <c r="B20" s="1943" t="s">
        <v>2094</v>
      </c>
      <c r="C20" s="1944" t="s">
        <v>2097</v>
      </c>
      <c r="D20" s="1844">
        <v>4159</v>
      </c>
      <c r="E20" s="1540">
        <f t="shared" si="2"/>
        <v>4159</v>
      </c>
      <c r="F20" s="1932">
        <f t="shared" si="1"/>
        <v>4159</v>
      </c>
      <c r="G20" s="1793">
        <f t="shared" si="3"/>
        <v>0</v>
      </c>
    </row>
    <row r="21" spans="1:8" x14ac:dyDescent="0.25">
      <c r="A21" s="1942" t="s">
        <v>2093</v>
      </c>
      <c r="B21" s="1943" t="s">
        <v>2094</v>
      </c>
      <c r="C21" s="1944" t="s">
        <v>2098</v>
      </c>
      <c r="D21" s="1844">
        <v>48493</v>
      </c>
      <c r="E21" s="1540">
        <f t="shared" si="2"/>
        <v>25000</v>
      </c>
      <c r="F21" s="1932">
        <f t="shared" si="1"/>
        <v>25000</v>
      </c>
      <c r="G21" s="1793">
        <f t="shared" si="3"/>
        <v>23493</v>
      </c>
    </row>
    <row r="22" spans="1:8" x14ac:dyDescent="0.25">
      <c r="A22" s="1942" t="s">
        <v>2093</v>
      </c>
      <c r="B22" s="1943" t="s">
        <v>2094</v>
      </c>
      <c r="C22" s="1944" t="s">
        <v>2099</v>
      </c>
      <c r="D22" s="1844">
        <v>16282</v>
      </c>
      <c r="E22" s="1540">
        <f t="shared" si="2"/>
        <v>16282</v>
      </c>
      <c r="F22" s="1932">
        <f t="shared" si="1"/>
        <v>16282</v>
      </c>
      <c r="G22" s="1793">
        <f t="shared" si="3"/>
        <v>0</v>
      </c>
    </row>
    <row r="23" spans="1:8" x14ac:dyDescent="0.25">
      <c r="A23" s="1942" t="s">
        <v>2093</v>
      </c>
      <c r="B23" s="1943" t="s">
        <v>2094</v>
      </c>
      <c r="C23" s="1944" t="s">
        <v>2100</v>
      </c>
      <c r="D23" s="1844">
        <v>891</v>
      </c>
      <c r="E23" s="1540">
        <f t="shared" si="2"/>
        <v>891</v>
      </c>
      <c r="F23" s="1932">
        <f t="shared" si="1"/>
        <v>891</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76283</v>
      </c>
      <c r="E141" s="1541">
        <f t="shared" si="0"/>
        <v>25000</v>
      </c>
      <c r="F141" s="1933">
        <f>SUM(F17:F140)</f>
        <v>52790</v>
      </c>
      <c r="G141" s="1795">
        <f>SUM(G17:G140)</f>
        <v>23493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4" t="s">
        <v>1975</v>
      </c>
      <c r="B11" s="2295"/>
      <c r="C11" s="2295"/>
      <c r="D11" s="229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1980880</v>
      </c>
      <c r="F19" s="1799"/>
      <c r="G19" s="1801">
        <f>'Expenditures 15-22'!K33-SUM('Expenditures 15-22'!G33,'Expenditures 15-22'!I33)+'Expenditures 15-22'!D229</f>
        <v>1980880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249208</v>
      </c>
      <c r="F21" s="1802"/>
      <c r="G21" s="1805">
        <f>'Expenditures 15-22'!K42-SUM('Expenditures 15-22'!G42,'Expenditures 15-22'!I42)+'Expenditures 15-22'!K120-SUM('Expenditures 15-22'!G120,'Expenditures 15-22'!I120)+'Expenditures 15-22'!K180-SUM('Expenditures 15-22'!G180,'Expenditures 15-22'!I180)+'Expenditures 15-22'!D238</f>
        <v>249208</v>
      </c>
      <c r="H21" s="987"/>
      <c r="I21" s="162"/>
    </row>
    <row r="22" spans="1:9" s="668" customFormat="1" ht="12" customHeight="1" x14ac:dyDescent="0.2">
      <c r="A22" s="994" t="s">
        <v>564</v>
      </c>
      <c r="B22" s="995"/>
      <c r="C22" s="993">
        <v>2200</v>
      </c>
      <c r="D22" s="1802"/>
      <c r="E22" s="1804">
        <f>'Expenditures 15-22'!K47-SUM('Expenditures 15-22'!G47,'Expenditures 15-22'!I47)+'Expenditures 15-22'!D243</f>
        <v>237869</v>
      </c>
      <c r="F22" s="1802"/>
      <c r="G22" s="1805">
        <f>'Expenditures 15-22'!K47-SUM('Expenditures 15-22'!G47,'Expenditures 15-22'!I47)+'Expenditures 15-22'!D243</f>
        <v>237869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249324</v>
      </c>
      <c r="F23" s="1802"/>
      <c r="G23" s="1804">
        <f>'Expenditures 15-22'!K53-SUM('Expenditures 15-22'!G53,'Expenditures 15-22'!I53)+'Expenditures 15-22'!D257+'Expenditures 15-22'!K330-SUM('Expenditures 15-22'!G330,'Expenditures 15-22'!I330)</f>
        <v>249324</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89632</v>
      </c>
      <c r="E27" s="1804">
        <f>E8</f>
        <v>0</v>
      </c>
      <c r="F27" s="1804">
        <f>'Expenditures 15-22'!K60-SUM('Expenditures 15-22'!G60,'Expenditures 15-22'!I60)+'Expenditures 15-22'!D264-E8</f>
        <v>89632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515332</v>
      </c>
      <c r="F28" s="1806">
        <f>'Expenditures 15-22'!K61-SUM('Expenditures 15-22'!G61,'Expenditures 15-22'!I61)+'Expenditures 15-22'!K124-SUM('Expenditures 15-22'!G124,'Expenditures 15-22'!I124)+'Expenditures 15-22'!D266-E9</f>
        <v>515332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-23493</v>
      </c>
      <c r="F40" s="1802"/>
      <c r="G40" s="1806">
        <f>-'Contracts Paid in CY 29'!G141</f>
        <v>-23493</v>
      </c>
    </row>
    <row r="41" spans="1:7" ht="12" customHeight="1" x14ac:dyDescent="0.2">
      <c r="A41" s="998" t="s">
        <v>156</v>
      </c>
      <c r="B41" s="999"/>
      <c r="C41" s="1000"/>
      <c r="D41" s="1806">
        <f>SUM(D19:D39)</f>
        <v>89632</v>
      </c>
      <c r="E41" s="1806">
        <f>SUM(E19:E40)</f>
        <v>3209120</v>
      </c>
      <c r="F41" s="1806">
        <f>SUM(F19:F39)</f>
        <v>604964</v>
      </c>
      <c r="G41" s="1806">
        <f>SUM(G19:G40)</f>
        <v>2693788</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89632</v>
      </c>
      <c r="F43" s="1807" t="s">
        <v>473</v>
      </c>
      <c r="G43" s="1808">
        <f>F41</f>
        <v>604964</v>
      </c>
    </row>
    <row r="44" spans="1:7" ht="12" customHeight="1" x14ac:dyDescent="0.2">
      <c r="A44" s="987"/>
      <c r="B44" s="162"/>
      <c r="C44" s="1001"/>
      <c r="D44" s="1807" t="s">
        <v>474</v>
      </c>
      <c r="E44" s="1808">
        <f>E41</f>
        <v>3209120</v>
      </c>
      <c r="F44" s="1807" t="s">
        <v>474</v>
      </c>
      <c r="G44" s="1808">
        <f>G41</f>
        <v>2693788</v>
      </c>
    </row>
    <row r="45" spans="1:7" ht="12" customHeight="1" x14ac:dyDescent="0.2">
      <c r="A45" s="987"/>
      <c r="B45" s="162"/>
      <c r="C45" s="162"/>
      <c r="D45" s="1809" t="s">
        <v>1006</v>
      </c>
      <c r="E45" s="1810">
        <f>(E43/E44)</f>
        <v>2.7930398364660717E-2</v>
      </c>
      <c r="F45" s="1809" t="s">
        <v>1006</v>
      </c>
      <c r="G45" s="1810">
        <f>(G43/G44)</f>
        <v>0.22457743519534573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A48" sqref="A4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Wilco Area Career Center</v>
      </c>
      <c r="D6" s="2304"/>
      <c r="E6" s="2304"/>
      <c r="F6" s="1852"/>
    </row>
    <row r="7" spans="1:10" ht="11.25" customHeight="1" thickBot="1" x14ac:dyDescent="0.3">
      <c r="A7" s="1850"/>
      <c r="B7" s="1851"/>
      <c r="C7" s="2305">
        <f>COVER!A13</f>
        <v>56000000040</v>
      </c>
      <c r="D7" s="2305"/>
      <c r="E7" s="2305"/>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2073</v>
      </c>
      <c r="D13" s="1865" t="s">
        <v>2073</v>
      </c>
      <c r="E13" s="1941"/>
      <c r="F13" s="1867" t="s">
        <v>2085</v>
      </c>
      <c r="H13" s="1878">
        <f t="shared" si="0"/>
        <v>5</v>
      </c>
      <c r="I13" s="1878">
        <f t="shared" si="1"/>
        <v>5</v>
      </c>
      <c r="J13" s="1878">
        <f t="shared" si="2"/>
        <v>0</v>
      </c>
    </row>
    <row r="14" spans="1:10" ht="12" customHeight="1" x14ac:dyDescent="0.2">
      <c r="A14" s="1863" t="s">
        <v>1386</v>
      </c>
      <c r="B14" s="1864"/>
      <c r="C14" s="1865"/>
      <c r="D14" s="1865"/>
      <c r="E14" s="1941"/>
      <c r="F14" s="1867"/>
      <c r="H14" s="1878">
        <f t="shared" si="0"/>
        <v>0</v>
      </c>
      <c r="I14" s="1878">
        <f t="shared" si="1"/>
        <v>0</v>
      </c>
      <c r="J14" s="1878">
        <f t="shared" si="2"/>
        <v>0</v>
      </c>
    </row>
    <row r="15" spans="1:10" ht="12" customHeight="1" x14ac:dyDescent="0.2">
      <c r="A15" s="1863" t="s">
        <v>1387</v>
      </c>
      <c r="B15" s="1864"/>
      <c r="C15" s="1865" t="s">
        <v>2073</v>
      </c>
      <c r="D15" s="1865" t="s">
        <v>2073</v>
      </c>
      <c r="E15" s="1941"/>
      <c r="F15" s="1867" t="s">
        <v>2086</v>
      </c>
      <c r="H15" s="1878">
        <f t="shared" si="0"/>
        <v>5</v>
      </c>
      <c r="I15" s="1878">
        <f t="shared" si="1"/>
        <v>5</v>
      </c>
      <c r="J15" s="1878">
        <f t="shared" si="2"/>
        <v>0</v>
      </c>
    </row>
    <row r="16" spans="1:10" ht="12" customHeight="1" x14ac:dyDescent="0.2">
      <c r="A16" s="1863" t="s">
        <v>1388</v>
      </c>
      <c r="B16" s="1864"/>
      <c r="C16" s="1865"/>
      <c r="D16" s="1865"/>
      <c r="E16" s="1941"/>
      <c r="F16" s="1867"/>
      <c r="H16" s="1878">
        <f t="shared" si="0"/>
        <v>0</v>
      </c>
      <c r="I16" s="1878">
        <f t="shared" si="1"/>
        <v>0</v>
      </c>
      <c r="J16" s="1878">
        <f t="shared" si="2"/>
        <v>0</v>
      </c>
    </row>
    <row r="17" spans="1:12" ht="12" customHeight="1" x14ac:dyDescent="0.2">
      <c r="A17" s="1863" t="s">
        <v>1389</v>
      </c>
      <c r="B17" s="1864"/>
      <c r="C17" s="1865"/>
      <c r="D17" s="1865"/>
      <c r="E17" s="1941"/>
      <c r="F17" s="1867"/>
      <c r="H17" s="1878">
        <f t="shared" si="0"/>
        <v>0</v>
      </c>
      <c r="I17" s="1878">
        <f t="shared" si="1"/>
        <v>0</v>
      </c>
      <c r="J17" s="1878">
        <f t="shared" si="2"/>
        <v>0</v>
      </c>
    </row>
    <row r="18" spans="1:12" ht="12" customHeight="1" x14ac:dyDescent="0.2">
      <c r="A18" s="1863" t="s">
        <v>1390</v>
      </c>
      <c r="B18" s="1864"/>
      <c r="C18" s="1865"/>
      <c r="D18" s="1865"/>
      <c r="E18" s="1941"/>
      <c r="F18" s="1867"/>
      <c r="H18" s="1878">
        <f t="shared" si="0"/>
        <v>0</v>
      </c>
      <c r="I18" s="1878">
        <f t="shared" si="1"/>
        <v>0</v>
      </c>
      <c r="J18" s="1878">
        <f t="shared" si="2"/>
        <v>0</v>
      </c>
    </row>
    <row r="19" spans="1:12" ht="12" customHeight="1" x14ac:dyDescent="0.2">
      <c r="A19" s="1863" t="s">
        <v>1527</v>
      </c>
      <c r="B19" s="1864"/>
      <c r="C19" s="1865" t="s">
        <v>2073</v>
      </c>
      <c r="D19" s="1865" t="s">
        <v>2073</v>
      </c>
      <c r="E19" s="1941"/>
      <c r="F19" s="1867" t="s">
        <v>2085</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t="s">
        <v>2087</v>
      </c>
      <c r="B41" s="2317"/>
      <c r="C41" s="2317"/>
      <c r="D41" s="2317"/>
      <c r="E41" s="2317"/>
      <c r="F41" s="2318"/>
      <c r="H41" s="1879"/>
      <c r="I41" s="1879"/>
      <c r="J41" s="1879"/>
      <c r="K41" s="1879"/>
    </row>
    <row r="42" spans="1:11" s="1870" customFormat="1" ht="12" customHeight="1" x14ac:dyDescent="0.25">
      <c r="A42" s="2316" t="s">
        <v>2088</v>
      </c>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Wilco Area Career Center</v>
      </c>
      <c r="J6" s="2325"/>
      <c r="Q6" s="1664"/>
    </row>
    <row r="7" spans="1:17" x14ac:dyDescent="0.2">
      <c r="A7" s="2326" t="s">
        <v>869</v>
      </c>
      <c r="B7" s="2327"/>
      <c r="C7" s="2327"/>
      <c r="D7" s="2327"/>
      <c r="E7" s="2328"/>
      <c r="F7" s="1017"/>
      <c r="G7" s="1009"/>
      <c r="H7" s="1016" t="s">
        <v>372</v>
      </c>
      <c r="I7" s="2329">
        <f>COVER!A13</f>
        <v>56000000040</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239190</v>
      </c>
      <c r="F12" s="1039"/>
      <c r="G12" s="1811">
        <f t="shared" ref="G12:G18" si="0">SUM(E12:F12)</f>
        <v>239190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239190</v>
      </c>
      <c r="F19" s="1813">
        <f t="shared" si="2"/>
        <v>0</v>
      </c>
      <c r="G19" s="1813">
        <f t="shared" si="2"/>
        <v>239190</v>
      </c>
      <c r="H19" s="1813">
        <f t="shared" si="2"/>
        <v>0</v>
      </c>
      <c r="I19" s="1813">
        <f t="shared" si="2"/>
        <v>0</v>
      </c>
      <c r="J19" s="1813">
        <f t="shared" si="2"/>
        <v>0</v>
      </c>
    </row>
    <row r="20" spans="1:10" ht="13.5" thickTop="1" x14ac:dyDescent="0.2">
      <c r="A20" s="1035">
        <v>9</v>
      </c>
      <c r="B20" s="2336" t="s">
        <v>1979</v>
      </c>
      <c r="C20" s="2336"/>
      <c r="D20" s="233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2089</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Wilco Area Career Center</v>
      </c>
    </row>
    <row r="65" spans="2:2" x14ac:dyDescent="0.2">
      <c r="B65" s="1070">
        <f>COVER!A13</f>
        <v>56000000040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0:F27"/>
  <sheetViews>
    <sheetView showGridLines="0" zoomScale="110" zoomScaleNormal="110" workbookViewId="0">
      <selection activeCell="B15" sqref="B15"/>
    </sheetView>
  </sheetViews>
  <sheetFormatPr defaultRowHeight="12.75" x14ac:dyDescent="0.2"/>
  <cols>
    <col min="1" max="1" width="1.85546875" style="329" customWidth="1"/>
    <col min="2" max="2" width="59.7109375" style="329" customWidth="1"/>
    <col min="3" max="16384" width="9.140625" style="329"/>
  </cols>
  <sheetData>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3" t="s">
        <v>1685</v>
      </c>
      <c r="B27" s="2343"/>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0</xdr:col>
                <xdr:colOff>114300</xdr:colOff>
                <xdr:row>16</xdr:row>
                <xdr:rowOff>0</xdr:rowOff>
              </from>
              <to>
                <xdr:col>1</xdr:col>
                <xdr:colOff>904875</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3685635</v>
      </c>
      <c r="C8" s="1815">
        <f>'Acct Summary 7-8'!D8</f>
        <v>0</v>
      </c>
      <c r="D8" s="1815">
        <f>'Acct Summary 7-8'!F8</f>
        <v>0</v>
      </c>
      <c r="E8" s="1815">
        <f>'Acct Summary 7-8'!I8</f>
        <v>0</v>
      </c>
      <c r="F8" s="1815">
        <f>SUM(B8:E8)</f>
        <v>3685635</v>
      </c>
    </row>
    <row r="9" spans="1:8" s="1079" customFormat="1" ht="14.25" customHeight="1" thickBot="1" x14ac:dyDescent="0.25">
      <c r="A9" s="1078" t="s">
        <v>1369</v>
      </c>
      <c r="B9" s="1816">
        <f>'Acct Summary 7-8'!C17</f>
        <v>3605519</v>
      </c>
      <c r="C9" s="1816">
        <f>'Acct Summary 7-8'!D17</f>
        <v>0</v>
      </c>
      <c r="D9" s="1816">
        <f>'Acct Summary 7-8'!F17</f>
        <v>0</v>
      </c>
      <c r="E9" s="1815"/>
      <c r="F9" s="1815">
        <f>SUM(B9:E9)</f>
        <v>3605519</v>
      </c>
    </row>
    <row r="10" spans="1:8" s="1079" customFormat="1" ht="14.25" thickTop="1" thickBot="1" x14ac:dyDescent="0.25">
      <c r="A10" s="1080" t="s">
        <v>1370</v>
      </c>
      <c r="B10" s="1817">
        <f>(B8-B9)</f>
        <v>80116</v>
      </c>
      <c r="C10" s="1817">
        <f>(C8-C9)</f>
        <v>0</v>
      </c>
      <c r="D10" s="1817">
        <f>(D8-D9)</f>
        <v>0</v>
      </c>
      <c r="E10" s="1816">
        <f>(E8-E9)</f>
        <v>0</v>
      </c>
      <c r="F10" s="1818">
        <f>SUM(F8-F9)</f>
        <v>80116</v>
      </c>
    </row>
    <row r="11" spans="1:8" s="1079" customFormat="1" ht="14.25" thickTop="1" thickBot="1" x14ac:dyDescent="0.25">
      <c r="A11" s="1081" t="s">
        <v>1983</v>
      </c>
      <c r="B11" s="1819">
        <f>'Acct Summary 7-8'!C81</f>
        <v>1024821</v>
      </c>
      <c r="C11" s="1819">
        <f>'Acct Summary 7-8'!D81</f>
        <v>0</v>
      </c>
      <c r="D11" s="1819">
        <f>'Acct Summary 7-8'!F81</f>
        <v>0</v>
      </c>
      <c r="E11" s="1819">
        <f>'Acct Summary 7-8'!I81</f>
        <v>0</v>
      </c>
      <c r="F11" s="1820">
        <f>SUM(B11:E11)</f>
        <v>1024821</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56000000040</v>
      </c>
    </row>
    <row r="3" spans="1:2" x14ac:dyDescent="0.2">
      <c r="A3" t="s">
        <v>956</v>
      </c>
      <c r="B3" s="138" t="str">
        <f>COVER!A15</f>
        <v>Will</v>
      </c>
    </row>
    <row r="4" spans="1:2" x14ac:dyDescent="0.2">
      <c r="A4" t="s">
        <v>1007</v>
      </c>
      <c r="B4" s="138" t="str">
        <f>COVER!A17</f>
        <v>Wilco Area Career Center</v>
      </c>
    </row>
    <row r="5" spans="1:2" x14ac:dyDescent="0.2">
      <c r="A5" t="s">
        <v>704</v>
      </c>
      <c r="B5" s="138" t="str">
        <f>COVER!A38</f>
        <v>Elizabeth Kaufman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1024821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885655</v>
      </c>
      <c r="D92" s="2" t="str">
        <f t="shared" si="0"/>
        <v>Error?</v>
      </c>
    </row>
    <row r="93" spans="1:4" x14ac:dyDescent="0.2">
      <c r="A93" s="5">
        <v>32</v>
      </c>
      <c r="B93" s="138">
        <f>'Assets-Liab 5-6'!C41</f>
        <v>1024821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4120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4120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90524</v>
      </c>
      <c r="D273" s="2" t="str">
        <f t="shared" si="3"/>
        <v>Error?</v>
      </c>
    </row>
    <row r="274" spans="1:4" x14ac:dyDescent="0.2">
      <c r="A274" s="5">
        <v>213</v>
      </c>
      <c r="B274" s="138">
        <f>'Assets-Liab 5-6'!M17</f>
        <v>4554230</v>
      </c>
      <c r="D274" s="2" t="str">
        <f t="shared" si="3"/>
        <v>Error?</v>
      </c>
    </row>
    <row r="275" spans="1:4" x14ac:dyDescent="0.2">
      <c r="A275" s="5">
        <v>214</v>
      </c>
      <c r="B275" s="138">
        <f>'Assets-Liab 5-6'!M18</f>
        <v>0</v>
      </c>
      <c r="D275" s="2" t="str">
        <f t="shared" si="3"/>
        <v>Error?</v>
      </c>
    </row>
    <row r="276" spans="1:4" x14ac:dyDescent="0.2">
      <c r="A276" s="5">
        <v>215</v>
      </c>
      <c r="B276" s="138">
        <f>'Assets-Liab 5-6'!M19</f>
        <v>168431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4813185</v>
      </c>
      <c r="C279" s="2" t="s">
        <v>573</v>
      </c>
      <c r="D279" s="2" t="str">
        <f t="shared" si="3"/>
        <v>Error?</v>
      </c>
    </row>
    <row r="280" spans="1:4" x14ac:dyDescent="0.2">
      <c r="A280" s="5">
        <v>219</v>
      </c>
      <c r="B280" s="138">
        <f>'Assets-Liab 5-6'!M40</f>
        <v>4813185</v>
      </c>
      <c r="D280" s="2" t="str">
        <f t="shared" si="3"/>
        <v>Error?</v>
      </c>
    </row>
    <row r="281" spans="1:4" x14ac:dyDescent="0.2">
      <c r="A281" s="5">
        <v>220</v>
      </c>
      <c r="B281" s="138">
        <f>'Assets-Liab 5-6'!M41</f>
        <v>4813185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1545000</v>
      </c>
      <c r="D283" s="2" t="str">
        <f t="shared" si="3"/>
        <v>Error?</v>
      </c>
    </row>
    <row r="284" spans="1:4" x14ac:dyDescent="0.2">
      <c r="A284" s="5">
        <v>223</v>
      </c>
      <c r="B284" s="138">
        <f>'Assets-Liab 5-6'!N23</f>
        <v>1545000</v>
      </c>
      <c r="C284" s="2" t="s">
        <v>573</v>
      </c>
      <c r="D284" s="2" t="str">
        <f t="shared" si="3"/>
        <v>Error?</v>
      </c>
    </row>
    <row r="285" spans="1:4" x14ac:dyDescent="0.2">
      <c r="A285" s="5">
        <v>224</v>
      </c>
      <c r="B285" s="138">
        <f>'Assets-Liab 5-6'!N36</f>
        <v>1545000</v>
      </c>
      <c r="D285" s="2" t="str">
        <f t="shared" si="3"/>
        <v>Error?</v>
      </c>
    </row>
    <row r="286" spans="1:4" x14ac:dyDescent="0.2">
      <c r="A286" s="10">
        <v>225</v>
      </c>
      <c r="D286" s="2" t="str">
        <f t="shared" si="3"/>
        <v>OK</v>
      </c>
    </row>
    <row r="287" spans="1:4" x14ac:dyDescent="0.2">
      <c r="A287" s="5">
        <v>226</v>
      </c>
      <c r="B287" s="138">
        <f>'Assets-Liab 5-6'!N37</f>
        <v>1545000</v>
      </c>
      <c r="C287" s="2" t="s">
        <v>573</v>
      </c>
      <c r="D287" s="2" t="str">
        <f t="shared" si="3"/>
        <v>Error?</v>
      </c>
    </row>
    <row r="288" spans="1:4" x14ac:dyDescent="0.2">
      <c r="A288" s="5">
        <v>227</v>
      </c>
      <c r="B288" s="138">
        <f>'Assets-Liab 5-6'!N41</f>
        <v>1545000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9442</v>
      </c>
      <c r="D716" s="2" t="str">
        <f t="shared" si="10"/>
        <v>Error?</v>
      </c>
    </row>
    <row r="717" spans="1:4" x14ac:dyDescent="0.2">
      <c r="A717" s="5">
        <v>656</v>
      </c>
      <c r="B717" s="138">
        <f>'Expenditures 15-22'!C13</f>
        <v>1272818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1282260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189082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189082</v>
      </c>
      <c r="C727" s="2" t="s">
        <v>573</v>
      </c>
      <c r="D727" s="2" t="str">
        <f t="shared" si="10"/>
        <v>Error?</v>
      </c>
    </row>
    <row r="728" spans="1:4" x14ac:dyDescent="0.2">
      <c r="A728" s="5">
        <v>667</v>
      </c>
      <c r="B728" s="138">
        <f>'Expenditures 15-22'!C44</f>
        <v>120521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120521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172611</v>
      </c>
      <c r="D733" s="2" t="str">
        <f t="shared" si="10"/>
        <v>Error?</v>
      </c>
    </row>
    <row r="734" spans="1:4" x14ac:dyDescent="0.2">
      <c r="A734" s="5">
        <v>673</v>
      </c>
      <c r="B734" s="138">
        <f>'Expenditures 15-22'!C53</f>
        <v>172611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56375</v>
      </c>
      <c r="D739" s="2" t="str">
        <f t="shared" si="10"/>
        <v>Error?</v>
      </c>
    </row>
    <row r="740" spans="1:4" x14ac:dyDescent="0.2">
      <c r="A740" s="5">
        <v>679</v>
      </c>
      <c r="B740" s="138">
        <f>'Expenditures 15-22'!C61</f>
        <v>181675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238050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720264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2002524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900</v>
      </c>
      <c r="D774" s="2" t="str">
        <f t="shared" si="11"/>
        <v>Error?</v>
      </c>
    </row>
    <row r="775" spans="1:4" x14ac:dyDescent="0.2">
      <c r="A775" s="5">
        <v>714</v>
      </c>
      <c r="B775" s="138">
        <f>'Expenditures 15-22'!D13</f>
        <v>265667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266567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33929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33929</v>
      </c>
      <c r="C785" s="2" t="s">
        <v>573</v>
      </c>
      <c r="D785" s="2" t="str">
        <f t="shared" si="11"/>
        <v>Error?</v>
      </c>
    </row>
    <row r="786" spans="1:4" x14ac:dyDescent="0.2">
      <c r="A786" s="5">
        <v>725</v>
      </c>
      <c r="B786" s="138">
        <f>'Expenditures 15-22'!D44</f>
        <v>42246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42246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42833</v>
      </c>
      <c r="D791" s="2" t="str">
        <f t="shared" si="11"/>
        <v>Error?</v>
      </c>
    </row>
    <row r="792" spans="1:4" x14ac:dyDescent="0.2">
      <c r="A792" s="5">
        <v>731</v>
      </c>
      <c r="B792" s="138">
        <f>'Expenditures 15-22'!D53</f>
        <v>42833</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24755</v>
      </c>
      <c r="D797" s="2" t="str">
        <f t="shared" si="11"/>
        <v>Error?</v>
      </c>
    </row>
    <row r="798" spans="1:4" x14ac:dyDescent="0.2">
      <c r="A798" s="5">
        <v>737</v>
      </c>
      <c r="B798" s="138">
        <f>'Expenditures 15-22'!D61</f>
        <v>50845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75600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194608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461175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2386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2386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22255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22255</v>
      </c>
      <c r="C843" s="2" t="s">
        <v>573</v>
      </c>
      <c r="D843" s="2" t="str">
        <f t="shared" si="12"/>
        <v>Error?</v>
      </c>
    </row>
    <row r="844" spans="1:4" x14ac:dyDescent="0.2">
      <c r="A844" s="5">
        <v>783</v>
      </c>
      <c r="B844" s="138">
        <f>'Expenditures 15-22'!E44</f>
        <v>36495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36495</v>
      </c>
      <c r="C847" s="2" t="s">
        <v>573</v>
      </c>
      <c r="D847" s="2" t="str">
        <f t="shared" si="12"/>
        <v>Error?</v>
      </c>
    </row>
    <row r="848" spans="1:4" x14ac:dyDescent="0.2">
      <c r="A848" s="5">
        <v>787</v>
      </c>
      <c r="B848" s="138">
        <f>'Expenditures 15-22'!E49</f>
        <v>9964</v>
      </c>
      <c r="D848" s="2" t="str">
        <f t="shared" si="12"/>
        <v>Error?</v>
      </c>
    </row>
    <row r="849" spans="1:4" x14ac:dyDescent="0.2">
      <c r="A849" s="5">
        <v>788</v>
      </c>
      <c r="B849" s="138">
        <f>'Expenditures 15-22'!E50</f>
        <v>15497</v>
      </c>
      <c r="D849" s="2" t="str">
        <f t="shared" si="12"/>
        <v>Error?</v>
      </c>
    </row>
    <row r="850" spans="1:4" x14ac:dyDescent="0.2">
      <c r="A850" s="5">
        <v>789</v>
      </c>
      <c r="B850" s="138">
        <f>'Expenditures 15-22'!E53</f>
        <v>25461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6705</v>
      </c>
      <c r="D855" s="2" t="str">
        <f t="shared" si="12"/>
        <v>Error?</v>
      </c>
    </row>
    <row r="856" spans="1:4" x14ac:dyDescent="0.2">
      <c r="A856" s="5">
        <v>795</v>
      </c>
      <c r="B856" s="138">
        <f>'Expenditures 15-22'!E61</f>
        <v>159274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165979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250190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252576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50</v>
      </c>
      <c r="D890" s="2" t="str">
        <f t="shared" si="12"/>
        <v>Error?</v>
      </c>
    </row>
    <row r="891" spans="1:4" x14ac:dyDescent="0.2">
      <c r="A891" s="5">
        <v>830</v>
      </c>
      <c r="B891" s="138">
        <f>'Expenditures 15-22'!F13</f>
        <v>177689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177739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2488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2488</v>
      </c>
      <c r="C901" s="2" t="s">
        <v>573</v>
      </c>
      <c r="D901" s="2" t="str">
        <f t="shared" si="13"/>
        <v>Error?</v>
      </c>
    </row>
    <row r="902" spans="1:4" x14ac:dyDescent="0.2">
      <c r="A902" s="5">
        <v>841</v>
      </c>
      <c r="B902" s="138">
        <f>'Expenditures 15-22'!F44</f>
        <v>34399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4208</v>
      </c>
      <c r="D904" s="2" t="str">
        <f t="shared" si="13"/>
        <v>Error?</v>
      </c>
    </row>
    <row r="905" spans="1:4" x14ac:dyDescent="0.2">
      <c r="A905" s="5">
        <v>844</v>
      </c>
      <c r="B905" s="138">
        <f>'Expenditures 15-22'!F47</f>
        <v>38607</v>
      </c>
      <c r="C905" s="2" t="s">
        <v>573</v>
      </c>
      <c r="D905" s="2" t="str">
        <f t="shared" si="13"/>
        <v>Error?</v>
      </c>
    </row>
    <row r="906" spans="1:4" x14ac:dyDescent="0.2">
      <c r="A906" s="5">
        <v>845</v>
      </c>
      <c r="B906" s="138">
        <f>'Expenditures 15-22'!F49</f>
        <v>170</v>
      </c>
      <c r="D906" s="2" t="str">
        <f t="shared" si="13"/>
        <v>Error?</v>
      </c>
    </row>
    <row r="907" spans="1:4" x14ac:dyDescent="0.2">
      <c r="A907" s="5">
        <v>846</v>
      </c>
      <c r="B907" s="138">
        <f>'Expenditures 15-22'!F50</f>
        <v>5823</v>
      </c>
      <c r="D907" s="2" t="str">
        <f t="shared" si="13"/>
        <v>Error?</v>
      </c>
    </row>
    <row r="908" spans="1:4" x14ac:dyDescent="0.2">
      <c r="A908" s="5">
        <v>847</v>
      </c>
      <c r="B908" s="138">
        <f>'Expenditures 15-22'!F53</f>
        <v>5993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1462</v>
      </c>
      <c r="D913" s="2" t="str">
        <f t="shared" si="13"/>
        <v>Error?</v>
      </c>
    </row>
    <row r="914" spans="1:4" x14ac:dyDescent="0.2">
      <c r="A914" s="5">
        <v>853</v>
      </c>
      <c r="B914" s="138">
        <f>'Expenditures 15-22'!F61</f>
        <v>122952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124414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171502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349241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26289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26289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96867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96867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160118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160118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256985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283274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251928</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251928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1454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1454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2426</v>
      </c>
      <c r="D1023" s="2" t="str">
        <f t="shared" ref="D1023:D1086" si="15">IF(ISBLANK(B1023),"OK",IF(A1023-B1023=0,"OK","Error?"))</f>
        <v>Error?</v>
      </c>
    </row>
    <row r="1024" spans="1:4" x14ac:dyDescent="0.2">
      <c r="A1024" s="5">
        <v>963</v>
      </c>
      <c r="B1024" s="138">
        <f>'Expenditures 15-22'!H53</f>
        <v>2426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335</v>
      </c>
      <c r="D1029" s="2" t="str">
        <f t="shared" si="15"/>
        <v>Error?</v>
      </c>
    </row>
    <row r="1030" spans="1:4" x14ac:dyDescent="0.2">
      <c r="A1030" s="5">
        <v>969</v>
      </c>
      <c r="B1030" s="138">
        <f>'Expenditures 15-22'!H61</f>
        <v>586</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921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4801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256729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10392</v>
      </c>
      <c r="C1104" s="2" t="s">
        <v>573</v>
      </c>
      <c r="D1104" s="2" t="str">
        <f t="shared" si="16"/>
        <v>Error?</v>
      </c>
    </row>
    <row r="1105" spans="1:4" x14ac:dyDescent="0.2">
      <c r="A1105" s="5">
        <v>1044</v>
      </c>
      <c r="B1105" s="138">
        <f>'Expenditures 15-22'!K13</f>
        <v>1996777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2007169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249208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249208</v>
      </c>
      <c r="C1115" s="2" t="s">
        <v>573</v>
      </c>
      <c r="D1115" s="2" t="str">
        <f t="shared" si="16"/>
        <v>Error?</v>
      </c>
    </row>
    <row r="1116" spans="1:4" x14ac:dyDescent="0.2">
      <c r="A1116" s="5">
        <v>1055</v>
      </c>
      <c r="B1116" s="138">
        <f>'Expenditures 15-22'!K44</f>
        <v>330528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4208</v>
      </c>
      <c r="C1118" s="2" t="s">
        <v>573</v>
      </c>
      <c r="D1118" s="2" t="str">
        <f t="shared" si="16"/>
        <v>Error?</v>
      </c>
    </row>
    <row r="1119" spans="1:4" x14ac:dyDescent="0.2">
      <c r="A1119" s="5">
        <v>1058</v>
      </c>
      <c r="B1119" s="138">
        <f>'Expenditures 15-22'!K47</f>
        <v>334736</v>
      </c>
      <c r="C1119" s="2" t="s">
        <v>573</v>
      </c>
      <c r="D1119" s="2" t="str">
        <f t="shared" si="16"/>
        <v>Error?</v>
      </c>
    </row>
    <row r="1120" spans="1:4" x14ac:dyDescent="0.2">
      <c r="A1120" s="5">
        <v>1059</v>
      </c>
      <c r="B1120" s="138">
        <f>'Expenditures 15-22'!K49</f>
        <v>10134</v>
      </c>
      <c r="C1120" s="2" t="s">
        <v>573</v>
      </c>
      <c r="D1120" s="2" t="str">
        <f t="shared" si="16"/>
        <v>Error?</v>
      </c>
    </row>
    <row r="1121" spans="1:4" x14ac:dyDescent="0.2">
      <c r="A1121" s="5">
        <v>1060</v>
      </c>
      <c r="B1121" s="138">
        <f>'Expenditures 15-22'!K50</f>
        <v>239190</v>
      </c>
      <c r="C1121" s="2" t="s">
        <v>573</v>
      </c>
      <c r="D1121" s="2" t="str">
        <f t="shared" si="16"/>
        <v>Error?</v>
      </c>
    </row>
    <row r="1122" spans="1:4" x14ac:dyDescent="0.2">
      <c r="A1122" s="5">
        <v>1061</v>
      </c>
      <c r="B1122" s="138">
        <f>'Expenditures 15-22'!K53</f>
        <v>249324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89632</v>
      </c>
      <c r="C1127" s="2" t="s">
        <v>573</v>
      </c>
      <c r="D1127" s="2" t="str">
        <f t="shared" si="16"/>
        <v>Error?</v>
      </c>
    </row>
    <row r="1128" spans="1:4" x14ac:dyDescent="0.2">
      <c r="A1128" s="5">
        <v>1067</v>
      </c>
      <c r="B1128" s="138">
        <f>'Expenditures 15-22'!K61</f>
        <v>675450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765082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1598350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3605519</v>
      </c>
      <c r="C1152" s="2" t="s">
        <v>573</v>
      </c>
      <c r="D1152" s="2" t="str">
        <f t="shared" si="17"/>
        <v>Error?</v>
      </c>
    </row>
    <row r="1153" spans="1:4" x14ac:dyDescent="0.2">
      <c r="A1153" s="5">
        <v>1092</v>
      </c>
      <c r="B1153" s="138">
        <f>'Expenditures 15-22'!K115</f>
        <v>80116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46988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241988</v>
      </c>
      <c r="C1317" s="2" t="s">
        <v>573</v>
      </c>
      <c r="D1317" s="2" t="str">
        <f t="shared" si="19"/>
        <v>Error?</v>
      </c>
    </row>
    <row r="1318" spans="1:4" x14ac:dyDescent="0.2">
      <c r="A1318" s="5">
        <v>1257</v>
      </c>
      <c r="B1318" s="138">
        <f>'Expenditures 15-22'!H174</f>
        <v>241988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46988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241988</v>
      </c>
      <c r="C1331" s="2" t="s">
        <v>573</v>
      </c>
      <c r="D1331" s="2" t="str">
        <f t="shared" si="19"/>
        <v>Error?</v>
      </c>
    </row>
    <row r="1332" spans="1:4" x14ac:dyDescent="0.2">
      <c r="A1332" s="5">
        <v>1271</v>
      </c>
      <c r="B1332" s="138">
        <f>'Expenditures 15-22'!K174</f>
        <v>241988</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21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944705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1024821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4099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4120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1740000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90524</v>
      </c>
      <c r="D2008" s="2" t="str">
        <f t="shared" si="30"/>
        <v>Error?</v>
      </c>
    </row>
    <row r="2009" spans="1:4" x14ac:dyDescent="0.2">
      <c r="A2009" s="5">
        <v>1948</v>
      </c>
      <c r="B2009" s="138">
        <f>'Cap Outlay Deprec 26'!C8</f>
        <v>8068865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36010</v>
      </c>
      <c r="D2011" s="2" t="str">
        <f t="shared" si="30"/>
        <v>Error?</v>
      </c>
    </row>
    <row r="2012" spans="1:4" x14ac:dyDescent="0.2">
      <c r="A2012" s="5">
        <v>1951</v>
      </c>
      <c r="B2012" s="138">
        <f>'Cap Outlay Deprec 26'!C13</f>
        <v>1578657</v>
      </c>
      <c r="D2012" s="2" t="str">
        <f t="shared" si="30"/>
        <v>Error?</v>
      </c>
    </row>
    <row r="2013" spans="1:4" x14ac:dyDescent="0.2">
      <c r="A2013" s="5">
        <v>1952</v>
      </c>
      <c r="B2013" s="138">
        <f>'Cap Outlay Deprec 26'!C16</f>
        <v>9774056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53198</v>
      </c>
      <c r="D2018" s="2" t="str">
        <f t="shared" si="30"/>
        <v>Error?</v>
      </c>
    </row>
    <row r="2019" spans="1:4" x14ac:dyDescent="0.2">
      <c r="A2019" s="5">
        <v>1958</v>
      </c>
      <c r="B2019" s="138">
        <f>'Cap Outlay Deprec 26'!D16</f>
        <v>53198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90524</v>
      </c>
      <c r="C2026" s="2" t="s">
        <v>573</v>
      </c>
      <c r="D2026" s="2" t="str">
        <f t="shared" si="30"/>
        <v>Error?</v>
      </c>
    </row>
    <row r="2027" spans="1:4" x14ac:dyDescent="0.2">
      <c r="A2027" s="5">
        <v>1966</v>
      </c>
      <c r="B2027" s="138">
        <f>'Cap Outlay Deprec 26'!F8</f>
        <v>8068865</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36010</v>
      </c>
      <c r="C2029" s="2" t="s">
        <v>573</v>
      </c>
      <c r="D2029" s="2" t="str">
        <f t="shared" si="30"/>
        <v>Error?</v>
      </c>
    </row>
    <row r="2030" spans="1:4" x14ac:dyDescent="0.2">
      <c r="A2030" s="5">
        <v>1969</v>
      </c>
      <c r="B2030" s="138">
        <f>'Cap Outlay Deprec 26'!F13</f>
        <v>1631855</v>
      </c>
      <c r="C2030" s="2" t="s">
        <v>573</v>
      </c>
      <c r="D2030" s="2" t="str">
        <f t="shared" si="30"/>
        <v>Error?</v>
      </c>
    </row>
    <row r="2031" spans="1:4" x14ac:dyDescent="0.2">
      <c r="A2031" s="5">
        <v>1970</v>
      </c>
      <c r="B2031" s="138">
        <f>'Cap Outlay Deprec 26'!F16</f>
        <v>9827254</v>
      </c>
      <c r="C2031" s="2" t="s">
        <v>573</v>
      </c>
      <c r="D2031" s="2" t="str">
        <f t="shared" si="30"/>
        <v>Error?</v>
      </c>
    </row>
    <row r="2032" spans="1:4" x14ac:dyDescent="0.2">
      <c r="A2032" s="10">
        <v>1971</v>
      </c>
      <c r="D2032" s="2" t="str">
        <f t="shared" si="30"/>
        <v>OK</v>
      </c>
    </row>
    <row r="2033" spans="1:4" x14ac:dyDescent="0.2">
      <c r="A2033" s="5">
        <v>1972</v>
      </c>
      <c r="B2033" s="138">
        <f>'Cap Outlay Deprec 26'!H8</f>
        <v>3345234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33992</v>
      </c>
      <c r="D2035" s="2" t="str">
        <f t="shared" si="30"/>
        <v>Error?</v>
      </c>
    </row>
    <row r="2036" spans="1:4" x14ac:dyDescent="0.2">
      <c r="A2036" s="5">
        <v>1975</v>
      </c>
      <c r="B2036" s="138">
        <f>'Cap Outlay Deprec 26'!H13</f>
        <v>1413733</v>
      </c>
      <c r="D2036" s="2" t="str">
        <f t="shared" si="30"/>
        <v>Error?</v>
      </c>
    </row>
    <row r="2037" spans="1:4" x14ac:dyDescent="0.2">
      <c r="A2037" s="5">
        <v>1976</v>
      </c>
      <c r="B2037" s="138">
        <f>'Cap Outlay Deprec 26'!H16</f>
        <v>4792959</v>
      </c>
      <c r="C2037" s="2" t="s">
        <v>573</v>
      </c>
      <c r="D2037" s="2" t="str">
        <f t="shared" si="30"/>
        <v>Error?</v>
      </c>
    </row>
    <row r="2038" spans="1:4" x14ac:dyDescent="0.2">
      <c r="A2038" s="10">
        <v>1977</v>
      </c>
      <c r="D2038" s="2" t="str">
        <f t="shared" si="30"/>
        <v>OK</v>
      </c>
    </row>
    <row r="2039" spans="1:4" x14ac:dyDescent="0.2">
      <c r="A2039" s="5">
        <v>1978</v>
      </c>
      <c r="B2039" s="138">
        <f>'Cap Outlay Deprec 26'!I8</f>
        <v>169401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505</v>
      </c>
      <c r="D2041" s="2" t="str">
        <f t="shared" si="30"/>
        <v>Error?</v>
      </c>
    </row>
    <row r="2042" spans="1:4" x14ac:dyDescent="0.2">
      <c r="A2042" s="5">
        <v>1981</v>
      </c>
      <c r="B2042" s="138">
        <f>'Cap Outlay Deprec 26'!I13</f>
        <v>51204</v>
      </c>
      <c r="D2042" s="2" t="str">
        <f t="shared" si="30"/>
        <v>Error?</v>
      </c>
    </row>
    <row r="2043" spans="1:4" x14ac:dyDescent="0.2">
      <c r="A2043" s="5">
        <v>1982</v>
      </c>
      <c r="B2043" s="138">
        <f>'Cap Outlay Deprec 26'!I16</f>
        <v>221110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3514635</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34497</v>
      </c>
      <c r="C2053" s="2" t="s">
        <v>573</v>
      </c>
      <c r="D2053" s="2" t="str">
        <f t="shared" si="31"/>
        <v>Error?</v>
      </c>
    </row>
    <row r="2054" spans="1:4" x14ac:dyDescent="0.2">
      <c r="A2054" s="5">
        <v>1993</v>
      </c>
      <c r="B2054" s="138">
        <f>'Cap Outlay Deprec 26'!K13</f>
        <v>1464937</v>
      </c>
      <c r="C2054" s="2" t="s">
        <v>573</v>
      </c>
      <c r="D2054" s="2" t="str">
        <f t="shared" si="31"/>
        <v>Error?</v>
      </c>
    </row>
    <row r="2055" spans="1:4" x14ac:dyDescent="0.2">
      <c r="A2055" s="5">
        <v>1994</v>
      </c>
      <c r="B2055" s="138">
        <f>'Cap Outlay Deprec 26'!K16</f>
        <v>5014069</v>
      </c>
      <c r="C2055" s="2" t="s">
        <v>573</v>
      </c>
      <c r="D2055" s="2" t="str">
        <f t="shared" si="31"/>
        <v>Error?</v>
      </c>
    </row>
    <row r="2056" spans="1:4" x14ac:dyDescent="0.2">
      <c r="A2056" s="5">
        <v>1995</v>
      </c>
      <c r="B2056" s="138">
        <f>'Cap Outlay Deprec 26'!L5</f>
        <v>90524</v>
      </c>
      <c r="C2056" s="2" t="s">
        <v>573</v>
      </c>
      <c r="D2056" s="2" t="str">
        <f t="shared" si="31"/>
        <v>Error?</v>
      </c>
    </row>
    <row r="2057" spans="1:4" x14ac:dyDescent="0.2">
      <c r="A2057" s="5">
        <v>1996</v>
      </c>
      <c r="B2057" s="138">
        <f>'Cap Outlay Deprec 26'!L8</f>
        <v>4554230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1513</v>
      </c>
      <c r="C2059" s="2" t="s">
        <v>573</v>
      </c>
      <c r="D2059" s="2" t="str">
        <f t="shared" si="31"/>
        <v>Error?</v>
      </c>
    </row>
    <row r="2060" spans="1:4" x14ac:dyDescent="0.2">
      <c r="A2060" s="5">
        <v>1999</v>
      </c>
      <c r="B2060" s="138">
        <f>'Cap Outlay Deprec 26'!L13</f>
        <v>166918</v>
      </c>
      <c r="C2060" s="2" t="s">
        <v>573</v>
      </c>
      <c r="D2060" s="2" t="str">
        <f t="shared" si="31"/>
        <v>Error?</v>
      </c>
    </row>
    <row r="2061" spans="1:4" x14ac:dyDescent="0.2">
      <c r="A2061" s="5">
        <v>2000</v>
      </c>
      <c r="B2061" s="138">
        <f>'Cap Outlay Deprec 26'!L16</f>
        <v>4813185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139166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4120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2971831</v>
      </c>
      <c r="C2551" s="2" t="s">
        <v>573</v>
      </c>
      <c r="D2551" s="2" t="str">
        <f t="shared" si="38"/>
        <v>Error?</v>
      </c>
    </row>
    <row r="2552" spans="1:4" x14ac:dyDescent="0.2">
      <c r="A2552" s="10">
        <v>2491</v>
      </c>
      <c r="D2552" s="2" t="str">
        <f t="shared" si="38"/>
        <v>OK</v>
      </c>
    </row>
    <row r="2553" spans="1:4" x14ac:dyDescent="0.2">
      <c r="A2553" s="5">
        <v>2492</v>
      </c>
      <c r="B2553" s="138">
        <f>'Acct Summary 7-8'!C6</f>
        <v>591891</v>
      </c>
      <c r="C2553" s="2" t="s">
        <v>573</v>
      </c>
      <c r="D2553" s="2" t="str">
        <f t="shared" si="38"/>
        <v>Error?</v>
      </c>
    </row>
    <row r="2554" spans="1:4" x14ac:dyDescent="0.2">
      <c r="A2554" s="5">
        <v>2493</v>
      </c>
      <c r="B2554" s="138">
        <f>'Acct Summary 7-8'!C7</f>
        <v>121913</v>
      </c>
      <c r="C2554" s="2" t="s">
        <v>573</v>
      </c>
      <c r="D2554" s="2" t="str">
        <f t="shared" si="38"/>
        <v>Error?</v>
      </c>
    </row>
    <row r="2555" spans="1:4" x14ac:dyDescent="0.2">
      <c r="A2555" s="5">
        <v>2494</v>
      </c>
      <c r="B2555" s="138">
        <f>'Acct Summary 7-8'!C8</f>
        <v>3685635</v>
      </c>
      <c r="C2555" s="2" t="s">
        <v>573</v>
      </c>
      <c r="D2555" s="2" t="str">
        <f t="shared" si="38"/>
        <v>Error?</v>
      </c>
    </row>
    <row r="2556" spans="1:4" x14ac:dyDescent="0.2">
      <c r="A2556" s="5">
        <v>2495</v>
      </c>
      <c r="B2556" s="138">
        <f>'Acct Summary 7-8'!C12</f>
        <v>2007169</v>
      </c>
      <c r="C2556" s="2" t="s">
        <v>573</v>
      </c>
      <c r="D2556" s="2" t="str">
        <f t="shared" si="38"/>
        <v>Error?</v>
      </c>
    </row>
    <row r="2557" spans="1:4" x14ac:dyDescent="0.2">
      <c r="A2557" s="5">
        <v>2496</v>
      </c>
      <c r="B2557" s="138">
        <f>'Acct Summary 7-8'!C13</f>
        <v>1598350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3605519</v>
      </c>
      <c r="C2561" s="2" t="s">
        <v>573</v>
      </c>
      <c r="D2561" s="2" t="str">
        <f t="shared" si="39"/>
        <v>Error?</v>
      </c>
    </row>
    <row r="2562" spans="1:4" x14ac:dyDescent="0.2">
      <c r="A2562" s="5">
        <v>2501</v>
      </c>
      <c r="B2562" s="138">
        <f>'Acct Summary 7-8'!C20</f>
        <v>80116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241988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241988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241988</v>
      </c>
      <c r="C2634" s="2" t="s">
        <v>573</v>
      </c>
      <c r="D2634" s="2" t="str">
        <f t="shared" si="40"/>
        <v>Error?</v>
      </c>
    </row>
    <row r="2635" spans="1:4" x14ac:dyDescent="0.2">
      <c r="A2635" s="5">
        <v>2574</v>
      </c>
      <c r="B2635" s="138">
        <f>'Acct Summary 7-8'!E17</f>
        <v>241988</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21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39625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39625</v>
      </c>
      <c r="D2914" s="2" t="str">
        <f t="shared" si="44"/>
        <v>Error?</v>
      </c>
    </row>
    <row r="2915" spans="1:4" x14ac:dyDescent="0.2">
      <c r="A2915" s="10">
        <v>2854</v>
      </c>
      <c r="D2915" s="2" t="str">
        <f t="shared" si="44"/>
        <v>OK</v>
      </c>
    </row>
    <row r="2916" spans="1:4" x14ac:dyDescent="0.2">
      <c r="A2916" s="5">
        <v>2855</v>
      </c>
      <c r="B2916" s="138">
        <f>'Assets-Liab 5-6'!L34</f>
        <v>39625</v>
      </c>
      <c r="C2916" s="2" t="s">
        <v>573</v>
      </c>
      <c r="D2916" s="2" t="str">
        <f t="shared" si="44"/>
        <v>Error?</v>
      </c>
    </row>
    <row r="2917" spans="1:4" x14ac:dyDescent="0.2">
      <c r="A2917" s="5">
        <v>2856</v>
      </c>
      <c r="B2917" s="138">
        <f>'Assets-Liab 5-6'!L41</f>
        <v>39625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80116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1023681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4120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39625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157449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3843084</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241988</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21</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157449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3762968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241988</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1545000</v>
      </c>
      <c r="C4171" s="2" t="s">
        <v>573</v>
      </c>
      <c r="D4171" s="2" t="str">
        <f t="shared" si="64"/>
        <v>Error?</v>
      </c>
    </row>
    <row r="4172" spans="1:4" x14ac:dyDescent="0.2">
      <c r="A4172" s="5">
        <v>4111</v>
      </c>
      <c r="B4172" s="138">
        <f>'Short-Term Long-Term Debt 24'!J49</f>
        <v>1545000</v>
      </c>
      <c r="C4172" s="2" t="s">
        <v>573</v>
      </c>
      <c r="D4172" s="2" t="str">
        <f t="shared" si="64"/>
        <v>Error?</v>
      </c>
    </row>
    <row r="4173" spans="1:4" x14ac:dyDescent="0.2">
      <c r="A4173" s="5">
        <v>4112</v>
      </c>
      <c r="B4173" s="138">
        <f>'Short-Term Long-Term Debt 24'!H49</f>
        <v>195000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1024821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1545000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2864398</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12560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2876958</v>
      </c>
      <c r="C5087" s="2" t="s">
        <v>573</v>
      </c>
      <c r="D5087" s="2" t="str">
        <f t="shared" si="78"/>
        <v>Error?</v>
      </c>
    </row>
    <row r="5088" spans="1:4" x14ac:dyDescent="0.2">
      <c r="A5088" s="5">
        <v>5027</v>
      </c>
      <c r="B5088" s="138">
        <f>'Revenues 9-14'!C65</f>
        <v>922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922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33266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33266</v>
      </c>
      <c r="C5102" s="2" t="s">
        <v>573</v>
      </c>
      <c r="D5102" s="2" t="str">
        <f t="shared" si="78"/>
        <v>Error?</v>
      </c>
    </row>
    <row r="5103" spans="1:4" x14ac:dyDescent="0.2">
      <c r="A5103" s="5">
        <v>5042</v>
      </c>
      <c r="B5103" s="138">
        <f>'Revenues 9-14'!C84</f>
        <v>6713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6713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48903</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5069</v>
      </c>
      <c r="D5119" s="2" t="str">
        <f t="shared" ref="D5119:D5182" si="79">IF(ISBLANK(B5119),"OK",IF(A5119-B5119=0,"OK","Error?"))</f>
        <v>Error?</v>
      </c>
    </row>
    <row r="5120" spans="1:4" x14ac:dyDescent="0.2">
      <c r="A5120" s="5">
        <v>5059</v>
      </c>
      <c r="B5120" s="138">
        <f>'Revenues 9-14'!C108</f>
        <v>53972</v>
      </c>
      <c r="C5120" s="2" t="s">
        <v>573</v>
      </c>
      <c r="D5120" s="2" t="str">
        <f t="shared" si="79"/>
        <v>Error?</v>
      </c>
    </row>
    <row r="5121" spans="1:4" x14ac:dyDescent="0.2">
      <c r="A5121" s="5">
        <v>5060</v>
      </c>
      <c r="B5121" s="138">
        <f>'Revenues 9-14'!C109</f>
        <v>2971831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590828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591891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591891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591891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121913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121913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121913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121913</v>
      </c>
      <c r="C5326" s="2" t="s">
        <v>573</v>
      </c>
      <c r="D5326" s="2" t="str">
        <f t="shared" si="82"/>
        <v>Error?</v>
      </c>
    </row>
    <row r="5327" spans="1:5" x14ac:dyDescent="0.2">
      <c r="A5327" s="5">
        <v>5266</v>
      </c>
      <c r="B5327" s="138">
        <f>'Revenues 9-14'!C268</f>
        <v>3685635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241988</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241988</v>
      </c>
      <c r="C5526" s="2" t="s">
        <v>573</v>
      </c>
      <c r="D5526" s="2" t="str">
        <f t="shared" si="85"/>
        <v>Error?</v>
      </c>
    </row>
    <row r="5527" spans="1:4" x14ac:dyDescent="0.2">
      <c r="A5527" s="5">
        <v>5466</v>
      </c>
      <c r="B5527" s="138">
        <f>'Revenues 9-14'!E109</f>
        <v>241988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241988</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21</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21</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1140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80116</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21</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7.8175603349267819E-2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f>'Acct Summary 7-8'!H83</f>
        <v>5.0970873786407769E-3</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1063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221110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76283</v>
      </c>
      <c r="D7797" s="2" t="str">
        <f t="shared" si="127"/>
        <v>Error?</v>
      </c>
      <c r="E7797" s="4" t="s">
        <v>1903</v>
      </c>
    </row>
    <row r="7798" spans="1:5" x14ac:dyDescent="0.2">
      <c r="A7798">
        <v>7737</v>
      </c>
      <c r="B7798" s="138">
        <f>'Contracts Paid in CY 29'!F141</f>
        <v>52790</v>
      </c>
      <c r="D7798" s="2" t="str">
        <f t="shared" si="127"/>
        <v>Error?</v>
      </c>
      <c r="E7798" s="4" t="s">
        <v>1903</v>
      </c>
    </row>
    <row r="7799" spans="1:5" x14ac:dyDescent="0.2">
      <c r="A7799">
        <v>7738</v>
      </c>
      <c r="B7799" s="138">
        <f>'Contracts Paid in CY 29'!G141</f>
        <v>23493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1987</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Wilco Area Career Center</v>
      </c>
      <c r="B7" s="2411"/>
      <c r="C7" s="2411"/>
      <c r="D7" s="2412"/>
      <c r="E7" s="2413">
        <f>COVER!A13</f>
        <v>56000000040</v>
      </c>
      <c r="F7" s="2414"/>
      <c r="G7" s="2420" t="str">
        <f>COVER!T23</f>
        <v>066-005100</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Mack &amp; Associates, P.C.</v>
      </c>
      <c r="H9" s="2426"/>
      <c r="I9" s="2426"/>
      <c r="J9" s="2426"/>
      <c r="K9" s="2426"/>
      <c r="L9" s="2427"/>
    </row>
    <row r="10" spans="1:29" ht="13.5" customHeight="1" x14ac:dyDescent="0.2">
      <c r="A10" s="2400" t="str">
        <f>COVER!A38</f>
        <v>Elizabeth Kaufman</v>
      </c>
      <c r="B10" s="2401"/>
      <c r="C10" s="2401"/>
      <c r="D10" s="2401"/>
      <c r="E10" s="2401"/>
      <c r="F10" s="2402"/>
      <c r="G10" s="2394" t="str">
        <f>COVER!T17</f>
        <v>116 E. Washington St., Suite One</v>
      </c>
      <c r="H10" s="2395"/>
      <c r="I10" s="2395"/>
      <c r="J10" s="2395"/>
      <c r="K10" s="2395"/>
      <c r="L10" s="2396"/>
    </row>
    <row r="11" spans="1:29" ht="13.5" customHeight="1" x14ac:dyDescent="0.2">
      <c r="A11" s="1184" t="s">
        <v>1519</v>
      </c>
      <c r="B11" s="1185"/>
      <c r="C11" s="1186"/>
      <c r="D11" s="1191"/>
      <c r="E11" s="1186"/>
      <c r="F11" s="1190"/>
      <c r="G11" s="2394" t="str">
        <f>COVER!T19</f>
        <v>Morris</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tmack@mackcpas.com</v>
      </c>
      <c r="J13" s="2407"/>
      <c r="K13" s="2407"/>
      <c r="L13" s="2408"/>
    </row>
    <row r="14" spans="1:29" ht="13.5" customHeight="1" x14ac:dyDescent="0.2">
      <c r="A14" s="2394" t="str">
        <f>COVER!A19</f>
        <v>500 Wilco Boulevard</v>
      </c>
      <c r="B14" s="2395"/>
      <c r="C14" s="2395"/>
      <c r="D14" s="2395"/>
      <c r="E14" s="2395"/>
      <c r="F14" s="2396"/>
      <c r="G14" s="1195" t="s">
        <v>1185</v>
      </c>
      <c r="H14" s="1193"/>
      <c r="I14" s="1193"/>
      <c r="J14" s="1193"/>
      <c r="K14" s="1193"/>
      <c r="L14" s="1194"/>
    </row>
    <row r="15" spans="1:29" ht="13.5" customHeight="1" x14ac:dyDescent="0.2">
      <c r="A15" s="2394" t="str">
        <f>COVER!A21</f>
        <v>Romeoville</v>
      </c>
      <c r="B15" s="2395"/>
      <c r="C15" s="2395"/>
      <c r="D15" s="2395"/>
      <c r="E15" s="2395"/>
      <c r="F15" s="2396"/>
      <c r="G15" s="2391" t="str">
        <f>COVER!T15</f>
        <v>Tawnya Mack, CPA</v>
      </c>
      <c r="H15" s="2392"/>
      <c r="I15" s="2392"/>
      <c r="J15" s="2392"/>
      <c r="K15" s="2392"/>
      <c r="L15" s="2393"/>
    </row>
    <row r="16" spans="1:29" ht="12.2" customHeight="1" x14ac:dyDescent="0.2">
      <c r="A16" s="2416">
        <f>COVER!A25</f>
        <v>60441</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815-942-3306</v>
      </c>
      <c r="H18" s="2411"/>
      <c r="I18" s="2411"/>
      <c r="J18" s="2411"/>
      <c r="K18" s="2410" t="str">
        <f>COVER!X21</f>
        <v>815-942-9430</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Wilco Area Career Center</v>
      </c>
      <c r="B1" s="2409"/>
      <c r="C1" s="2409"/>
      <c r="D1" s="2409"/>
    </row>
    <row r="2" spans="1:11" s="1212" customFormat="1" ht="12.75" x14ac:dyDescent="0.2">
      <c r="A2" s="2433">
        <f>'Single Audit Cover'!E7</f>
        <v>56000000040</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Wilco Area Career Center</v>
      </c>
      <c r="B1" s="2436"/>
      <c r="C1" s="2436"/>
      <c r="D1" s="2436"/>
      <c r="E1" s="2436"/>
    </row>
    <row r="2" spans="1:5" x14ac:dyDescent="0.2">
      <c r="A2" s="2437">
        <f>'Single Audit Cover'!E7</f>
        <v>56000000040</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121913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121913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121913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121913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Wilco Area Career Center</v>
      </c>
      <c r="C1" s="2440"/>
      <c r="D1" s="2440"/>
      <c r="E1" s="2440"/>
      <c r="F1" s="2440"/>
      <c r="G1" s="2440"/>
      <c r="H1" s="2440"/>
      <c r="I1" s="2440"/>
      <c r="J1" s="2440"/>
      <c r="K1" s="2440"/>
      <c r="L1" s="2440"/>
      <c r="M1" s="2440"/>
    </row>
    <row r="2" spans="2:14" ht="15" x14ac:dyDescent="0.2">
      <c r="B2" s="2441">
        <f>'Single Audit Cover'!E7</f>
        <v>56000000040</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Wilco Area Career Center</v>
      </c>
      <c r="B1" s="2453"/>
      <c r="C1" s="2453"/>
      <c r="D1" s="2453"/>
      <c r="E1" s="2453"/>
      <c r="F1" s="2453"/>
    </row>
    <row r="2" spans="1:7" ht="13.5" customHeight="1" x14ac:dyDescent="0.2">
      <c r="A2" s="2441">
        <f>'Single Audit Cover'!E7</f>
        <v>56000000040</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1729</v>
      </c>
      <c r="B7" s="2452"/>
      <c r="C7" s="2452"/>
      <c r="D7" s="2452"/>
      <c r="E7" s="2452"/>
      <c r="F7" s="245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2" t="s">
        <v>1731</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2064</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2083</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Wilco Area Career Center</v>
      </c>
      <c r="C1" s="2468"/>
      <c r="D1" s="2468"/>
      <c r="E1" s="2468"/>
      <c r="F1" s="2468"/>
      <c r="G1" s="2468"/>
      <c r="H1" s="2468"/>
      <c r="I1" s="2468"/>
      <c r="J1" s="1406"/>
    </row>
    <row r="2" spans="2:10" s="317" customFormat="1" ht="12.75" customHeight="1" x14ac:dyDescent="0.2">
      <c r="B2" s="2469">
        <f>'Single Audit Cover'!E7</f>
        <v>56000000040</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c r="E29" s="2474"/>
      <c r="F29" s="2474"/>
      <c r="G29" s="2474"/>
      <c r="H29" s="2474"/>
      <c r="I29" s="247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5" t="s">
        <v>1751</v>
      </c>
      <c r="D37" s="2476"/>
      <c r="E37" s="2476"/>
      <c r="F37" s="2477"/>
      <c r="G37" s="2475" t="s">
        <v>1592</v>
      </c>
      <c r="H37" s="2476"/>
      <c r="I37" s="2477"/>
    </row>
    <row r="38" spans="2:9" ht="16.5" customHeight="1" x14ac:dyDescent="0.2">
      <c r="B38" s="1428"/>
      <c r="C38" s="2463"/>
      <c r="D38" s="2464"/>
      <c r="E38" s="2464"/>
      <c r="F38" s="2465"/>
      <c r="G38" s="2478"/>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1593</v>
      </c>
      <c r="D43" s="2457"/>
      <c r="E43" s="2457"/>
      <c r="F43" s="2458"/>
      <c r="G43" s="2459">
        <f>SUM(G38:I42)</f>
        <v>0</v>
      </c>
      <c r="H43" s="2459"/>
      <c r="I43" s="2459"/>
    </row>
    <row r="44" spans="2:9" ht="12.75" customHeight="1" x14ac:dyDescent="0.2"/>
    <row r="45" spans="2:9" ht="12.75" customHeight="1" x14ac:dyDescent="0.2">
      <c r="B45" s="1419" t="s">
        <v>2062</v>
      </c>
      <c r="D45" s="2460">
        <v>0</v>
      </c>
      <c r="E45" s="246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2"/>
      <c r="F49" s="2462"/>
      <c r="G49" s="246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Wilco Area Career Center</v>
      </c>
      <c r="C1" s="2467"/>
      <c r="D1" s="2467"/>
      <c r="E1" s="2467"/>
      <c r="F1" s="2467"/>
      <c r="G1" s="2467"/>
      <c r="H1" s="2467"/>
      <c r="I1" s="2467"/>
      <c r="J1" s="2467"/>
      <c r="K1" s="2467"/>
      <c r="L1" s="1371"/>
      <c r="M1" s="1371"/>
    </row>
    <row r="2" spans="1:13" ht="12" customHeight="1" x14ac:dyDescent="0.2">
      <c r="B2" s="2469">
        <f>'Single Audit Cover'!E7</f>
        <v>56000000040</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Wilco Area Career Center</v>
      </c>
      <c r="C1" s="2490"/>
      <c r="D1" s="2490"/>
      <c r="E1" s="2490"/>
      <c r="F1" s="2490"/>
      <c r="G1" s="2490"/>
      <c r="H1" s="2490"/>
      <c r="I1" s="2490"/>
      <c r="J1" s="2490"/>
      <c r="K1" s="2490"/>
      <c r="L1" s="1449"/>
    </row>
    <row r="2" spans="1:12" ht="12.75" customHeight="1" x14ac:dyDescent="0.2">
      <c r="B2" s="2491">
        <f>'Single Audit Cover'!E7</f>
        <v>56000000040</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Wilco Area Career Center</v>
      </c>
      <c r="C1" s="2467"/>
      <c r="D1" s="2467"/>
      <c r="E1" s="1469"/>
    </row>
    <row r="2" spans="2:5" s="1279" customFormat="1" ht="12.75" customHeight="1" x14ac:dyDescent="0.2">
      <c r="B2" s="2469">
        <f>'Single Audit Cover'!E7</f>
        <v>56000000040</v>
      </c>
      <c r="C2" s="2469"/>
      <c r="D2" s="2469"/>
      <c r="E2" s="1470"/>
    </row>
    <row r="3" spans="2:5" ht="12.75" customHeight="1" x14ac:dyDescent="0.2">
      <c r="B3" s="2483" t="s">
        <v>1766</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3685635</v>
      </c>
      <c r="E16" s="356"/>
      <c r="F16" s="1733">
        <f>SUM('Acct Summary 7-8'!C17,'Acct Summary 7-8'!D17,'Acct Summary 7-8'!F17)</f>
        <v>3605519</v>
      </c>
      <c r="G16" s="356"/>
      <c r="H16" s="1733">
        <f>SUM(D16-F16)</f>
        <v>80116</v>
      </c>
      <c r="I16" s="222"/>
      <c r="J16" s="1733">
        <f>SUM('Acct Summary 7-8'!C81,'Acct Summary 7-8'!D81,'Acct Summary 7-8'!F81,'Acct Summary 7-8'!I81)</f>
        <v>1024821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Wilco Area Career Center</v>
      </c>
      <c r="E7" s="391"/>
      <c r="G7" s="252"/>
      <c r="H7" s="387"/>
      <c r="I7" s="387"/>
      <c r="J7" s="387"/>
      <c r="K7" s="387"/>
      <c r="L7" s="329"/>
      <c r="M7" s="329"/>
      <c r="N7" s="329"/>
      <c r="O7" s="329"/>
      <c r="P7" s="329"/>
    </row>
    <row r="8" spans="1:18" ht="12.75" x14ac:dyDescent="0.2">
      <c r="A8" s="329"/>
      <c r="B8" s="329"/>
      <c r="C8" s="389" t="s">
        <v>1125</v>
      </c>
      <c r="D8" s="392">
        <f>COVER!A13</f>
        <v>56000000040</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1024821</v>
      </c>
      <c r="I12" s="404"/>
      <c r="J12" s="404"/>
      <c r="K12" s="405">
        <f>TRUNC((H12/H13*100000),5)/100000</f>
        <v>0.27805819070000004</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3685635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3605519</v>
      </c>
      <c r="I17" s="404"/>
      <c r="J17" s="416"/>
      <c r="K17" s="405">
        <f>TRUNC((H17/H18*100000),5)/100000</f>
        <v>0.97826263309999995</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3685635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1023681</v>
      </c>
      <c r="I24" s="422"/>
      <c r="J24" s="422"/>
      <c r="K24" s="423">
        <f>TRUNC(((H24/H25*100000)/100000),2)</f>
        <v>102.21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10015.33056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1545000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18" activePane="bottomLeft" state="frozen"/>
      <selection pane="bottomLeft" activeCell="C44" sqref="C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1023681</v>
      </c>
      <c r="D4" s="466"/>
      <c r="E4" s="466"/>
      <c r="F4" s="466"/>
      <c r="G4" s="466"/>
      <c r="H4" s="466">
        <v>4120</v>
      </c>
      <c r="I4" s="466"/>
      <c r="J4" s="467"/>
      <c r="K4" s="466"/>
      <c r="L4" s="466">
        <v>39625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1140</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1024821</v>
      </c>
      <c r="D13" s="1737">
        <f t="shared" ref="D13:L13" si="0">SUM(D4:D12)</f>
        <v>0</v>
      </c>
      <c r="E13" s="1737">
        <f t="shared" si="0"/>
        <v>0</v>
      </c>
      <c r="F13" s="1737">
        <f t="shared" si="0"/>
        <v>0</v>
      </c>
      <c r="G13" s="1737">
        <f t="shared" si="0"/>
        <v>0</v>
      </c>
      <c r="H13" s="1737">
        <f t="shared" si="0"/>
        <v>4120</v>
      </c>
      <c r="I13" s="1737">
        <f t="shared" si="0"/>
        <v>0</v>
      </c>
      <c r="J13" s="1737">
        <f t="shared" si="0"/>
        <v>0</v>
      </c>
      <c r="K13" s="1737">
        <f t="shared" si="0"/>
        <v>0</v>
      </c>
      <c r="L13" s="1737">
        <f t="shared" si="0"/>
        <v>39625</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90524</v>
      </c>
      <c r="N16" s="484"/>
    </row>
    <row r="17" spans="1:14" s="485" customFormat="1" ht="12.75" customHeight="1" x14ac:dyDescent="0.2">
      <c r="A17" s="482" t="s">
        <v>1403</v>
      </c>
      <c r="B17" s="483">
        <v>230</v>
      </c>
      <c r="C17" s="477"/>
      <c r="D17" s="477"/>
      <c r="E17" s="477"/>
      <c r="F17" s="477"/>
      <c r="G17" s="477"/>
      <c r="H17" s="477"/>
      <c r="I17" s="477"/>
      <c r="J17" s="477"/>
      <c r="K17" s="477"/>
      <c r="L17" s="477"/>
      <c r="M17" s="467">
        <v>4554230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168431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1545000</v>
      </c>
    </row>
    <row r="23" spans="1:14" ht="13.5" customHeight="1" thickBot="1" x14ac:dyDescent="0.25">
      <c r="A23" s="1736" t="s">
        <v>643</v>
      </c>
      <c r="B23" s="1741"/>
      <c r="C23" s="468"/>
      <c r="D23" s="468"/>
      <c r="E23" s="468"/>
      <c r="F23" s="468"/>
      <c r="G23" s="468"/>
      <c r="H23" s="468"/>
      <c r="I23" s="468"/>
      <c r="J23" s="468"/>
      <c r="K23" s="468"/>
      <c r="L23" s="468"/>
      <c r="M23" s="1688">
        <f>SUM(M15:M22)</f>
        <v>4813185</v>
      </c>
      <c r="N23" s="1688">
        <f>SUM(N21:N22)</f>
        <v>1545000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39625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39625</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1545000</v>
      </c>
    </row>
    <row r="37" spans="1:14" ht="13.5" thickBot="1" x14ac:dyDescent="0.25">
      <c r="A37" s="1736" t="s">
        <v>653</v>
      </c>
      <c r="B37" s="1741"/>
      <c r="C37" s="477"/>
      <c r="D37" s="477"/>
      <c r="E37" s="477"/>
      <c r="F37" s="477"/>
      <c r="G37" s="477"/>
      <c r="H37" s="477"/>
      <c r="I37" s="477"/>
      <c r="J37" s="477"/>
      <c r="K37" s="477"/>
      <c r="L37" s="480"/>
      <c r="M37" s="468"/>
      <c r="N37" s="1688">
        <f>SUM(N36:N36)</f>
        <v>1545000</v>
      </c>
    </row>
    <row r="38" spans="1:14" s="329" customFormat="1" ht="13.5" customHeight="1" thickTop="1" x14ac:dyDescent="0.2">
      <c r="A38" s="496" t="s">
        <v>420</v>
      </c>
      <c r="B38" s="483">
        <v>714</v>
      </c>
      <c r="C38" s="466">
        <v>139166</v>
      </c>
      <c r="D38" s="466"/>
      <c r="E38" s="466"/>
      <c r="F38" s="466"/>
      <c r="G38" s="466"/>
      <c r="H38" s="466">
        <v>4120</v>
      </c>
      <c r="I38" s="466"/>
      <c r="J38" s="467"/>
      <c r="K38" s="466"/>
      <c r="L38" s="481"/>
      <c r="M38" s="497"/>
      <c r="N38" s="497"/>
    </row>
    <row r="39" spans="1:14" s="329" customFormat="1" ht="13.5" customHeight="1" x14ac:dyDescent="0.2">
      <c r="A39" s="496" t="s">
        <v>342</v>
      </c>
      <c r="B39" s="483">
        <v>730</v>
      </c>
      <c r="C39" s="466">
        <v>885655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4813185</v>
      </c>
      <c r="N40" s="497"/>
    </row>
    <row r="41" spans="1:14" ht="13.5" customHeight="1" thickBot="1" x14ac:dyDescent="0.25">
      <c r="A41" s="1736" t="s">
        <v>655</v>
      </c>
      <c r="B41" s="1706"/>
      <c r="C41" s="1688">
        <f>(SUM(C34,C37,C38,C39))</f>
        <v>1024821</v>
      </c>
      <c r="D41" s="1688">
        <f t="shared" ref="D41:L41" si="2">SUM(D34,D37,D38:D39)</f>
        <v>0</v>
      </c>
      <c r="E41" s="1688">
        <f t="shared" si="2"/>
        <v>0</v>
      </c>
      <c r="F41" s="1688">
        <f t="shared" si="2"/>
        <v>0</v>
      </c>
      <c r="G41" s="1688">
        <f t="shared" si="2"/>
        <v>0</v>
      </c>
      <c r="H41" s="1688">
        <f t="shared" si="2"/>
        <v>4120</v>
      </c>
      <c r="I41" s="1688">
        <f t="shared" si="2"/>
        <v>0</v>
      </c>
      <c r="J41" s="1688">
        <f t="shared" si="2"/>
        <v>0</v>
      </c>
      <c r="K41" s="1688">
        <f t="shared" si="2"/>
        <v>0</v>
      </c>
      <c r="L41" s="1688">
        <f t="shared" si="2"/>
        <v>39625</v>
      </c>
      <c r="M41" s="1688">
        <f>SUM(M40)</f>
        <v>4813185</v>
      </c>
      <c r="N41" s="1688">
        <f>SUM(N37)</f>
        <v>1545000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6" activePane="bottomLeft" state="frozen"/>
      <selection pane="bottomLeft" activeCell="H80" sqref="H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2971831</v>
      </c>
      <c r="D4" s="1742">
        <f>'Revenues 9-14'!D109</f>
        <v>0</v>
      </c>
      <c r="E4" s="1742">
        <f>'Revenues 9-14'!E109</f>
        <v>241988</v>
      </c>
      <c r="F4" s="1742">
        <f>'Revenues 9-14'!F109</f>
        <v>0</v>
      </c>
      <c r="G4" s="1742">
        <f>'Revenues 9-14'!G109</f>
        <v>0</v>
      </c>
      <c r="H4" s="1742">
        <f>'Revenues 9-14'!H109</f>
        <v>21</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591891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121913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3685635</v>
      </c>
      <c r="D8" s="1688">
        <f t="shared" ref="D8:K8" si="0">SUM(D4:D7)</f>
        <v>0</v>
      </c>
      <c r="E8" s="1688">
        <f t="shared" si="0"/>
        <v>241988</v>
      </c>
      <c r="F8" s="1688">
        <f t="shared" si="0"/>
        <v>0</v>
      </c>
      <c r="G8" s="1688">
        <f t="shared" si="0"/>
        <v>0</v>
      </c>
      <c r="H8" s="1688">
        <f t="shared" si="0"/>
        <v>21</v>
      </c>
      <c r="I8" s="1688">
        <f t="shared" si="0"/>
        <v>0</v>
      </c>
      <c r="J8" s="1688">
        <f t="shared" si="0"/>
        <v>0</v>
      </c>
      <c r="K8" s="1688">
        <f t="shared" si="0"/>
        <v>0</v>
      </c>
      <c r="L8" s="347"/>
    </row>
    <row r="9" spans="1:13" ht="15.75" thickTop="1" x14ac:dyDescent="0.2">
      <c r="A9" s="514" t="s">
        <v>1653</v>
      </c>
      <c r="B9" s="515">
        <v>3998</v>
      </c>
      <c r="C9" s="481">
        <v>157449</v>
      </c>
      <c r="D9" s="516"/>
      <c r="E9" s="481"/>
      <c r="F9" s="481"/>
      <c r="G9" s="517"/>
      <c r="H9" s="481"/>
      <c r="I9" s="509" t="s">
        <v>1169</v>
      </c>
      <c r="J9" s="478"/>
      <c r="K9" s="481"/>
      <c r="L9" s="347"/>
    </row>
    <row r="10" spans="1:13" s="519" customFormat="1" ht="13.5" thickBot="1" x14ac:dyDescent="0.25">
      <c r="A10" s="1736" t="s">
        <v>1173</v>
      </c>
      <c r="B10" s="1709"/>
      <c r="C10" s="1688">
        <f>SUM(C8:C9)</f>
        <v>3843084</v>
      </c>
      <c r="D10" s="1688">
        <f t="shared" ref="D10:K10" si="1">SUM(D8:D9)</f>
        <v>0</v>
      </c>
      <c r="E10" s="1688">
        <f t="shared" si="1"/>
        <v>241988</v>
      </c>
      <c r="F10" s="1688">
        <f t="shared" si="1"/>
        <v>0</v>
      </c>
      <c r="G10" s="1688">
        <f t="shared" si="1"/>
        <v>0</v>
      </c>
      <c r="H10" s="1688">
        <f t="shared" si="1"/>
        <v>21</v>
      </c>
      <c r="I10" s="1688">
        <f t="shared" si="1"/>
        <v>0</v>
      </c>
      <c r="J10" s="1688">
        <f t="shared" si="1"/>
        <v>0</v>
      </c>
      <c r="K10" s="1688">
        <f t="shared" si="1"/>
        <v>0</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2007169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1598350</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241988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3605519</v>
      </c>
      <c r="D17" s="1688">
        <f t="shared" si="2"/>
        <v>0</v>
      </c>
      <c r="E17" s="1688">
        <f t="shared" si="2"/>
        <v>241988</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157449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3762968</v>
      </c>
      <c r="D19" s="1688">
        <f t="shared" si="4"/>
        <v>0</v>
      </c>
      <c r="E19" s="1688">
        <f t="shared" si="4"/>
        <v>241988</v>
      </c>
      <c r="F19" s="1688">
        <f t="shared" si="4"/>
        <v>0</v>
      </c>
      <c r="G19" s="1688">
        <f t="shared" si="4"/>
        <v>0</v>
      </c>
      <c r="H19" s="1688">
        <f t="shared" si="4"/>
        <v>0</v>
      </c>
      <c r="I19" s="468"/>
      <c r="J19" s="1688">
        <f>SUM(J17:J18)</f>
        <v>0</v>
      </c>
      <c r="K19" s="1688">
        <f>SUM(K17:K18)</f>
        <v>0</v>
      </c>
      <c r="L19" s="347"/>
    </row>
    <row r="20" spans="1:12" ht="16.5" thickTop="1" thickBot="1" x14ac:dyDescent="0.25">
      <c r="A20" s="2133" t="s">
        <v>1655</v>
      </c>
      <c r="B20" s="2134"/>
      <c r="C20" s="1746">
        <f>C8-C17</f>
        <v>80116</v>
      </c>
      <c r="D20" s="1746">
        <f t="shared" ref="D20:K20" si="5">D8-D17</f>
        <v>0</v>
      </c>
      <c r="E20" s="1746">
        <f t="shared" si="5"/>
        <v>0</v>
      </c>
      <c r="F20" s="1746">
        <f t="shared" si="5"/>
        <v>0</v>
      </c>
      <c r="G20" s="1746">
        <f t="shared" si="5"/>
        <v>0</v>
      </c>
      <c r="H20" s="1746">
        <f t="shared" si="5"/>
        <v>21</v>
      </c>
      <c r="I20" s="1746">
        <f t="shared" si="5"/>
        <v>0</v>
      </c>
      <c r="J20" s="1746">
        <f t="shared" si="5"/>
        <v>0</v>
      </c>
      <c r="K20" s="1746">
        <f t="shared" si="5"/>
        <v>0</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80116</v>
      </c>
      <c r="D78" s="1702">
        <f t="shared" si="9"/>
        <v>0</v>
      </c>
      <c r="E78" s="1702">
        <f t="shared" si="9"/>
        <v>0</v>
      </c>
      <c r="F78" s="1702">
        <f t="shared" si="9"/>
        <v>0</v>
      </c>
      <c r="G78" s="1702">
        <f t="shared" si="9"/>
        <v>0</v>
      </c>
      <c r="H78" s="1702">
        <f t="shared" si="9"/>
        <v>21</v>
      </c>
      <c r="I78" s="1702">
        <f t="shared" si="9"/>
        <v>0</v>
      </c>
      <c r="J78" s="1702">
        <f t="shared" si="9"/>
        <v>0</v>
      </c>
      <c r="K78" s="1702">
        <f t="shared" si="9"/>
        <v>0</v>
      </c>
      <c r="L78" s="533"/>
    </row>
    <row r="79" spans="1:12" ht="13.5" thickTop="1" x14ac:dyDescent="0.2">
      <c r="A79" s="1494" t="s">
        <v>1947</v>
      </c>
      <c r="B79" s="534"/>
      <c r="C79" s="478">
        <v>944705</v>
      </c>
      <c r="D79" s="535"/>
      <c r="E79" s="535"/>
      <c r="F79" s="535"/>
      <c r="G79" s="535"/>
      <c r="H79" s="535">
        <v>4099</v>
      </c>
      <c r="I79" s="535"/>
      <c r="J79" s="535"/>
      <c r="K79" s="535"/>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8">
        <f>(SUM(C78:C80))</f>
        <v>1024821</v>
      </c>
      <c r="D81" s="1688">
        <f>SUM(D78:D80)</f>
        <v>0</v>
      </c>
      <c r="E81" s="1688">
        <f t="shared" ref="E81:K81" si="10">SUM(E78:E80)</f>
        <v>0</v>
      </c>
      <c r="F81" s="1688">
        <f t="shared" si="10"/>
        <v>0</v>
      </c>
      <c r="G81" s="1688">
        <f t="shared" si="10"/>
        <v>0</v>
      </c>
      <c r="H81" s="1688">
        <f t="shared" si="10"/>
        <v>4120</v>
      </c>
      <c r="I81" s="1688">
        <f t="shared" si="10"/>
        <v>0</v>
      </c>
      <c r="J81" s="1688">
        <f t="shared" si="10"/>
        <v>0</v>
      </c>
      <c r="K81" s="1688">
        <f t="shared" si="10"/>
        <v>0</v>
      </c>
      <c r="L81" s="347"/>
    </row>
    <row r="82" spans="1:12" ht="0.75" customHeight="1" thickTop="1" thickBot="1" x14ac:dyDescent="0.25">
      <c r="A82" s="536" t="s">
        <v>343</v>
      </c>
      <c r="B82" s="537"/>
      <c r="C82" s="538">
        <f>(C81-C79)</f>
        <v>80116</v>
      </c>
      <c r="D82" s="538">
        <f t="shared" ref="D82:K82" si="11">(D81-D79)</f>
        <v>0</v>
      </c>
      <c r="E82" s="538">
        <f t="shared" si="11"/>
        <v>0</v>
      </c>
      <c r="F82" s="538">
        <f t="shared" si="11"/>
        <v>0</v>
      </c>
      <c r="G82" s="538">
        <f t="shared" si="11"/>
        <v>0</v>
      </c>
      <c r="H82" s="538">
        <f t="shared" si="11"/>
        <v>21</v>
      </c>
      <c r="I82" s="538">
        <f t="shared" si="11"/>
        <v>0</v>
      </c>
      <c r="J82" s="538">
        <f t="shared" si="11"/>
        <v>0</v>
      </c>
      <c r="K82" s="538">
        <f t="shared" si="11"/>
        <v>0</v>
      </c>
    </row>
    <row r="83" spans="1:12" ht="14.25" hidden="1" thickTop="1" thickBot="1" x14ac:dyDescent="0.25">
      <c r="A83" s="539" t="s">
        <v>344</v>
      </c>
      <c r="B83" s="464"/>
      <c r="C83" s="540">
        <f>C82/C81</f>
        <v>7.8175603349267819E-2</v>
      </c>
      <c r="D83" s="540" t="e">
        <f t="shared" ref="D83:K83" si="12">D82/D81</f>
        <v>#DIV/0!</v>
      </c>
      <c r="E83" s="540" t="e">
        <f t="shared" si="12"/>
        <v>#DIV/0!</v>
      </c>
      <c r="F83" s="540" t="e">
        <f t="shared" si="12"/>
        <v>#DIV/0!</v>
      </c>
      <c r="G83" s="540" t="e">
        <f t="shared" si="12"/>
        <v>#DIV/0!</v>
      </c>
      <c r="H83" s="540">
        <f t="shared" si="12"/>
        <v>5.0970873786407769E-3</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110" activePane="bottomLeft" state="frozen"/>
      <selection pane="bottomLeft" activeCell="C137" sqref="C13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2864398</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v>12560</v>
      </c>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2876958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922</v>
      </c>
      <c r="D65" s="466"/>
      <c r="E65" s="466"/>
      <c r="F65" s="467"/>
      <c r="G65" s="466"/>
      <c r="H65" s="466">
        <v>21</v>
      </c>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922</v>
      </c>
      <c r="D67" s="1688">
        <f t="shared" ref="D67:K67" si="2">SUM(D65:D66)</f>
        <v>0</v>
      </c>
      <c r="E67" s="1688">
        <f t="shared" si="2"/>
        <v>0</v>
      </c>
      <c r="F67" s="1688">
        <f t="shared" si="2"/>
        <v>0</v>
      </c>
      <c r="G67" s="1688">
        <f t="shared" si="2"/>
        <v>0</v>
      </c>
      <c r="H67" s="1688">
        <f t="shared" si="2"/>
        <v>21</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33266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33266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6713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6713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v>241988</v>
      </c>
      <c r="F104" s="467"/>
      <c r="G104" s="467"/>
      <c r="H104" s="466"/>
      <c r="I104" s="468"/>
      <c r="J104" s="468"/>
      <c r="K104" s="468"/>
    </row>
    <row r="105" spans="1:12" ht="12.75" customHeight="1" x14ac:dyDescent="0.2">
      <c r="A105" s="463" t="s">
        <v>822</v>
      </c>
      <c r="B105" s="470">
        <v>1992</v>
      </c>
      <c r="C105" s="466">
        <v>48903</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5069</v>
      </c>
      <c r="D107" s="466"/>
      <c r="E107" s="466"/>
      <c r="F107" s="466"/>
      <c r="G107" s="466"/>
      <c r="H107" s="466"/>
      <c r="I107" s="466"/>
      <c r="J107" s="467"/>
      <c r="K107" s="466"/>
    </row>
    <row r="108" spans="1:12" ht="12.75" customHeight="1" thickBot="1" x14ac:dyDescent="0.25">
      <c r="A108" s="1708" t="s">
        <v>487</v>
      </c>
      <c r="B108" s="1712"/>
      <c r="C108" s="1707">
        <f>SUM(C95:C107)</f>
        <v>53972</v>
      </c>
      <c r="D108" s="1707">
        <f t="shared" ref="D108:K108" si="3">SUM(D95:D107)</f>
        <v>0</v>
      </c>
      <c r="E108" s="1707">
        <f t="shared" si="3"/>
        <v>241988</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2971831</v>
      </c>
      <c r="D109" s="1715">
        <f t="shared" si="4"/>
        <v>0</v>
      </c>
      <c r="E109" s="1715">
        <f t="shared" si="4"/>
        <v>241988</v>
      </c>
      <c r="F109" s="1715">
        <f t="shared" si="4"/>
        <v>0</v>
      </c>
      <c r="G109" s="1715">
        <f t="shared" si="4"/>
        <v>0</v>
      </c>
      <c r="H109" s="1715">
        <f t="shared" si="4"/>
        <v>21</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590828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1063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591891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591891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591891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121913</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121913</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121913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121913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3685635</v>
      </c>
      <c r="D268" s="1715">
        <f t="shared" si="12"/>
        <v>0</v>
      </c>
      <c r="E268" s="1715">
        <f t="shared" si="12"/>
        <v>241988</v>
      </c>
      <c r="F268" s="1715">
        <f t="shared" si="12"/>
        <v>0</v>
      </c>
      <c r="G268" s="1715">
        <f t="shared" si="12"/>
        <v>0</v>
      </c>
      <c r="H268" s="1715">
        <f t="shared" si="12"/>
        <v>21</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62" activePane="bottomLeft" state="frozen"/>
      <selection pane="bottomLeft" activeCell="L171" sqref="L1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v>9442</v>
      </c>
      <c r="D12" s="466">
        <v>900</v>
      </c>
      <c r="E12" s="466"/>
      <c r="F12" s="466">
        <v>50</v>
      </c>
      <c r="G12" s="466"/>
      <c r="H12" s="466"/>
      <c r="I12" s="467"/>
      <c r="J12" s="467"/>
      <c r="K12" s="1671">
        <f t="shared" si="0"/>
        <v>10392</v>
      </c>
      <c r="L12" s="466">
        <v>11552</v>
      </c>
    </row>
    <row r="13" spans="1:14" x14ac:dyDescent="0.2">
      <c r="A13" s="1504" t="s">
        <v>723</v>
      </c>
      <c r="B13" s="614">
        <v>1400</v>
      </c>
      <c r="C13" s="466">
        <v>1272818</v>
      </c>
      <c r="D13" s="466">
        <v>265667</v>
      </c>
      <c r="E13" s="466">
        <v>2386</v>
      </c>
      <c r="F13" s="466">
        <v>177689</v>
      </c>
      <c r="G13" s="466">
        <v>26289</v>
      </c>
      <c r="H13" s="466">
        <v>251928</v>
      </c>
      <c r="I13" s="467"/>
      <c r="J13" s="467"/>
      <c r="K13" s="1671">
        <f t="shared" si="0"/>
        <v>1996777</v>
      </c>
      <c r="L13" s="466">
        <v>2071717</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1282260</v>
      </c>
      <c r="D33" s="1670">
        <f t="shared" ref="D33:L33" si="1">SUM(D5:D32)</f>
        <v>266567</v>
      </c>
      <c r="E33" s="1670">
        <f t="shared" si="1"/>
        <v>2386</v>
      </c>
      <c r="F33" s="1670">
        <f t="shared" si="1"/>
        <v>177739</v>
      </c>
      <c r="G33" s="1670">
        <f t="shared" si="1"/>
        <v>26289</v>
      </c>
      <c r="H33" s="1670">
        <f t="shared" si="1"/>
        <v>251928</v>
      </c>
      <c r="I33" s="1670">
        <f t="shared" si="1"/>
        <v>0</v>
      </c>
      <c r="J33" s="1670">
        <f t="shared" si="1"/>
        <v>0</v>
      </c>
      <c r="K33" s="1670">
        <f t="shared" si="1"/>
        <v>2007169</v>
      </c>
      <c r="L33" s="1670">
        <f t="shared" si="1"/>
        <v>2083269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189082</v>
      </c>
      <c r="D37" s="466">
        <v>33929</v>
      </c>
      <c r="E37" s="466">
        <v>22255</v>
      </c>
      <c r="F37" s="466">
        <v>2488</v>
      </c>
      <c r="G37" s="466"/>
      <c r="H37" s="466">
        <v>1454</v>
      </c>
      <c r="I37" s="467"/>
      <c r="J37" s="467"/>
      <c r="K37" s="1671">
        <f t="shared" si="2"/>
        <v>249208</v>
      </c>
      <c r="L37" s="466">
        <v>251417</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189082</v>
      </c>
      <c r="D42" s="1670">
        <f t="shared" ref="D42:L42" si="3">SUM(D36:D41)</f>
        <v>33929</v>
      </c>
      <c r="E42" s="1670">
        <f t="shared" si="3"/>
        <v>22255</v>
      </c>
      <c r="F42" s="1670">
        <f t="shared" si="3"/>
        <v>2488</v>
      </c>
      <c r="G42" s="1670">
        <f t="shared" si="3"/>
        <v>0</v>
      </c>
      <c r="H42" s="1670">
        <f t="shared" si="3"/>
        <v>1454</v>
      </c>
      <c r="I42" s="1670">
        <f t="shared" si="3"/>
        <v>0</v>
      </c>
      <c r="J42" s="1670">
        <f t="shared" si="3"/>
        <v>0</v>
      </c>
      <c r="K42" s="1670">
        <f t="shared" si="3"/>
        <v>249208</v>
      </c>
      <c r="L42" s="1670">
        <f t="shared" si="3"/>
        <v>251417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120521</v>
      </c>
      <c r="D44" s="481">
        <v>42246</v>
      </c>
      <c r="E44" s="481">
        <v>36495</v>
      </c>
      <c r="F44" s="481">
        <v>34399</v>
      </c>
      <c r="G44" s="481">
        <v>96867</v>
      </c>
      <c r="H44" s="481"/>
      <c r="I44" s="467"/>
      <c r="J44" s="467"/>
      <c r="K44" s="1672">
        <f>SUM(C44:J44)</f>
        <v>330528</v>
      </c>
      <c r="L44" s="481">
        <v>347744</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v>4208</v>
      </c>
      <c r="G46" s="466"/>
      <c r="H46" s="466"/>
      <c r="I46" s="467"/>
      <c r="J46" s="467"/>
      <c r="K46" s="1672">
        <f>SUM(C46:J46)</f>
        <v>4208</v>
      </c>
      <c r="L46" s="466">
        <v>4500</v>
      </c>
    </row>
    <row r="47" spans="1:14" ht="12.75" customHeight="1" thickBot="1" x14ac:dyDescent="0.25">
      <c r="A47" s="1668" t="s">
        <v>561</v>
      </c>
      <c r="B47" s="1669" t="s">
        <v>32</v>
      </c>
      <c r="C47" s="1670">
        <f>SUM(C44:C46)</f>
        <v>120521</v>
      </c>
      <c r="D47" s="1670">
        <f t="shared" ref="D47:K47" si="4">SUM(D44:D46)</f>
        <v>42246</v>
      </c>
      <c r="E47" s="1670">
        <f t="shared" si="4"/>
        <v>36495</v>
      </c>
      <c r="F47" s="1670">
        <f t="shared" si="4"/>
        <v>38607</v>
      </c>
      <c r="G47" s="1670">
        <f t="shared" si="4"/>
        <v>96867</v>
      </c>
      <c r="H47" s="1670">
        <f t="shared" si="4"/>
        <v>0</v>
      </c>
      <c r="I47" s="1670">
        <f t="shared" si="4"/>
        <v>0</v>
      </c>
      <c r="J47" s="1670">
        <f t="shared" si="4"/>
        <v>0</v>
      </c>
      <c r="K47" s="1670">
        <f t="shared" si="4"/>
        <v>334736</v>
      </c>
      <c r="L47" s="1670">
        <f>SUM(L44:L46)</f>
        <v>352244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9964</v>
      </c>
      <c r="F49" s="481">
        <v>170</v>
      </c>
      <c r="G49" s="481"/>
      <c r="H49" s="481"/>
      <c r="I49" s="467"/>
      <c r="J49" s="467"/>
      <c r="K49" s="1672">
        <f>SUM(C49:J49)</f>
        <v>10134</v>
      </c>
      <c r="L49" s="481">
        <v>15890</v>
      </c>
    </row>
    <row r="50" spans="1:14" x14ac:dyDescent="0.2">
      <c r="A50" s="1504" t="s">
        <v>818</v>
      </c>
      <c r="B50" s="614">
        <v>2320</v>
      </c>
      <c r="C50" s="466">
        <v>172611</v>
      </c>
      <c r="D50" s="466">
        <v>42833</v>
      </c>
      <c r="E50" s="466">
        <v>15497</v>
      </c>
      <c r="F50" s="466">
        <v>5823</v>
      </c>
      <c r="G50" s="466"/>
      <c r="H50" s="466">
        <v>2426</v>
      </c>
      <c r="I50" s="467"/>
      <c r="J50" s="467"/>
      <c r="K50" s="1672">
        <f>SUM(C50:J50)</f>
        <v>239190</v>
      </c>
      <c r="L50" s="466">
        <v>243484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172611</v>
      </c>
      <c r="D53" s="1670">
        <f t="shared" ref="D53:L53" si="5">SUM(D49:D52)</f>
        <v>42833</v>
      </c>
      <c r="E53" s="1670">
        <f t="shared" si="5"/>
        <v>25461</v>
      </c>
      <c r="F53" s="1670">
        <f t="shared" si="5"/>
        <v>5993</v>
      </c>
      <c r="G53" s="1670">
        <f t="shared" si="5"/>
        <v>0</v>
      </c>
      <c r="H53" s="1670">
        <f t="shared" si="5"/>
        <v>2426</v>
      </c>
      <c r="I53" s="1670">
        <f t="shared" si="5"/>
        <v>0</v>
      </c>
      <c r="J53" s="1670">
        <f t="shared" si="5"/>
        <v>0</v>
      </c>
      <c r="K53" s="1670">
        <f t="shared" si="5"/>
        <v>249324</v>
      </c>
      <c r="L53" s="1670">
        <f t="shared" si="5"/>
        <v>259374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56375</v>
      </c>
      <c r="D60" s="466">
        <v>24755</v>
      </c>
      <c r="E60" s="466">
        <v>6705</v>
      </c>
      <c r="F60" s="466">
        <v>1462</v>
      </c>
      <c r="G60" s="466"/>
      <c r="H60" s="466">
        <v>335</v>
      </c>
      <c r="I60" s="467"/>
      <c r="J60" s="467"/>
      <c r="K60" s="1672">
        <f t="shared" si="7"/>
        <v>89632</v>
      </c>
      <c r="L60" s="466">
        <v>93946</v>
      </c>
      <c r="M60" s="609"/>
      <c r="N60" s="609"/>
    </row>
    <row r="61" spans="1:14" s="343" customFormat="1" x14ac:dyDescent="0.2">
      <c r="A61" s="1504" t="s">
        <v>197</v>
      </c>
      <c r="B61" s="614">
        <v>2540</v>
      </c>
      <c r="C61" s="466">
        <v>181675</v>
      </c>
      <c r="D61" s="466">
        <v>50845</v>
      </c>
      <c r="E61" s="466">
        <v>159274</v>
      </c>
      <c r="F61" s="466">
        <v>122952</v>
      </c>
      <c r="G61" s="466">
        <v>160118</v>
      </c>
      <c r="H61" s="466">
        <v>586</v>
      </c>
      <c r="I61" s="467"/>
      <c r="J61" s="467"/>
      <c r="K61" s="1672">
        <f t="shared" si="7"/>
        <v>675450</v>
      </c>
      <c r="L61" s="466">
        <v>725173</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238050</v>
      </c>
      <c r="D65" s="1670">
        <f t="shared" ref="D65:L65" si="8">SUM(D59:D64)</f>
        <v>75600</v>
      </c>
      <c r="E65" s="1670">
        <f t="shared" si="8"/>
        <v>165979</v>
      </c>
      <c r="F65" s="1670">
        <f t="shared" si="8"/>
        <v>124414</v>
      </c>
      <c r="G65" s="1670">
        <f t="shared" si="8"/>
        <v>160118</v>
      </c>
      <c r="H65" s="1670">
        <f t="shared" si="8"/>
        <v>921</v>
      </c>
      <c r="I65" s="1670">
        <f t="shared" si="8"/>
        <v>0</v>
      </c>
      <c r="J65" s="1670">
        <f t="shared" si="8"/>
        <v>0</v>
      </c>
      <c r="K65" s="1670">
        <f t="shared" si="8"/>
        <v>765082</v>
      </c>
      <c r="L65" s="1670">
        <f t="shared" si="8"/>
        <v>819119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720264</v>
      </c>
      <c r="D74" s="1677">
        <f t="shared" ref="D74:K74" si="10">SUM(D42,D47,D53,D57,D65,D72,D73)</f>
        <v>194608</v>
      </c>
      <c r="E74" s="1677">
        <f t="shared" si="10"/>
        <v>250190</v>
      </c>
      <c r="F74" s="1677">
        <f t="shared" si="10"/>
        <v>171502</v>
      </c>
      <c r="G74" s="1677">
        <f t="shared" si="10"/>
        <v>256985</v>
      </c>
      <c r="H74" s="1677">
        <f t="shared" si="10"/>
        <v>4801</v>
      </c>
      <c r="I74" s="1677">
        <f t="shared" si="10"/>
        <v>0</v>
      </c>
      <c r="J74" s="1677">
        <f t="shared" si="10"/>
        <v>0</v>
      </c>
      <c r="K74" s="1677">
        <f t="shared" si="10"/>
        <v>1598350</v>
      </c>
      <c r="L74" s="1677">
        <f>SUM(L42,L47,L53,L57,L65,L72,L73)</f>
        <v>1682154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2002524</v>
      </c>
      <c r="D114" s="1670">
        <f t="shared" ref="D114:K114" si="13">SUM(D33,D74,D75,D102,D112,D113)</f>
        <v>461175</v>
      </c>
      <c r="E114" s="1670">
        <f t="shared" si="13"/>
        <v>252576</v>
      </c>
      <c r="F114" s="1670">
        <f t="shared" si="13"/>
        <v>349241</v>
      </c>
      <c r="G114" s="1670">
        <f t="shared" si="13"/>
        <v>283274</v>
      </c>
      <c r="H114" s="1670">
        <f>SUM(H33,H74,H75,H102,H112,H113)</f>
        <v>256729</v>
      </c>
      <c r="I114" s="1670">
        <f t="shared" si="13"/>
        <v>0</v>
      </c>
      <c r="J114" s="1670">
        <f t="shared" si="13"/>
        <v>0</v>
      </c>
      <c r="K114" s="1670">
        <f t="shared" si="13"/>
        <v>3605519</v>
      </c>
      <c r="L114" s="1670">
        <f>SUM(L33,L74,L75,L102,L112,L113)</f>
        <v>3765423</v>
      </c>
    </row>
    <row r="115" spans="1:14" ht="13.5" thickTop="1" x14ac:dyDescent="0.2">
      <c r="A115" s="2188" t="s">
        <v>996</v>
      </c>
      <c r="B115" s="2189"/>
      <c r="C115" s="618"/>
      <c r="D115" s="618"/>
      <c r="E115" s="618"/>
      <c r="F115" s="618"/>
      <c r="G115" s="618"/>
      <c r="H115" s="618"/>
      <c r="I115" s="618"/>
      <c r="J115" s="618"/>
      <c r="K115" s="1684">
        <f>'Revenues 9-14'!C268-'Expenditures 15-22'!K114</f>
        <v>80116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81" t="s">
        <v>1178</v>
      </c>
      <c r="B152" s="2182"/>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46988</v>
      </c>
      <c r="I169" s="616"/>
      <c r="J169" s="616"/>
      <c r="K169" s="1671">
        <f>SUM(C169:H169)</f>
        <v>46988</v>
      </c>
      <c r="L169" s="656">
        <v>46988</v>
      </c>
    </row>
    <row r="170" spans="1:14" ht="33.75" customHeight="1" x14ac:dyDescent="0.2">
      <c r="A170" s="669" t="s">
        <v>1670</v>
      </c>
      <c r="B170" s="671" t="s">
        <v>31</v>
      </c>
      <c r="C170" s="616"/>
      <c r="D170" s="616"/>
      <c r="E170" s="616"/>
      <c r="F170" s="616"/>
      <c r="G170" s="616"/>
      <c r="H170" s="569">
        <v>195000</v>
      </c>
      <c r="I170" s="616"/>
      <c r="J170" s="616"/>
      <c r="K170" s="1671">
        <f>SUM(C170:J170)</f>
        <v>195000</v>
      </c>
      <c r="L170" s="569">
        <v>195000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241988</v>
      </c>
      <c r="I172" s="638"/>
      <c r="J172" s="616"/>
      <c r="K172" s="1677">
        <f>SUM(K168,K169,K170,K171)</f>
        <v>241988</v>
      </c>
      <c r="L172" s="1677">
        <f>SUM(L168,L169,L170,L171)</f>
        <v>241988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241988</v>
      </c>
      <c r="I174" s="638"/>
      <c r="J174" s="616"/>
      <c r="K174" s="1677">
        <f>SUM(K160,K172,K173)</f>
        <v>241988</v>
      </c>
      <c r="L174" s="1677">
        <f>SUM(L160,L172,L173)</f>
        <v>241988</v>
      </c>
    </row>
    <row r="175" spans="1:14" ht="13.5" thickTop="1" x14ac:dyDescent="0.2">
      <c r="A175" s="2188" t="s">
        <v>996</v>
      </c>
      <c r="B175" s="218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8" t="s">
        <v>996</v>
      </c>
      <c r="B211" s="218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8" t="s">
        <v>996</v>
      </c>
      <c r="B296" s="218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21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4" t="s">
        <v>996</v>
      </c>
      <c r="B343" s="217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996</v>
      </c>
      <c r="B368" s="218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schemas.openxmlformats.org/package/2006/metadata/core-properties"/>
    <ds:schemaRef ds:uri="http://schemas.microsoft.com/sharepoint/v3"/>
    <ds:schemaRef ds:uri="http://purl.org/dc/dcmitype/"/>
    <ds:schemaRef ds:uri="d21dc803-237d-4c68-8692-8d731fd29118"/>
    <ds:schemaRef ds:uri="http://www.w3.org/XML/1998/namespace"/>
    <ds:schemaRef ds:uri="4d435f69-8686-490b-bd6d-b153bf22ab50"/>
    <ds:schemaRef ds:uri="http://schemas.microsoft.com/office/infopath/2007/PartnerControls"/>
    <ds:schemaRef ds:uri="6ce3111e-7420-4802-b50a-75d4e9a0b98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2019-10-02T12:50:21Z</cp:lastPrinted>
  <dcterms:created xsi:type="dcterms:W3CDTF">2003-10-29T19:06:34Z</dcterms:created>
  <dcterms:modified xsi:type="dcterms:W3CDTF">2019-11-05T17:23:08Z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c45d02fe-d2ad-4901-b702-690ab6d68905</vt:lpwstr>
  </property>
</Properties>
</file>