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2)" sheetId="183"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7" i="183" l="1"/>
  <c r="L26" i="183"/>
  <c r="L25" i="183"/>
  <c r="L24" i="183"/>
  <c r="L23" i="183"/>
  <c r="L22" i="183"/>
  <c r="L21" i="183"/>
  <c r="L20" i="183"/>
  <c r="L19" i="183"/>
  <c r="L18" i="183"/>
  <c r="L17" i="183"/>
  <c r="L16" i="183"/>
  <c r="L15" i="183"/>
  <c r="L14" i="183"/>
  <c r="L13" i="183"/>
  <c r="L12"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2" i="127"/>
  <c r="B63" i="127"/>
  <c r="E26" i="108"/>
  <c r="G26" i="108"/>
  <c r="E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F38" i="34" l="1"/>
  <c r="L342" i="29"/>
  <c r="F65" i="34"/>
  <c r="C342" i="29"/>
  <c r="B7216" i="106" s="1"/>
  <c r="D7216" i="106" s="1"/>
  <c r="H365" i="29"/>
  <c r="B7242" i="106" s="1"/>
  <c r="D7242" i="106" s="1"/>
  <c r="F19" i="7"/>
  <c r="B1807" i="106" s="1"/>
  <c r="D1807" i="106" s="1"/>
  <c r="F77" i="4"/>
  <c r="B3255" i="106" s="1"/>
  <c r="D3255" i="106" s="1"/>
  <c r="C129" i="29"/>
  <c r="J352" i="29"/>
  <c r="J367" i="29" s="1"/>
  <c r="B7245" i="106" s="1"/>
  <c r="F27" i="108"/>
  <c r="J77" i="4"/>
  <c r="B6262" i="106" s="1"/>
  <c r="D6262" i="106" s="1"/>
  <c r="J41" i="3"/>
  <c r="D51" i="36" s="1"/>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F41" i="108" s="1"/>
  <c r="G43" i="108" s="1"/>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D7251" i="106" l="1"/>
  <c r="G170" i="5"/>
  <c r="B5778" i="106" s="1"/>
  <c r="D5778" i="106" s="1"/>
  <c r="B1381" i="106"/>
  <c r="D1381" i="106" s="1"/>
  <c r="B7235" i="106"/>
  <c r="D7235" i="106" s="1"/>
  <c r="J16" i="4"/>
  <c r="B6226" i="106" s="1"/>
  <c r="D6226" i="106" s="1"/>
  <c r="D7254" i="106"/>
  <c r="L16" i="11"/>
  <c r="B2061" i="106" s="1"/>
  <c r="D2061" i="106" s="1"/>
  <c r="C114" i="29"/>
  <c r="B757" i="106" s="1"/>
  <c r="D757" i="106" s="1"/>
  <c r="D44" i="36"/>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<sst xmlns="http://schemas.openxmlformats.org/spreadsheetml/2006/main" count="5153" uniqueCount="2118">
  <si>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</si>
  <si>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</si>
  <si>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</si>
  <si>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</si>
  <si>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</si>
  <si>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</si>
  <si>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</si>
  <si>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</si>
  <si>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</si>
  <si>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</si>
  <si>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</si>
  <si>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</si>
  <si>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</si>
  <si>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</si>
  <si>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</si>
  <si>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</si>
  <si>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</si>
  <si>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</si>
  <si>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</si>
  <si>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</si>
  <si>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</si>
  <si>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</si>
  <si>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</si>
  <si>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</si>
  <si>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</si>
  <si>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</si>
  <si>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</si>
  <si>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</si>
  <si>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</si>
  <si>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</si>
  <si>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</si>
  <si>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</si>
  <si>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</si>
  <si>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</si>
  <si>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</si>
  <si>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</si>
  <si>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</si>
  <si>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</si>
  <si>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</si>
  <si>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</si>
  <si>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</si>
  <si>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</si>
  <si>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</si>
  <si>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</si>
  <si>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</si>
  <si>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</si>
  <si>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</si>
  <si>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</si>
  <si>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</si>
  <si>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</si>
  <si>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</si>
  <si>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</si>
  <si>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</si>
  <si>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</si>
  <si>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</si>
  <si>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</si>
  <si>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</si>
  <si>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</si>
  <si>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</si>
  <si>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</si>
  <si>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</si>
  <si>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</si>
  <si>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</si>
  <si>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</si>
  <si>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</si>
  <si>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</si>
  <si>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</si>
  <si>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</si>
  <si>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</si>
  <si>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</si>
  <si>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</si>
  <si>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</si>
  <si>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</si>
  <si>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</si>
  <si>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</si>
  <si>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</si>
  <si>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</si>
  <si>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</si>
  <si>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</si>
  <si>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</si>
  <si>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</si>
  <si>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</si>
  <si>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</si>
  <si>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</si>
  <si>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</si>
  <si>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</si>
  <si>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</si>
  <si>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</si>
  <si>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</si>
  <si>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</si>
  <si>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</si>
  <si>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</si>
  <si>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</si>
  <si>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</si>
  <si>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</si>
  <si>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</si>
  <si>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</si>
  <si>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</si>
  <si>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</si>
  <si>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</si>
  <si>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</si>
  <si>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</si>
  <si>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</si>
  <si>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</si>
  <si>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</si>
  <si>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</si>
  <si>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</si>
  <si>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</si>
  <si>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</si>
  <si>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</si>
  <si>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</si>
  <si>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</si>
  <si>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</si>
  <si>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</si>
  <si>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</si>
  <si>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</si>
  <si>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</si>
  <si>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</si>
  <si>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</si>
  <si>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</si>
  <si>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</si>
  <si>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</si>
  <si>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</si>
  <si>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</si>
  <si>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</si>
  <si>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</si>
  <si>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</si>
  <si>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</si>
  <si>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</si>
  <si>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</si>
  <si>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</si>
  <si>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</si>
  <si>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</si>
  <si>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</si>
  <si>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</si>
  <si>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</si>
  <si>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</si>
  <si>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</si>
  <si>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</si>
  <si>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</si>
  <si>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</si>
  <si>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</si>
  <si>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</si>
  <si>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</si>
  <si>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</si>
  <si>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</si>
  <si>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</si>
  <si>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</si>
  <si>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</si>
  <si>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</si>
  <si>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</si>
  <si>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</si>
  <si>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</si>
  <si>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</si>
  <si>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</si>
  <si>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</si>
  <si>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</si>
  <si>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</si>
  <si>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</si>
  <si>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</si>
  <si>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</si>
  <si>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</si>
  <si>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</si>
  <si>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</si>
  <si>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</si>
  <si>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</si>
  <si>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</si>
  <si>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</si>
  <si>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</si>
  <si>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</si>
  <si>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</si>
  <si>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</si>
  <si>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</si>
  <si>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</si>
  <si>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</si>
  <si>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</si>
  <si>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</si>
  <si>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</si>
  <si>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</si>
  <si>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</si>
  <si>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</si>
  <si>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</si>
  <si>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</si>
  <si>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</si>
  <si>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</si>
  <si>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</si>
  <si>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</si>
  <si>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</si>
  <si>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</si>
  <si>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</si>
  <si>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</si>
  <si>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</si>
  <si>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</si>
  <si>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</si>
  <si>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</si>
  <si>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</si>
  <si>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</si>
  <si>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</si>
  <si>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</si>
  <si>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</si>
  <si>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</si>
  <si>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</si>
  <si>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</si>
  <si>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</si>
  <si>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</si>
  <si>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</si>
  <si>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</si>
  <si>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</si>
  <si>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</si>
  <si>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</si>
  <si>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</si>
  <si>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</si>
  <si>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</si>
  <si>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</si>
  <si>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</si>
  <si>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</si>
  <si>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</si>
  <si>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</si>
  <si>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</si>
  <si>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</si>
  <si>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</si>
  <si>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</si>
  <si>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</si>
  <si>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</si>
  <si>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</si>
  <si>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</si>
  <si>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</si>
  <si>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</si>
  <si>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</si>
  <si>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</si>
  <si>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</si>
  <si>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</si>
  <si>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</si>
  <si>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</si>
  <si>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</si>
  <si>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</si>
  <si>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</si>
  <si>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</si>
  <si>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</si>
  <si>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</si>
  <si>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</si>
  <si>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</si>
  <si>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</si>
  <si>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</si>
  <si>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</si>
  <si>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</si>
  <si>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</si>
  <si>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</si>
  <si>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</si>
  <si>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</si>
  <si>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</si>
  <si>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</si>
  <si>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</si>
  <si>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</si>
  <si>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</si>
  <si>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</si>
  <si>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</si>
  <si>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</si>
  <si>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</si>
  <si>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</si>
  <si>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</si>
  <si>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</si>
  <si>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</si>
  <si>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</si>
  <si>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</si>
  <si>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</si>
  <si>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</si>
  <si>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</si>
  <si>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</si>
  <si>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</si>
  <si>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</si>
  <si>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</si>
  <si>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</si>
  <si>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</si>
  <si>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</si>
  <si>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</si>
  <si>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</si>
  <si>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</si>
  <si>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</si>
  <si>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</si>
  <si>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</si>
  <si>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</si>
  <si>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</si>
  <si>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</si>
  <si>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</si>
  <si>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</si>
  <si>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</si>
  <si>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</si>
  <si>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</si>
  <si>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</si>
  <si>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</si>
  <si>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</si>
  <si>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</si>
  <si>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</si>
  <si>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</si>
  <si>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</si>
  <si>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</si>
  <si>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</si>
  <si>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</si>
  <si>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</si>
  <si>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</si>
  <si>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</si>
  <si>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</si>
  <si>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</si>
  <si>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</si>
  <si>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</si>
  <si>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</si>
  <si>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</si>
  <si>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</si>
  <si>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</si>
  <si>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</si>
  <si>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</si>
  <si>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</si>
  <si>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</si>
  <si>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</si>
  <si>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</si>
  <si>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</si>
  <si>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</si>
  <si>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</si>
  <si>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</si>
  <si>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</si>
  <si>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</si>
  <si>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</si>
  <si>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</si>
  <si>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</si>
  <si>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</si>
  <si>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</si>
  <si>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</si>
  <si>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</si>
  <si>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</si>
  <si>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</si>
  <si>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</si>
  <si>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</si>
  <si>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</si>
  <si>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</si>
  <si>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</si>
  <si>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</si>
  <si>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</si>
  <si>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</si>
  <si>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</si>
  <si>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</si>
  <si>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</si>
  <si>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</si>
  <si>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</si>
  <si>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</si>
  <si>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</si>
  <si>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</si>
  <si>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</si>
  <si>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</si>
  <si>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</si>
  <si>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</si>
  <si>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</si>
  <si>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</si>
  <si>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</si>
  <si>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</si>
  <si>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</si>
  <si>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</si>
  <si>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</si>
  <si>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</si>
  <si>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</si>
  <si>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</si>
  <si>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</si>
  <si>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</si>
  <si>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</si>
  <si>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</si>
  <si>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</si>
  <si>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</si>
  <si>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</si>
  <si>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</si>
  <si>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</si>
  <si>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</si>
  <si>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</si>
  <si>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</si>
  <si>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</si>
  <si>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</si>
  <si>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</si>
  <si>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</si>
  <si>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</si>
  <si>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</si>
  <si>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</si>
  <si>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</si>
  <si>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</si>
  <si>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</si>
  <si>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</si>
  <si>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</si>
  <si>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</si>
  <si>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</si>
  <si>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</si>
  <si>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</si>
  <si>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</si>
  <si>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</si>
  <si>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</si>
  <si>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</si>
  <si>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</si>
  <si>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</si>
  <si>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</si>
  <si>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</si>
  <si>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</si>
  <si>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</si>
  <si>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</si>
  <si>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</si>
  <si>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</si>
  <si>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</si>
  <si>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</si>
  <si>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</si>
  <si>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</si>
  <si>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</si>
  <si>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</si>
  <si>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</si>
  <si>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</si>
  <si>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</si>
  <si>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</si>
  <si>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</si>
  <si>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</si>
  <si>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</si>
  <si>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</si>
  <si>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</si>
  <si>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</si>
  <si>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</si>
  <si>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</si>
  <si>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</si>
  <si>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</si>
  <si>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</si>
  <si>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</si>
  <si>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</si>
  <si>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</si>
  <si>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</si>
  <si>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</si>
  <si>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</si>
  <si>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</si>
  <si>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</si>
  <si>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</si>
  <si>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</si>
  <si>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</si>
  <si>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</si>
  <si>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</si>
  <si>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</si>
  <si>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</si>
  <si>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</si>
  <si>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</si>
  <si>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</si>
  <si>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</si>
  <si>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</si>
  <si>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</si>
  <si>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</si>
  <si>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</si>
  <si>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</si>
  <si>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</si>
  <si>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</si>
  <si>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</si>
  <si>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</si>
  <si>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</si>
  <si>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</si>
  <si>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</si>
  <si>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</si>
  <si>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</si>
  <si>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</si>
  <si>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</si>
  <si>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</si>
  <si>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</si>
  <si>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</si>
  <si>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</si>
  <si>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</si>
  <si>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</si>
  <si>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</si>
  <si>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</si>
  <si>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</si>
  <si>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</si>
  <si>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</si>
  <si>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</si>
  <si>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</si>
  <si>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</si>
  <si>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</si>
  <si>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</si>
  <si>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</si>
  <si>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</si>
  <si>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</si>
  <si>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</si>
  <si>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</si>
  <si>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</si>
  <si>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</si>
  <si>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</si>
  <si>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</si>
  <si>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</si>
  <si>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</si>
  <si>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</si>
  <si>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</si>
  <si>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</si>
  <si>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</si>
  <si>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</si>
  <si>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</si>
  <si>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</si>
  <si>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</si>
  <si>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</si>
  <si>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</si>
  <si>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</si>
  <si>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</si>
  <si>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</si>
  <si>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</si>
  <si>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</si>
  <si>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</si>
  <si>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</si>
  <si>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</si>
  <si>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</si>
  <si>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</si>
  <si>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</si>
  <si>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</si>
  <si>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</si>
  <si>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</si>
  <si>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</si>
  <si>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</si>
  <si>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</si>
  <si>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</si>
  <si>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</si>
  <si>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</si>
  <si>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</si>
  <si>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</si>
  <si>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</si>
  <si>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</si>
  <si>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</si>
  <si>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</si>
  <si>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</si>
  <si>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</si>
  <si>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</si>
  <si>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</si>
  <si>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</si>
  <si>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</si>
  <si>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</si>
  <si>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</si>
  <si>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</si>
  <si>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</si>
  <si>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</si>
  <si>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</si>
  <si>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</si>
  <si>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</si>
  <si>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</si>
  <si>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</si>
  <si>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</si>
  <si>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</si>
  <si>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</si>
  <si>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</si>
  <si>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</si>
  <si>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</si>
  <si>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</si>
  <si>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</si>
  <si>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</si>
  <si>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</si>
  <si>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</si>
  <si>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</si>
  <si>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</si>
  <si>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</si>
  <si>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</si>
  <si>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</si>
  <si>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</si>
  <si>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</si>
  <si>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</si>
  <si>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</si>
  <si>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</si>
  <si>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</si>
  <si>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</si>
  <si>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</si>
  <si>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</si>
  <si>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</si>
  <si>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</si>
  <si>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</si>
  <si>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</si>
  <si>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</si>
  <si>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</si>
  <si>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</si>
  <si>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</si>
  <si>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</si>
  <si>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</si>
  <si>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</si>
  <si>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</si>
  <si>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</si>
  <si>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</si>
  <si>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</si>
  <si>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</si>
  <si>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</si>
  <si>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</si>
  <si>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</si>
  <si>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</si>
  <si>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</si>
  <si>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</si>
  <si>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</si>
  <si>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</si>
  <si>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</si>
  <si>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</si>
  <si>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</si>
  <si>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</si>
  <si>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</si>
  <si>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</si>
  <si>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</si>
  <si>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</si>
  <si>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</si>
  <si>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</si>
  <si>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</si>
  <si>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</si>
  <si>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</si>
  <si>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</si>
  <si>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</si>
  <si>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</si>
  <si>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</si>
  <si>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</si>
  <si>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</si>
  <si>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</si>
  <si>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</si>
  <si>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</si>
  <si>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</si>
  <si>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</si>
  <si>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</si>
  <si>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</si>
  <si>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</si>
  <si>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</si>
  <si>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</si>
  <si>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</si>
  <si>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</si>
  <si>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</si>
  <si>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</si>
  <si>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</si>
  <si>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</si>
  <si>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</si>
  <si>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</si>
  <si>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</si>
  <si>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</si>
  <si>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</si>
  <si>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</si>
  <si>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</si>
  <si>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</si>
  <si>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</si>
  <si>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</si>
  <si>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</si>
  <si>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</si>
  <si>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</si>
  <si>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</si>
  <si>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</si>
  <si>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</si>
  <si>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</si>
  <si>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</si>
  <si>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</si>
  <si>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</si>
  <si>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</si>
  <si>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</si>
  <si>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</si>
  <si>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</si>
  <si>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</si>
  <si>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</si>
  <si>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</si>
  <si>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</si>
  <si>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</si>
  <si>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</si>
  <si>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</si>
  <si>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</si>
  <si>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</si>
  <si>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</si>
  <si>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</si>
  <si>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</si>
  <si>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</si>
  <si>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</si>
  <si>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</si>
  <si>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</si>
  <si>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</si>
  <si>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</si>
  <si>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</si>
  <si>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</si>
  <si>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</si>
  <si>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</si>
  <si>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</si>
  <si>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</si>
  <si>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</si>
  <si>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</si>
  <si>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</si>
  <si>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</si>
  <si>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</si>
  <si>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</si>
  <si>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</si>
  <si>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</si>
  <si>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</si>
  <si>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</si>
  <si>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</si>
  <si>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</si>
  <si>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</si>
  <si>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</si>
  <si>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</si>
  <si>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</si>
  <si>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</si>
  <si>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</si>
  <si>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</si>
  <si>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</si>
  <si>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</si>
  <si>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</si>
  <si>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</si>
  <si>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</si>
  <si>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</si>
  <si>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</si>
  <si>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</si>
  <si>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</si>
  <si>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</si>
  <si>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</si>
  <si>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</si>
  <si>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</si>
  <si>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</si>
  <si>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</si>
  <si>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</si>
  <si>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</si>
  <si>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</si>
  <si>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</si>
  <si>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</si>
  <si>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</si>
  <si>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</si>
  <si>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</si>
  <si>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</si>
  <si>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</si>
  <si>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</si>
  <si>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</si>
  <si>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</si>
  <si>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</si>
  <si>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</si>
  <si>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</si>
  <si>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</si>
  <si>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</si>
  <si>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</si>
  <si>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</si>
  <si>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</si>
  <si>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</si>
  <si>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</si>
  <si>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</si>
  <si>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</si>
  <si>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</si>
  <si>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</si>
  <si>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</si>
  <si>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</si>
  <si>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</si>
  <si>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</si>
  <si>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</si>
  <si>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</si>
  <si>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</si>
  <si>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</si>
  <si>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</si>
  <si>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</si>
  <si>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</si>
  <si>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</si>
  <si>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</si>
  <si>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</si>
  <si>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</si>
  <si>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</si>
  <si>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</si>
  <si>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</si>
  <si>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</si>
  <si>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</si>
  <si>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</si>
  <si>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</si>
  <si>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</si>
  <si>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</si>
  <si>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</si>
  <si>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</si>
  <si>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</si>
  <si>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</si>
  <si>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</si>
  <si>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</si>
  <si>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</si>
  <si>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</si>
  <si>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</si>
  <si>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</si>
  <si>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</si>
  <si>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</si>
  <si>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</si>
  <si>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</si>
  <si>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</si>
  <si>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</si>
  <si>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</si>
  <si>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</si>
  <si>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</si>
  <si>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</si>
  <si>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</si>
  <si>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</si>
  <si>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</si>
  <si>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</si>
  <si>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</si>
  <si>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</si>
  <si>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</si>
  <si>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</si>
  <si>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</si>
  <si>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</si>
  <si>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</si>
  <si>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</si>
  <si>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</si>
  <si>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</si>
  <si>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</si>
  <si>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</si>
  <si>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</si>
  <si>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</si>
  <si>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</si>
  <si>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</si>
  <si>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</si>
  <si>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</si>
  <si>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</si>
  <si>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</si>
  <si>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</si>
  <si>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</si>
  <si>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</si>
  <si>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</si>
  <si>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</si>
  <si>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</si>
  <si>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</si>
  <si>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</si>
  <si>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</si>
  <si>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</si>
  <si>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</si>
  <si>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</si>
  <si>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</si>
  <si>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</si>
  <si>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</si>
  <si>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</si>
  <si>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</si>
  <si>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</si>
  <si>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</si>
  <si>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</si>
  <si>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</si>
  <si>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</si>
  <si>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</si>
  <si>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</si>
  <si>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</si>
  <si>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</si>
  <si>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</si>
  <si>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</si>
  <si>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</si>
  <si>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</si>
  <si>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</si>
  <si>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</si>
  <si>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</si>
  <si>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</si>
  <si>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</si>
  <si>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</si>
  <si>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</si>
  <si>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</si>
  <si>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</si>
  <si>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</si>
  <si>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</si>
  <si>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</si>
  <si>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</si>
  <si>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</si>
  <si>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</si>
  <si>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</si>
  <si>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</si>
  <si>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</si>
  <si>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</si>
  <si>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</si>
  <si>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</si>
  <si>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</si>
  <si>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</si>
  <si>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</si>
  <si>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</si>
  <si>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</si>
  <si>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</si>
  <si>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</si>
  <si>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</si>
  <si>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</si>
  <si>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</si>
  <si>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</si>
  <si>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</si>
  <si>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</si>
  <si>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</si>
  <si>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</si>
  <si>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</si>
  <si>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</si>
  <si>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</si>
  <si>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</si>
  <si>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</si>
  <si>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</si>
  <si>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</si>
  <si>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</si>
  <si>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</si>
  <si>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</si>
  <si>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</si>
  <si>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</si>
  <si>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</si>
  <si>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</si>
  <si>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</si>
  <si>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</si>
  <si>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</si>
  <si>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</si>
  <si>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</si>
  <si>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</si>
  <si>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</si>
  <si>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</si>
  <si>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</si>
  <si>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</si>
  <si>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</si>
  <si>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</si>
  <si>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</si>
  <si>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</si>
  <si>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</si>
  <si>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</si>
  <si>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</si>
  <si>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</si>
  <si>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</si>
  <si>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</si>
  <si>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</si>
  <si>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</si>
  <si>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</si>
  <si>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</si>
  <si>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</si>
  <si>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</si>
  <si>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</si>
  <si>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</si>
  <si>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</si>
  <si>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</si>
  <si>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</si>
  <si>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</si>
  <si>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</si>
  <si>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</si>
  <si>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</si>
  <si>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</si>
  <si>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</si>
  <si>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</si>
  <si>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</si>
  <si>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</si>
  <si>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</si>
  <si>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</si>
  <si>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</si>
  <si>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</si>
  <si>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</si>
  <si>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</si>
  <si>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</si>
  <si>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</si>
  <si>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</si>
  <si>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</si>
  <si>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</si>
  <si>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</si>
  <si>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</si>
  <si>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</si>
  <si>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</si>
  <si>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</si>
  <si>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</si>
  <si>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</si>
  <si>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</si>
  <si>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</si>
  <si>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</si>
  <si>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</si>
  <si>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</si>
  <si>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</si>
  <si>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</si>
  <si>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</si>
  <si>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</si>
  <si>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</si>
  <si>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</si>
  <si>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</si>
  <si>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</si>
  <si>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</si>
  <si>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</si>
  <si>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</si>
  <si>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</si>
  <si>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</si>
  <si>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</si>
  <si>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</si>
  <si>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</si>
  <si>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</si>
  <si>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</si>
  <si>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</si>
  <si>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</si>
  <si>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</si>
  <si>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</si>
  <si>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</si>
  <si>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</si>
  <si>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</si>
  <si>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</si>
  <si>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</si>
  <si>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</si>
  <si>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</si>
  <si>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</si>
  <si>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</si>
  <si>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</si>
  <si>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</si>
  <si>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</si>
  <si>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</si>
  <si>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</si>
  <si>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</si>
  <si>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</si>
  <si>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</si>
  <si>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</si>
  <si>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</si>
  <si>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</si>
  <si>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</si>
  <si>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</si>
  <si>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</si>
  <si>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</si>
  <si>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</si>
  <si>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</si>
  <si>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</si>
  <si>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</si>
  <si>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</si>
  <si>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</si>
  <si>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</si>
  <si>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</si>
  <si>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</si>
  <si>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</si>
  <si>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</si>
  <si>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</si>
  <si>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</si>
  <si>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</si>
  <si>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</si>
  <si>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</si>
  <si>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</si>
  <si>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</si>
  <si>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</si>
  <si>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</si>
  <si>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</si>
  <si>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</si>
  <si>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</si>
  <si>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</si>
  <si>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</si>
  <si>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</si>
  <si>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</si>
  <si>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</si>
  <si>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</si>
  <si>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</si>
  <si>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</si>
  <si>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</si>
  <si>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</si>
  <si>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</si>
  <si>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</si>
  <si>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</si>
  <si>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</si>
  <si>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</si>
  <si>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</si>
  <si>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</si>
  <si>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</si>
  <si>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</si>
  <si>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</si>
  <si>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</si>
  <si>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</si>
  <si>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</si>
  <si>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</si>
  <si>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</si>
  <si>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</si>
  <si>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</si>
  <si>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</si>
  <si>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</si>
  <si>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</si>
  <si>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</si>
  <si>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</si>
  <si>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</si>
  <si>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</si>
  <si>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</si>
  <si>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</si>
  <si>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</si>
  <si>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</si>
  <si>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</si>
  <si>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</si>
  <si>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</si>
  <si>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</si>
  <si>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</si>
  <si>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</si>
  <si>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</si>
  <si>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</si>
  <si>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</si>
  <si>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</si>
  <si>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</si>
  <si>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</si>
  <si>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</si>
  <si>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</si>
  <si>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</si>
  <si>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</si>
  <si>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</si>
  <si>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</si>
  <si>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</si>
  <si>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</si>
  <si>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</si>
  <si>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</si>
  <si>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</si>
  <si>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</si>
  <si>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</si>
  <si>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</si>
  <si>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</si>
  <si>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</si>
  <si>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</si>
  <si>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</si>
  <si>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</si>
  <si>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</si>
  <si>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</si>
  <si>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</si>
  <si>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</si>
  <si>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</si>
  <si>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</si>
  <si>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</si>
  <si>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</si>
  <si>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</si>
  <si>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</si>
  <si>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</si>
  <si>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</si>
  <si>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</si>
  <si>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</si>
  <si>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</si>
  <si>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</si>
  <si>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</si>
  <si>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</si>
  <si>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</si>
  <si>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</si>
  <si>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</si>
  <si>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</si>
  <si>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</si>
  <si>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</si>
  <si>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</si>
  <si>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</si>
  <si>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</si>
  <si>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</si>
  <si>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</si>
  <si>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</si>
  <si>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</si>
  <si>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</si>
  <si>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</si>
  <si>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</si>
  <si>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</si>
  <si>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</si>
  <si>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</si>
  <si>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</si>
  <si>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</si>
  <si>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</si>
  <si>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</si>
  <si>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</si>
  <si>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</si>
  <si>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</si>
  <si>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</si>
  <si>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</si>
  <si>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</si>
  <si>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</si>
  <si>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</si>
  <si>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</si>
  <si>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</si>
  <si>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</si>
  <si>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</si>
  <si>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</si>
  <si>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</si>
  <si>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</si>
  <si>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</si>
  <si>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</si>
  <si>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</si>
  <si>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</si>
  <si>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</si>
  <si>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</si>
  <si>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</si>
  <si>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</si>
  <si>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</si>
  <si>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</si>
  <si>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</si>
  <si>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</si>
  <si>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</si>
  <si>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</si>
  <si>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</si>
  <si>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</si>
  <si>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</si>
  <si>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</si>
  <si>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</si>
  <si>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</si>
  <si>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</si>
  <si>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</si>
  <si>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</si>
  <si>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</si>
  <si>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</si>
  <si>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</si>
  <si>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</si>
  <si>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</si>
  <si>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</si>
  <si>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</si>
  <si>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</si>
  <si>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</si>
  <si>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</si>
  <si>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</si>
  <si>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</si>
  <si>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</si>
  <si>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</si>
  <si>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</si>
  <si>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</si>
  <si>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</si>
  <si>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</si>
  <si>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</si>
  <si>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</si>
  <si>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</si>
  <si>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</si>
  <si>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</si>
  <si>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</si>
  <si>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</si>
  <si>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</si>
  <si>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</si>
  <si>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</si>
  <si>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</si>
  <si>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</si>
  <si>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</si>
  <si>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</si>
  <si>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</si>
  <si>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</si>
  <si>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</si>
  <si>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</si>
  <si>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</si>
  <si>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</si>
  <si>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</si>
  <si>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</si>
  <si>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</si>
  <si>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</si>
  <si>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</si>
  <si>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</si>
  <si>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</si>
  <si>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</si>
  <si>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</si>
  <si>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</si>
  <si>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</si>
  <si>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</si>
  <si>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</si>
  <si>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</si>
  <si>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</si>
  <si>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</si>
  <si>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</si>
  <si>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</si>
  <si>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</si>
  <si>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</si>
  <si>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</si>
  <si>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</si>
  <si>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</si>
  <si>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</si>
  <si>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</si>
  <si>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</si>
  <si>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</si>
  <si>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</si>
  <si>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</si>
  <si>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</si>
  <si>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</si>
  <si>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</si>
  <si>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</si>
  <si>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</si>
  <si>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</si>
  <si>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</si>
  <si>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</si>
  <si>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</si>
  <si>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</si>
  <si>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</si>
  <si>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</si>
  <si>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</si>
  <si>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</si>
  <si>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</si>
  <si>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</si>
  <si>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</si>
  <si>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</si>
  <si>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</si>
  <si>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</si>
  <si>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</si>
  <si>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</si>
  <si>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</si>
  <si>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</si>
  <si>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</si>
  <si>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</si>
  <si>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</si>
  <si>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</si>
  <si>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</si>
  <si>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</si>
  <si>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</si>
  <si>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</si>
  <si>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</si>
  <si>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</si>
  <si>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</si>
  <si>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</si>
  <si>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</si>
  <si>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</si>
  <si>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</si>
  <si>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</si>
  <si>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</si>
  <si>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</si>
  <si>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</si>
  <si>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</si>
  <si>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</si>
  <si>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</si>
  <si>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</si>
  <si>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</si>
  <si>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</si>
  <si>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</si>
  <si>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</si>
  <si>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</si>
  <si>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</si>
  <si>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</si>
  <si>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</si>
  <si>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</si>
  <si>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</si>
  <si>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</si>
  <si>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</si>
  <si>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</si>
  <si>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</si>
  <si>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</si>
  <si>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</si>
  <si>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</si>
  <si>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</si>
  <si>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</si>
  <si>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</si>
  <si>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</si>
  <si>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</si>
  <si>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</si>
  <si>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</si>
  <si>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</si>
  <si>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</si>
  <si>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</si>
  <si>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</si>
  <si>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</si>
  <si>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</si>
  <si>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</si>
  <si>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</si>
  <si>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</si>
  <si>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</si>
  <si>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</si>
  <si>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</si>
  <si>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</si>
  <si>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</si>
  <si>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</si>
  <si>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</si>
  <si>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</si>
  <si>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</si>
  <si>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</si>
  <si>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</si>
  <si>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</si>
  <si>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</si>
  <si>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</si>
  <si>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</si>
  <si>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</si>
  <si>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</si>
  <si>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</si>
  <si>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</si>
  <si>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</si>
  <si>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</si>
  <si>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</si>
  <si>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</si>
  <si>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</si>
  <si>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</si>
  <si>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</si>
  <si>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</si>
  <si>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</si>
  <si>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</si>
  <si>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</si>
  <si>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</si>
  <si>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</si>
  <si>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</si>
  <si>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</si>
  <si>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</si>
  <si>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</si>
  <si>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</si>
  <si>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</si>
  <si>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</si>
  <si>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</si>
  <si>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</si>
  <si>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</si>
  <si>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</si>
  <si>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</si>
  <si>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</si>
  <si>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</si>
  <si>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</si>
  <si>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</si>
  <si>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</si>
  <si>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</si>
  <si>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</si>
  <si>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</si>
  <si>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</si>
  <si>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</si>
  <si>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</si>
  <si>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</si>
  <si>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</si>
  <si>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</si>
  <si>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</si>
  <si>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</si>
  <si>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</si>
  <si>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</si>
  <si>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</si>
  <si>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</si>
  <si>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</si>
  <si>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</si>
  <si>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</si>
  <si>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</si>
  <si>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</si>
  <si>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</si>
  <si>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</si>
  <si>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</si>
  <si>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</si>
  <si>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</si>
  <si>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</si>
  <si>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</si>
  <si>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</si>
  <si>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</si>
  <si>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</si>
  <si>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</si>
  <si>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</si>
  <si>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</si>
  <si>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</si>
  <si>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</si>
  <si>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</si>
  <si>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</si>
  <si>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</si>
  <si>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</si>
  <si>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</si>
  <si>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</si>
  <si>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</si>
  <si>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</si>
  <si>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</si>
  <si>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</si>
  <si>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</si>
  <si>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</si>
  <si>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</si>
  <si>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</si>
  <si>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</si>
  <si>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</si>
  <si>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</si>
  <si>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</si>
  <si>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</si>
  <si>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</si>
  <si>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</si>
  <si>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</si>
  <si>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</si>
  <si>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</si>
  <si>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</si>
  <si>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</si>
  <si>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</si>
  <si>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</si>
  <si>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</si>
  <si>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</si>
  <si>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</si>
  <si>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</si>
  <si>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</si>
  <si>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</si>
  <si>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</si>
  <si>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</si>
  <si>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</si>
  <si>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</si>
  <si>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</si>
  <si>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</si>
  <si>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</si>
  <si>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</si>
  <si>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</si>
  <si>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</si>
  <si>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</si>
  <si>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</si>
  <si>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</si>
  <si>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</si>
  <si>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</si>
  <si>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</si>
  <si>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</si>
  <si>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</si>
  <si>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</si>
  <si>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</si>
  <si>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</si>
  <si>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</si>
  <si>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</si>
  <si>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</si>
  <si>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</si>
  <si>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</si>
  <si>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</si>
  <si>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</si>
  <si>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</si>
  <si>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</si>
  <si>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</si>
  <si>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</si>
  <si>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</si>
  <si>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</si>
  <si>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</si>
  <si>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</si>
  <si>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</si>
  <si>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</si>
  <si>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</si>
  <si>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</si>
  <si>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</si>
  <si>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</si>
  <si>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</si>
  <si>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</si>
  <si>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</si>
  <si>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</si>
  <si>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</si>
  <si>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</si>
  <si>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</si>
  <si>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</si>
  <si>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</si>
  <si>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</si>
  <si>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</si>
  <si>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</si>
  <si>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</si>
  <si>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</si>
  <si>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</si>
  <si>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</si>
  <si>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</si>
  <si>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</si>
  <si>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</si>
  <si>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</si>
  <si>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</si>
  <si>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</si>
  <si>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</si>
  <si>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</si>
  <si>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</si>
  <si>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</si>
  <si>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</si>
  <si>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</si>
  <si>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</si>
  <si>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</si>
  <si>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</si>
  <si>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</si>
  <si>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</si>
  <si>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</si>
  <si>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</si>
  <si>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</si>
  <si>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</si>
  <si>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</si>
  <si>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</si>
  <si>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</si>
  <si>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</si>
  <si>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</si>
  <si>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</si>
  <si>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</si>
  <si>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</si>
  <si>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</si>
  <si>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</si>
  <si>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</si>
  <si>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</si>
  <si>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</si>
  <si>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</si>
  <si>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</si>
  <si>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</si>
  <si>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</si>
  <si>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</si>
  <si>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</si>
  <si>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</si>
  <si>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</si>
  <si>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</si>
  <si>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</si>
  <si>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</si>
  <si>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</si>
  <si>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</si>
  <si>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</si>
  <si>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</si>
  <si>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</si>
  <si>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</si>
  <si>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</si>
  <si>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</si>
  <si>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</si>
  <si>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</si>
  <si>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</si>
  <si>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</si>
  <si>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</si>
  <si>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</si>
  <si>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</si>
  <si>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</si>
  <si>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</si>
  <si>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</si>
  <si>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</si>
  <si>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</si>
  <si>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</si>
  <si>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</si>
  <si>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</si>
  <si>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</si>
  <si>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</si>
  <si>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</si>
  <si>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</si>
  <si>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</si>
  <si>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</si>
  <si>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</si>
  <si>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</si>
  <si>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</si>
  <si>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</si>
  <si>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</si>
  <si>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</si>
  <si>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</si>
  <si>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</si>
  <si>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</si>
  <si>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</si>
  <si>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</si>
  <si>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</si>
  <si>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</si>
  <si>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</si>
  <si>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</si>
  <si>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</si>
  <si>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</si>
  <si>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</si>
  <si>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</si>
  <si>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</si>
  <si>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</si>
  <si>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</si>
  <si>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</si>
  <si>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</si>
  <si>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</si>
  <si>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</si>
  <si>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</si>
  <si>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</si>
  <si>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</si>
  <si>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</si>
  <si>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</si>
  <si>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</si>
  <si>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</si>
  <si>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</si>
  <si>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</si>
  <si>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</si>
  <si>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</si>
  <si>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</si>
  <si>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</si>
  <si>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</si>
  <si>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</si>
  <si>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</si>
  <si>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</si>
  <si>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</si>
  <si>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</si>
  <si>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</si>
  <si>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</si>
  <si>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</si>
  <si>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</si>
  <si>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</si>
  <si>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</si>
  <si>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</si>
  <si>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</si>
  <si>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</si>
  <si>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</si>
  <si>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</si>
  <si>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</si>
  <si>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</si>
  <si>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</si>
  <si>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</si>
  <si>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</si>
  <si>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</si>
  <si>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</si>
  <si>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</si>
  <si>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</si>
  <si>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</si>
  <si>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</si>
  <si>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</si>
  <si>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</si>
  <si>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</si>
  <si>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</si>
  <si>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</si>
  <si>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</si>
  <si>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</si>
  <si>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</si>
  <si>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</si>
  <si>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</si>
  <si>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</si>
  <si>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</si>
  <si>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</si>
  <si>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</si>
  <si>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</si>
  <si>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</si>
  <si>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</si>
  <si>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</si>
  <si>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</si>
  <si>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</si>
  <si>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</si>
  <si>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</si>
  <si>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</si>
  <si>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</si>
  <si>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</si>
  <si>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</si>
  <si>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</si>
  <si>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</si>
  <si>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</si>
  <si>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</si>
  <si>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</si>
  <si>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</si>
  <si>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</si>
  <si>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</si>
  <si>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</si>
  <si>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</si>
  <si>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</si>
  <si>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</si>
  <si>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</si>
  <si>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</si>
  <si>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</si>
  <si>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</si>
  <si>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</si>
  <si>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</si>
  <si>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</si>
  <si>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</si>
  <si>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</si>
  <si>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</si>
  <si>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</si>
  <si>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</si>
  <si>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</si>
  <si>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</si>
  <si>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</si>
  <si>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</si>
  <si>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</si>
  <si>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</si>
  <si>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</si>
  <si>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</si>
  <si>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</si>
  <si>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</si>
  <si>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</si>
  <si>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</si>
  <si>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</si>
  <si>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</si>
  <si>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</si>
  <si>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</si>
  <si>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</si>
  <si>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</si>
  <si>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</si>
  <si>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</si>
  <si>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</si>
  <si>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</si>
  <si>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</si>
  <si>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</si>
  <si>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</si>
  <si>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</si>
  <si>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</si>
  <si>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</si>
  <si>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</si>
  <si>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</si>
  <si>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</si>
  <si>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</si>
  <si>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</si>
  <si>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</si>
  <si>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</si>
  <si>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</si>
  <si>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</si>
  <si>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</si>
  <si>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</si>
  <si>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</si>
  <si>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</si>
  <si>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</si>
  <si>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</si>
  <si>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</si>
  <si>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</si>
  <si>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</si>
  <si>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</si>
  <si>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</si>
  <si>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</si>
  <si>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</si>
  <si>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</si>
  <si>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</si>
  <si>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</si>
  <si>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</si>
  <si>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</si>
  <si>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</si>
  <si>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</si>
  <si>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</si>
  <si>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</si>
  <si>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</si>
  <si>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</si>
  <si>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</si>
  <si>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</si>
  <si>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</si>
  <si>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</si>
  <si>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</si>
  <si>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</si>
  <si>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</si>
  <si>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</si>
  <si>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</si>
  <si>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</si>
  <si>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</si>
  <si>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</si>
  <si>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</si>
  <si>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</si>
  <si>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</si>
  <si>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</si>
  <si>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</si>
  <si>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</si>
  <si>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</si>
  <si>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</si>
  <si>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</si>
  <si>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</si>
  <si>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</si>
  <si>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</si>
  <si>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</si>
  <si>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</si>
  <si>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</si>
  <si>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</si>
  <si>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</si>
  <si>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</si>
  <si>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</si>
  <si>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</si>
  <si>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</si>
  <si>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</si>
  <si>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</si>
  <si>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</si>
  <si>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</si>
  <si>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</si>
  <si>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</si>
  <si>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</si>
  <si>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</si>
  <si>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</si>
  <si>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</si>
  <si>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</si>
  <si>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</si>
  <si>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</si>
  <si>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</si>
  <si>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</si>
  <si>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</si>
  <si>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</si>
  <si>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</si>
  <si>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</si>
  <si>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</si>
  <si>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</si>
  <si>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</si>
  <si>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</si>
  <si>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</si>
  <si>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</si>
  <si>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</si>
  <si>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</si>
  <si>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</si>
  <si>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</si>
  <si>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</si>
  <si>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</si>
  <si>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</si>
  <si>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</si>
  <si>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</si>
  <si>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</si>
  <si>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</si>
  <si>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</si>
  <si>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</si>
  <si>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</si>
  <si>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</si>
  <si>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</si>
  <si>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</si>
  <si>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</si>
  <si>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</si>
  <si>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</si>
  <si>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</si>
  <si>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</si>
  <si>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</si>
  <si>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</si>
  <si>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</si>
  <si>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</si>
  <si>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</si>
  <si>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</si>
  <si>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</si>
  <si>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</si>
  <si>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</si>
  <si>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</si>
  <si>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</si>
  <si>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</si>
  <si>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</si>
  <si>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</si>
  <si>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</si>
  <si>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</si>
  <si>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</si>
  <si>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</si>
  <si>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</si>
  <si>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</si>
  <si>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</si>
  <si>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</si>
  <si>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</si>
  <si>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</si>
  <si>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</si>
  <si>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</si>
  <si>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</si>
  <si>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</si>
  <si>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</si>
  <si>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</si>
  <si>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</si>
  <si>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</si>
  <si>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</si>
  <si>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</si>
  <si>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</si>
  <si>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</si>
  <si>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</si>
  <si>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</si>
  <si>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</si>
  <si>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</si>
  <si>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</si>
  <si>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</si>
  <si>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</si>
  <si>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</si>
  <si>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</si>
  <si>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</si>
  <si>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</si>
  <si>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</si>
  <si>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</si>
  <si>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</si>
  <si>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</si>
  <si>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</si>
  <si>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</si>
  <si>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</si>
  <si>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</si>
  <si>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</si>
  <si>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</si>
  <si>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</si>
  <si>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</si>
  <si>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</si>
  <si>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</si>
  <si>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</si>
  <si>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</si>
  <si>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</si>
  <si>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</si>
  <si>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</si>
  <si>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</si>
  <si>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</si>
  <si>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</si>
  <si>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</si>
  <si>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</si>
  <si>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</si>
  <si>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</si>
  <si>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</si>
  <si>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</si>
  <si>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</si>
  <si>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</si>
  <si>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</si>
  <si>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</si>
  <si>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</si>
  <si>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</si>
  <si>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</si>
  <si>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</si>
  <si>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</si>
  <si>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</si>
  <si>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</si>
  <si>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</si>
  <si>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</si>
  <si>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</si>
  <si>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</si>
  <si>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</si>
  <si>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</si>
  <si>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</si>
  <si>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</si>
  <si>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</si>
  <si>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</si>
  <si>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</si>
  <si>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</si>
  <si>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</si>
  <si>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</si>
  <si>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</si>
  <si>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</si>
  <si>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</si>
  <si>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</si>
  <si>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</si>
  <si>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</si>
  <si>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</si>
  <si>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</si>
  <si>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</si>
  <si>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</si>
  <si>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</si>
  <si>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</si>
  <si>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</si>
  <si>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</si>
  <si>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</si>
  <si>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</si>
  <si>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</si>
  <si>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</si>
  <si>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</si>
  <si>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</si>
  <si>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</si>
  <si>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</si>
  <si>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</si>
  <si>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</si>
  <si>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</si>
  <si>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</si>
  <si>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</si>
  <si>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</si>
  <si>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</si>
  <si>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</si>
  <si>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</si>
  <si>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</si>
  <si>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</si>
  <si>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</si>
  <si>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</si>
  <si>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</si>
  <si>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</si>
  <si>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</si>
  <si>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</si>
  <si>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</si>
  <si>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</si>
  <si>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</si>
  <si>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</si>
  <si>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</si>
  <si>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</si>
  <si>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</si>
  <si>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</si>
  <si>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</si>
  <si>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</si>
  <si>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</si>
  <si>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</si>
  <si>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</si>
  <si>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</si>
  <si>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</si>
  <si>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</si>
  <si>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</si>
  <si>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</si>
  <si>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</si>
  <si>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</si>
  <si>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</si>
  <si>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</si>
  <si>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</si>
  <si>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</si>
  <si>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</si>
  <si>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</si>
  <si>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</si>
  <si>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</si>
  <si>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</si>
  <si>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</si>
  <si>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</si>
  <si>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</si>
  <si>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</si>
  <si>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</si>
  <si>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</si>
  <si>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</si>
  <si>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</si>
  <si>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</si>
  <si>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</si>
  <si>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</si>
  <si>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</si>
  <si>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</si>
  <si>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</si>
  <si>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</si>
  <si>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</si>
  <si>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</si>
  <si>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</si>
  <si>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</si>
  <si>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</si>
  <si>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</si>
  <si>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</si>
  <si>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</si>
  <si>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</si>
  <si>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</si>
  <si>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</si>
  <si>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</si>
  <si>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</si>
  <si>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</si>
  <si>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</si>
  <si>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</si>
  <si>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</si>
  <si>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</si>
  <si>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</si>
  <si>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</si>
  <si>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</si>
  <si>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</si>
  <si>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</si>
  <si>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</si>
  <si>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</si>
  <si>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</si>
  <si>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</si>
  <si>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</si>
  <si>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</si>
  <si>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</si>
  <si>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</si>
  <si>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</si>
  <si>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</si>
  <si>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</si>
  <si>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</si>
  <si>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</si>
  <si>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</si>
  <si>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</si>
  <si>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</si>
  <si>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</si>
  <si>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</si>
  <si>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</si>
  <si>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</si>
  <si>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</si>
  <si>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</si>
  <si>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</si>
  <si>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</si>
  <si>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</si>
  <si>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</si>
  <si>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</si>
  <si>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</si>
  <si>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</si>
  <si>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</si>
  <si>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</si>
  <si>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</si>
  <si>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</si>
  <si>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</si>
  <si>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</si>
  <si>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</si>
  <si>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</si>
  <si>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</si>
  <si>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</si>
  <si>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</si>
  <si>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</si>
  <si>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</si>
  <si>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</si>
  <si>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</si>
  <si>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</si>
  <si>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</si>
  <si>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</si>
  <si>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</si>
  <si>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</si>
  <si>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</si>
  <si>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</si>
  <si>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</si>
  <si>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</si>
  <si>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</si>
  <si>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VERMILION</t>
  </si>
  <si>
    <t>15009 CATLIN-TILTON ROAD</t>
  </si>
  <si>
    <t>DANVILLE</t>
  </si>
  <si>
    <t>Kristin Dunker</t>
  </si>
  <si>
    <t>dunkerk@vase.k12.il.us</t>
  </si>
  <si>
    <t>217-443-8273</t>
  </si>
  <si>
    <t>217-443-0217</t>
  </si>
  <si>
    <t>No applicable contracts paid.</t>
  </si>
  <si>
    <t>Page 11 - Acct 1999 - Other Local Revenue</t>
  </si>
  <si>
    <t>Col 10 - Educational</t>
  </si>
  <si>
    <t>Refunds &amp; Reimbursements - $48,974</t>
  </si>
  <si>
    <t>Page 12 - Acct 3999 - Other Restricted Revenue from State Sources</t>
  </si>
  <si>
    <t>RSSP Career Ed Grant - $50,906</t>
  </si>
  <si>
    <t>Page 14 - Acct 4999 - Other Restricted Revenue from Federal Sources</t>
  </si>
  <si>
    <t>Department of Human Services, Rehabilitation Services - $93,497</t>
  </si>
  <si>
    <t>AUDITCHECK Tab - #13 Contracts Paid Error</t>
  </si>
  <si>
    <t>No applicable contracts were paid in the current year.</t>
  </si>
  <si>
    <t>U.S Department of Agriculture</t>
  </si>
  <si>
    <t xml:space="preserve">     Passed Through Illinois State Board of Education</t>
  </si>
  <si>
    <t xml:space="preserve">     School Lunch-19</t>
  </si>
  <si>
    <t xml:space="preserve">     School Breakfast-19</t>
  </si>
  <si>
    <t xml:space="preserve">          Total U.S. Department of Agriculture</t>
  </si>
  <si>
    <t>U.S Department of Education</t>
  </si>
  <si>
    <t xml:space="preserve">     Special Ed.-Preschool</t>
  </si>
  <si>
    <t>84.173a</t>
  </si>
  <si>
    <t xml:space="preserve">     IDEA-Flow Through-18</t>
  </si>
  <si>
    <t xml:space="preserve">     IDEA-Flow Through-19</t>
  </si>
  <si>
    <t xml:space="preserve">          Total U.S. Department of Education</t>
  </si>
  <si>
    <t>U.S. Department of Family &amp; Healthcare Service</t>
  </si>
  <si>
    <t xml:space="preserve">     Passed Through Illinois Healthcare &amp; Family Service</t>
  </si>
  <si>
    <t xml:space="preserve">     Medicaid Admin Outreach</t>
  </si>
  <si>
    <t xml:space="preserve">     Rehab Service</t>
  </si>
  <si>
    <t xml:space="preserve">           Total U.S Department of Family &amp; Healthcare Service</t>
  </si>
  <si>
    <t xml:space="preserve">          Total Federal Financial Services</t>
  </si>
  <si>
    <t>The accompanying Schedule of Expenditures of Federal Awards includes the federal grant activity of Vermilion Association of Special Education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</si>
  <si>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</si>
  <si>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Vermilion Association of Special Education  provided federal awards to subrecipients as follows:</t>
  </si>
  <si>
    <t>none</t>
  </si>
  <si>
    <r>
      <t xml:space="preserve">The following amounts were expended in the form of non-cash assistance by Vermilion Association of Special Education and </t>
    </r>
    <r>
      <rPr>
        <b/>
        <sz val="9"/>
        <rFont val="Calibri"/>
        <family val="2"/>
        <scheme val="minor"/>
      </rPr>
      <t>should be</t>
    </r>
    <r>
      <rPr>
        <sz val="9"/>
        <rFont val="Calibri"/>
        <family val="2"/>
        <scheme val="minor"/>
      </rPr>
      <t xml:space="preserve"> included in the Schedule of Expenditures of Federal Awards:</t>
    </r>
  </si>
  <si>
    <t>no</t>
  </si>
  <si>
    <t>Qualified-Regulatory/Adverse-GAAP</t>
  </si>
  <si>
    <t>Ubmodified</t>
  </si>
  <si>
    <t>84.027a</t>
  </si>
  <si>
    <t>IDEA-Flow Thru</t>
  </si>
  <si>
    <t>Vermilion Assoc for Spec Educ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</si>
</sst>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18" t="s">
        <v>405</v>
      </c>
      <c r="J1" s="2019"/>
      <c r="K1" s="2019"/>
      <c r="L1" s="2019"/>
      <c r="M1" s="2019"/>
      <c r="N1" s="2019"/>
      <c r="O1" s="2019"/>
      <c r="P1" s="2019"/>
      <c r="Q1" s="2019"/>
      <c r="R1" s="2019"/>
      <c r="S1" s="2019"/>
    </row>
    <row r="2" spans="1:28" ht="12" customHeight="1" x14ac:dyDescent="0.2">
      <c r="A2" s="47" t="s">
        <v>1988</v>
      </c>
      <c r="D2" s="48"/>
      <c r="I2" s="2020" t="s">
        <v>979</v>
      </c>
      <c r="J2" s="2019"/>
      <c r="K2" s="2019"/>
      <c r="L2" s="2019"/>
      <c r="M2" s="2019"/>
      <c r="N2" s="2019"/>
      <c r="O2" s="2019"/>
      <c r="P2" s="2019"/>
      <c r="Q2" s="2019"/>
      <c r="R2" s="2019"/>
      <c r="S2" s="2019"/>
    </row>
    <row r="3" spans="1:28" ht="12" customHeight="1" x14ac:dyDescent="0.2">
      <c r="A3" s="155" t="s">
        <v>1940</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c r="C5" s="26" t="s">
        <v>910</v>
      </c>
      <c r="D5" s="84"/>
      <c r="E5" s="84"/>
      <c r="H5" s="38"/>
      <c r="I5" s="2027" t="s">
        <v>680</v>
      </c>
      <c r="J5" s="1971"/>
      <c r="K5" s="1971"/>
      <c r="L5" s="1971"/>
      <c r="M5" s="1971"/>
      <c r="N5" s="1971"/>
      <c r="O5" s="1971"/>
      <c r="P5" s="1971"/>
      <c r="Q5" s="1971"/>
      <c r="R5" s="1971"/>
      <c r="S5" s="1971"/>
    </row>
    <row r="6" spans="1:28" ht="14.1" customHeight="1" x14ac:dyDescent="0.2">
      <c r="B6" s="104" t="s">
        <v>2070</v>
      </c>
      <c r="C6" s="26" t="s">
        <v>911</v>
      </c>
      <c r="D6" s="84"/>
      <c r="E6" s="84"/>
      <c r="I6" s="2026" t="s">
        <v>883</v>
      </c>
      <c r="J6" s="1971"/>
      <c r="K6" s="1971"/>
      <c r="L6" s="1971"/>
      <c r="M6" s="1971"/>
      <c r="N6" s="1971"/>
      <c r="O6" s="1971"/>
      <c r="P6" s="1971"/>
      <c r="Q6" s="1971"/>
      <c r="R6" s="1971"/>
      <c r="S6" s="1971"/>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2070</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54092801060</v>
      </c>
      <c r="B13" s="1988"/>
      <c r="C13" s="1988"/>
      <c r="D13" s="1988"/>
      <c r="E13" s="1988"/>
      <c r="F13" s="1988"/>
      <c r="G13" s="1988"/>
      <c r="H13" s="1989"/>
      <c r="I13" s="31"/>
      <c r="J13" s="30"/>
      <c r="K13" s="28"/>
      <c r="L13" s="30"/>
      <c r="M13" s="30"/>
      <c r="N13" s="30"/>
      <c r="O13" s="30"/>
      <c r="P13" s="30"/>
      <c r="Q13" s="30"/>
      <c r="R13" s="30"/>
      <c r="S13" s="30"/>
      <c r="T13" s="1992" t="s">
        <v>2062</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2073</v>
      </c>
      <c r="B15" s="1990"/>
      <c r="C15" s="1990"/>
      <c r="D15" s="1990"/>
      <c r="E15" s="1990"/>
      <c r="F15" s="1990"/>
      <c r="G15" s="1990"/>
      <c r="H15" s="1991"/>
      <c r="T15" s="1953" t="s">
        <v>2063</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5" t="s">
        <v>2117</v>
      </c>
      <c r="B17" s="2016"/>
      <c r="C17" s="2016"/>
      <c r="D17" s="2016"/>
      <c r="E17" s="2016"/>
      <c r="F17" s="2016"/>
      <c r="G17" s="2016"/>
      <c r="H17" s="2017"/>
      <c r="T17" s="2002" t="s">
        <v>2064</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2074</v>
      </c>
      <c r="B19" s="1986"/>
      <c r="C19" s="1986"/>
      <c r="D19" s="1986"/>
      <c r="E19" s="1986"/>
      <c r="F19" s="1986"/>
      <c r="G19" s="1986"/>
      <c r="H19" s="1984"/>
      <c r="I19" s="30"/>
      <c r="J19" s="99"/>
      <c r="K19" s="40"/>
      <c r="L19" s="38"/>
      <c r="M19" s="112" t="s">
        <v>315</v>
      </c>
      <c r="P19" s="27"/>
      <c r="Q19" s="27"/>
      <c r="R19" s="27"/>
      <c r="S19" s="31"/>
      <c r="T19" s="1985" t="s">
        <v>2065</v>
      </c>
      <c r="U19" s="1983"/>
      <c r="V19" s="1983"/>
      <c r="W19" s="1984"/>
      <c r="X19" s="2000" t="s">
        <v>2066</v>
      </c>
      <c r="Y19" s="2001"/>
      <c r="Z19" s="1998">
        <v>60942</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2075</v>
      </c>
      <c r="B21" s="1983"/>
      <c r="C21" s="1983"/>
      <c r="D21" s="1983"/>
      <c r="E21" s="1983"/>
      <c r="F21" s="1983"/>
      <c r="G21" s="1983"/>
      <c r="H21" s="1984"/>
      <c r="I21" s="2008" t="s">
        <v>678</v>
      </c>
      <c r="J21" s="1971"/>
      <c r="K21" s="1971"/>
      <c r="L21" s="1971"/>
      <c r="M21" s="1971"/>
      <c r="N21" s="1971"/>
      <c r="O21" s="1971"/>
      <c r="P21" s="1971"/>
      <c r="Q21" s="1971"/>
      <c r="R21" s="1971"/>
      <c r="S21" s="1972"/>
      <c r="T21" s="1950" t="s">
        <v>2067</v>
      </c>
      <c r="U21" s="1951"/>
      <c r="V21" s="1951"/>
      <c r="W21" s="1951"/>
      <c r="X21" s="1964" t="s">
        <v>2068</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c r="B23" s="2006"/>
      <c r="C23" s="2006"/>
      <c r="D23" s="2006"/>
      <c r="E23" s="2006"/>
      <c r="F23" s="2006"/>
      <c r="G23" s="2006"/>
      <c r="H23" s="2007"/>
      <c r="T23" s="1945" t="s">
        <v>2071</v>
      </c>
      <c r="U23" s="1946"/>
      <c r="V23" s="1946"/>
      <c r="W23" s="1946"/>
      <c r="X23" s="1961">
        <v>44469</v>
      </c>
      <c r="Y23" s="1962"/>
      <c r="Z23" s="1962"/>
      <c r="AA23" s="1963"/>
    </row>
    <row r="24" spans="1:27" ht="14.1" customHeight="1" x14ac:dyDescent="0.2">
      <c r="A24" s="88" t="s">
        <v>677</v>
      </c>
      <c r="B24" s="49"/>
      <c r="C24" s="49"/>
      <c r="D24" s="49"/>
      <c r="E24" s="49"/>
      <c r="F24" s="49"/>
      <c r="G24" s="49"/>
      <c r="H24" s="61"/>
      <c r="J24" s="2048" t="str">
        <f>IF(B5="x",IF(AUDITCHECK!D29="AFR form Incomplete.","",IF(AUDITCHECK!D29="Deficit reduction plan is required.","School District must complete a deficit reduction plan in the 2019-2020 Budget",)),"")</f>
        <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2">
        <v>61834</v>
      </c>
      <c r="B25" s="1983"/>
      <c r="C25" s="1983"/>
      <c r="D25" s="1983"/>
      <c r="E25" s="1983"/>
      <c r="F25" s="1983"/>
      <c r="G25" s="1983"/>
      <c r="H25" s="1984"/>
      <c r="I25" s="113"/>
      <c r="J25" s="2050"/>
      <c r="K25" s="2050"/>
      <c r="L25" s="2050"/>
      <c r="M25" s="2050"/>
      <c r="N25" s="2050"/>
      <c r="O25" s="2050"/>
      <c r="P25" s="2050"/>
      <c r="Q25" s="2050"/>
      <c r="R25" s="2050"/>
      <c r="S25" s="2051"/>
      <c r="T25" s="1942" t="s">
        <v>2069</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48" t="s">
        <v>2070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5" t="s">
        <v>2076</v>
      </c>
      <c r="B38" s="2016"/>
      <c r="C38" s="2016"/>
      <c r="D38" s="2016"/>
      <c r="E38" s="2016"/>
      <c r="F38" s="1983"/>
      <c r="G38" s="1983"/>
      <c r="H38" s="1984"/>
      <c r="I38" s="2035"/>
      <c r="J38" s="1954"/>
      <c r="K38" s="1954"/>
      <c r="L38" s="1954"/>
      <c r="M38" s="1954"/>
      <c r="N38" s="1954"/>
      <c r="O38" s="1954"/>
      <c r="P38" s="1955"/>
      <c r="Q38" s="1955"/>
      <c r="R38" s="1955"/>
      <c r="S38" s="1956"/>
      <c r="T38" s="1953"/>
      <c r="U38" s="1954"/>
      <c r="V38" s="1954"/>
      <c r="W38" s="1954"/>
      <c r="X38" s="1955"/>
      <c r="Y38" s="1955"/>
      <c r="Z38" s="1955"/>
      <c r="AA38" s="1956"/>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2077</v>
      </c>
      <c r="B40" s="2043"/>
      <c r="C40" s="2044"/>
      <c r="D40" s="2044"/>
      <c r="E40" s="2044"/>
      <c r="F40" s="2045"/>
      <c r="G40" s="2045"/>
      <c r="H40" s="2046"/>
      <c r="I40" s="1957"/>
      <c r="J40" s="1959"/>
      <c r="K40" s="1959"/>
      <c r="L40" s="1959"/>
      <c r="M40" s="1959"/>
      <c r="N40" s="1959"/>
      <c r="O40" s="1959"/>
      <c r="P40" s="1959"/>
      <c r="Q40" s="1959"/>
      <c r="R40" s="1959"/>
      <c r="S40" s="1960"/>
      <c r="T40" s="1957"/>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2078</v>
      </c>
      <c r="B42" s="2033"/>
      <c r="C42" s="2034"/>
      <c r="D42" s="2047" t="s">
        <v>2079</v>
      </c>
      <c r="E42" s="2033"/>
      <c r="F42" s="2033"/>
      <c r="G42" s="2033"/>
      <c r="H42" s="2034"/>
      <c r="I42" s="1952"/>
      <c r="J42" s="1948"/>
      <c r="K42" s="1948"/>
      <c r="L42" s="1948"/>
      <c r="M42" s="1948"/>
      <c r="N42" s="1948"/>
      <c r="O42" s="1949"/>
      <c r="P42" s="1947"/>
      <c r="Q42" s="1948"/>
      <c r="R42" s="1948"/>
      <c r="S42" s="1949"/>
      <c r="T42" s="1952"/>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5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2072</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5496450</v>
      </c>
      <c r="E16" s="356"/>
      <c r="F16" s="1733">
        <f>SUM('Acct Summary 7-8'!C17,'Acct Summary 7-8'!D17,'Acct Summary 7-8'!F17)</f>
        <v>5315339</v>
      </c>
      <c r="G16" s="356"/>
      <c r="H16" s="1733">
        <f>SUM(D16-F16)</f>
        <v>181111</v>
      </c>
      <c r="I16" s="222"/>
      <c r="J16" s="1733">
        <f>SUM('Acct Summary 7-8'!C81,'Acct Summary 7-8'!D81,'Acct Summary 7-8'!F81,'Acct Summary 7-8'!I81)</f>
        <v>3723273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Vermilion Assoc for Spec Educ</v>
      </c>
      <c r="E7" s="391"/>
      <c r="G7" s="252"/>
      <c r="H7" s="387"/>
      <c r="I7" s="387"/>
      <c r="J7" s="387"/>
      <c r="K7" s="387"/>
      <c r="L7" s="329"/>
      <c r="M7" s="329"/>
      <c r="N7" s="329"/>
      <c r="O7" s="329"/>
      <c r="P7" s="329"/>
    </row>
    <row r="8" spans="1:18" ht="12.75" x14ac:dyDescent="0.2">
      <c r="A8" s="329"/>
      <c r="B8" s="329"/>
      <c r="C8" s="389" t="s">
        <v>1125</v>
      </c>
      <c r="D8" s="392">
        <f>COVER!A13</f>
        <v>54092801060</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3723273</v>
      </c>
      <c r="I12" s="404"/>
      <c r="J12" s="404"/>
      <c r="K12" s="405">
        <f>TRUNC((H12/H13*100000),5)/100000</f>
        <v>0.67739595549999998</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5496450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5315339</v>
      </c>
      <c r="I17" s="404"/>
      <c r="J17" s="416"/>
      <c r="K17" s="405">
        <f>TRUNC((H17/H18*100000),5)/100000</f>
        <v>0.96704945909999995</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5496450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3727916</v>
      </c>
      <c r="I24" s="422"/>
      <c r="J24" s="422"/>
      <c r="K24" s="423">
        <f>TRUNC(((H24/H25*100000)/100000),2)</f>
        <v>252.48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14764.83056</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3727916</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3727916</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v>214123</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342822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556945</v>
      </c>
      <c r="N23" s="1688">
        <f>SUM(N21:N22)</f>
        <v>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4643</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4643</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3723273</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556945</v>
      </c>
      <c r="N40" s="497"/>
    </row>
    <row r="41" spans="1:14" ht="13.5" customHeight="1" thickBot="1" x14ac:dyDescent="0.25">
      <c r="A41" s="1736" t="s">
        <v>655</v>
      </c>
      <c r="B41" s="1706"/>
      <c r="C41" s="1688">
        <f>(SUM(C34,C37,C38,C39))</f>
        <v>3727916</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556945</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2837344</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403568</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2255538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5496450</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1503776</v>
      </c>
      <c r="D9" s="516"/>
      <c r="E9" s="481"/>
      <c r="F9" s="481"/>
      <c r="G9" s="517"/>
      <c r="H9" s="481"/>
      <c r="I9" s="509" t="s">
        <v>1169</v>
      </c>
      <c r="J9" s="478"/>
      <c r="K9" s="481"/>
      <c r="L9" s="347"/>
    </row>
    <row r="10" spans="1:13" s="519" customFormat="1" ht="13.5" thickBot="1" x14ac:dyDescent="0.25">
      <c r="A10" s="1736" t="s">
        <v>1173</v>
      </c>
      <c r="B10" s="1709"/>
      <c r="C10" s="1688">
        <f>SUM(C8:C9)</f>
        <v>7000226</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1522548</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3776504</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16287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5315339</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1503776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6819115</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8" t="s">
        <v>1655</v>
      </c>
      <c r="B20" s="2129"/>
      <c r="C20" s="1746">
        <f>C8-C17</f>
        <v>181111</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181111</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1944</v>
      </c>
      <c r="B79" s="534"/>
      <c r="C79" s="478">
        <v>3542162</v>
      </c>
      <c r="D79" s="535"/>
      <c r="E79" s="535"/>
      <c r="F79" s="535"/>
      <c r="G79" s="535"/>
      <c r="H79" s="535"/>
      <c r="I79" s="535"/>
      <c r="J79" s="535"/>
      <c r="K79" s="535"/>
      <c r="L79" s="347"/>
    </row>
    <row r="80" spans="1:12" x14ac:dyDescent="0.2">
      <c r="A80" s="2130" t="s">
        <v>1792</v>
      </c>
      <c r="B80" s="2131"/>
      <c r="C80" s="467"/>
      <c r="D80" s="467"/>
      <c r="E80" s="467"/>
      <c r="F80" s="467"/>
      <c r="G80" s="467"/>
      <c r="H80" s="467"/>
      <c r="I80" s="467"/>
      <c r="J80" s="467"/>
      <c r="K80" s="467"/>
      <c r="L80" s="347"/>
    </row>
    <row r="81" spans="1:12" ht="13.5" thickBot="1" x14ac:dyDescent="0.25">
      <c r="A81" s="2122" t="s">
        <v>1945</v>
      </c>
      <c r="B81" s="2123"/>
      <c r="C81" s="1688">
        <f>(SUM(C78:C80))</f>
        <v>3723273</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181111</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4.8642954733644293E-2</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249" activePane="bottomLeft" state="frozen"/>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1799</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2316664</v>
      </c>
      <c r="D33" s="468"/>
      <c r="E33" s="468"/>
      <c r="F33" s="468"/>
      <c r="G33" s="468"/>
      <c r="H33" s="468"/>
      <c r="I33" s="468"/>
      <c r="J33" s="468"/>
      <c r="K33" s="468"/>
    </row>
    <row r="34" spans="1:11" ht="12.75" customHeight="1" x14ac:dyDescent="0.2">
      <c r="A34" s="463" t="s">
        <v>495</v>
      </c>
      <c r="B34" s="470">
        <v>1343</v>
      </c>
      <c r="C34" s="551">
        <v>135808</v>
      </c>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2452472</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67473</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67473</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v>114</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233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347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4200</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263878</v>
      </c>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48974</v>
      </c>
      <c r="D107" s="466"/>
      <c r="E107" s="466"/>
      <c r="F107" s="466"/>
      <c r="G107" s="466"/>
      <c r="H107" s="466"/>
      <c r="I107" s="466"/>
      <c r="J107" s="467"/>
      <c r="K107" s="466"/>
    </row>
    <row r="108" spans="1:12" ht="12.75" customHeight="1" thickBot="1" x14ac:dyDescent="0.25">
      <c r="A108" s="1708" t="s">
        <v>487</v>
      </c>
      <c r="B108" s="1712"/>
      <c r="C108" s="1707">
        <f>SUM(C95:C107)</f>
        <v>317052</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2837344</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352214</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352214</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448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50906</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51354</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403568</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1800</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18447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4855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23302</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128551</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1750605</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1879156</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31397</v>
      </c>
      <c r="D263" s="576"/>
      <c r="E263" s="468"/>
      <c r="F263" s="576"/>
      <c r="G263" s="576"/>
      <c r="H263" s="468"/>
      <c r="I263" s="468"/>
      <c r="J263" s="468"/>
      <c r="K263" s="468"/>
    </row>
    <row r="264" spans="1:11" ht="12.75" customHeight="1" thickTop="1" thickBot="1" x14ac:dyDescent="0.25">
      <c r="A264" s="463" t="s">
        <v>377</v>
      </c>
      <c r="B264" s="470">
        <v>4992</v>
      </c>
      <c r="C264" s="575">
        <v>228186</v>
      </c>
      <c r="D264" s="576"/>
      <c r="E264" s="468"/>
      <c r="F264" s="576"/>
      <c r="G264" s="576"/>
      <c r="H264" s="468"/>
      <c r="I264" s="468"/>
      <c r="J264" s="468"/>
      <c r="K264" s="468"/>
    </row>
    <row r="265" spans="1:11" s="593" customFormat="1" ht="12.75" customHeight="1" thickTop="1" thickBot="1" x14ac:dyDescent="0.25">
      <c r="A265" s="563" t="s">
        <v>75</v>
      </c>
      <c r="B265" s="557">
        <v>4999</v>
      </c>
      <c r="C265" s="575">
        <v>93497</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2255538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2255538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5496450</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827402</v>
      </c>
      <c r="D8" s="466">
        <v>264080</v>
      </c>
      <c r="E8" s="466">
        <v>28996</v>
      </c>
      <c r="F8" s="466">
        <v>27208</v>
      </c>
      <c r="G8" s="466"/>
      <c r="H8" s="466"/>
      <c r="I8" s="467"/>
      <c r="J8" s="467"/>
      <c r="K8" s="1671">
        <f t="shared" si="0"/>
        <v>1147686</v>
      </c>
      <c r="L8" s="466">
        <v>1176658</v>
      </c>
    </row>
    <row r="9" spans="1:14" x14ac:dyDescent="0.2">
      <c r="A9" s="1504" t="s">
        <v>721</v>
      </c>
      <c r="B9" s="614" t="s">
        <v>968</v>
      </c>
      <c r="C9" s="467"/>
      <c r="D9" s="467"/>
      <c r="E9" s="467"/>
      <c r="F9" s="467">
        <v>10726</v>
      </c>
      <c r="G9" s="467"/>
      <c r="H9" s="467"/>
      <c r="I9" s="467"/>
      <c r="J9" s="467"/>
      <c r="K9" s="1671">
        <f t="shared" si="0"/>
        <v>10726</v>
      </c>
      <c r="L9" s="466">
        <v>12205</v>
      </c>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92341</v>
      </c>
      <c r="D13" s="466">
        <v>28719</v>
      </c>
      <c r="E13" s="466">
        <v>9320</v>
      </c>
      <c r="F13" s="466">
        <v>9334</v>
      </c>
      <c r="G13" s="466"/>
      <c r="H13" s="466"/>
      <c r="I13" s="467"/>
      <c r="J13" s="467"/>
      <c r="K13" s="1671">
        <f t="shared" si="0"/>
        <v>139714</v>
      </c>
      <c r="L13" s="466">
        <v>158492</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v>170965</v>
      </c>
      <c r="D19" s="466">
        <v>46680</v>
      </c>
      <c r="E19" s="466">
        <v>1440</v>
      </c>
      <c r="F19" s="466">
        <v>5337</v>
      </c>
      <c r="G19" s="466"/>
      <c r="H19" s="466"/>
      <c r="I19" s="467"/>
      <c r="J19" s="467"/>
      <c r="K19" s="1671">
        <f t="shared" si="0"/>
        <v>224422</v>
      </c>
      <c r="L19" s="466">
        <v>228212</v>
      </c>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1090708</v>
      </c>
      <c r="D33" s="1670">
        <f t="shared" ref="D33:L33" si="1">SUM(D5:D32)</f>
        <v>339479</v>
      </c>
      <c r="E33" s="1670">
        <f t="shared" si="1"/>
        <v>39756</v>
      </c>
      <c r="F33" s="1670">
        <f t="shared" si="1"/>
        <v>52605</v>
      </c>
      <c r="G33" s="1670">
        <f t="shared" si="1"/>
        <v>0</v>
      </c>
      <c r="H33" s="1670">
        <f t="shared" si="1"/>
        <v>0</v>
      </c>
      <c r="I33" s="1670">
        <f t="shared" si="1"/>
        <v>0</v>
      </c>
      <c r="J33" s="1670">
        <f t="shared" si="1"/>
        <v>0</v>
      </c>
      <c r="K33" s="1670">
        <f t="shared" si="1"/>
        <v>1522548</v>
      </c>
      <c r="L33" s="1670">
        <f t="shared" si="1"/>
        <v>1575567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618235</v>
      </c>
      <c r="D36" s="481">
        <v>151792</v>
      </c>
      <c r="E36" s="481">
        <v>49483</v>
      </c>
      <c r="F36" s="481">
        <v>3915</v>
      </c>
      <c r="G36" s="481"/>
      <c r="H36" s="481"/>
      <c r="I36" s="467"/>
      <c r="J36" s="467"/>
      <c r="K36" s="1671">
        <f t="shared" ref="K36:K41" si="2">SUM(C36:J36)</f>
        <v>823425</v>
      </c>
      <c r="L36" s="466">
        <v>858763</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283792</v>
      </c>
      <c r="D38" s="466">
        <v>84498</v>
      </c>
      <c r="E38" s="466">
        <v>10971</v>
      </c>
      <c r="F38" s="466">
        <v>2428</v>
      </c>
      <c r="G38" s="466"/>
      <c r="H38" s="466"/>
      <c r="I38" s="467"/>
      <c r="J38" s="467"/>
      <c r="K38" s="1671">
        <f t="shared" si="2"/>
        <v>381689</v>
      </c>
      <c r="L38" s="466">
        <v>396585</v>
      </c>
    </row>
    <row r="39" spans="1:14" x14ac:dyDescent="0.2">
      <c r="A39" s="1504" t="s">
        <v>199</v>
      </c>
      <c r="B39" s="614">
        <v>2140</v>
      </c>
      <c r="C39" s="466">
        <v>279974</v>
      </c>
      <c r="D39" s="466">
        <v>49312</v>
      </c>
      <c r="E39" s="466">
        <v>132343</v>
      </c>
      <c r="F39" s="466">
        <v>5748</v>
      </c>
      <c r="G39" s="466"/>
      <c r="H39" s="466"/>
      <c r="I39" s="467"/>
      <c r="J39" s="467"/>
      <c r="K39" s="1671">
        <f t="shared" si="2"/>
        <v>467377</v>
      </c>
      <c r="L39" s="466">
        <v>484633</v>
      </c>
    </row>
    <row r="40" spans="1:14" x14ac:dyDescent="0.2">
      <c r="A40" s="1504" t="s">
        <v>200</v>
      </c>
      <c r="B40" s="614">
        <v>2150</v>
      </c>
      <c r="C40" s="466">
        <v>346552</v>
      </c>
      <c r="D40" s="466">
        <v>96049</v>
      </c>
      <c r="E40" s="466">
        <v>135668</v>
      </c>
      <c r="F40" s="466">
        <v>3718</v>
      </c>
      <c r="G40" s="466"/>
      <c r="H40" s="466"/>
      <c r="I40" s="467">
        <v>7215</v>
      </c>
      <c r="J40" s="467"/>
      <c r="K40" s="1671">
        <f t="shared" si="2"/>
        <v>589202</v>
      </c>
      <c r="L40" s="466">
        <v>629231</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1528553</v>
      </c>
      <c r="D42" s="1670">
        <f t="shared" ref="D42:L42" si="3">SUM(D36:D41)</f>
        <v>381651</v>
      </c>
      <c r="E42" s="1670">
        <f t="shared" si="3"/>
        <v>328465</v>
      </c>
      <c r="F42" s="1670">
        <f t="shared" si="3"/>
        <v>15809</v>
      </c>
      <c r="G42" s="1670">
        <f t="shared" si="3"/>
        <v>0</v>
      </c>
      <c r="H42" s="1670">
        <f t="shared" si="3"/>
        <v>0</v>
      </c>
      <c r="I42" s="1670">
        <f t="shared" si="3"/>
        <v>7215</v>
      </c>
      <c r="J42" s="1670">
        <f t="shared" si="3"/>
        <v>0</v>
      </c>
      <c r="K42" s="1670">
        <f t="shared" si="3"/>
        <v>2261693</v>
      </c>
      <c r="L42" s="1670">
        <f t="shared" si="3"/>
        <v>2369212</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848</v>
      </c>
      <c r="D44" s="481">
        <v>174</v>
      </c>
      <c r="E44" s="481">
        <v>83641</v>
      </c>
      <c r="F44" s="481">
        <v>3351</v>
      </c>
      <c r="G44" s="481"/>
      <c r="H44" s="481"/>
      <c r="I44" s="467">
        <v>17215</v>
      </c>
      <c r="J44" s="467"/>
      <c r="K44" s="1672">
        <f>SUM(C44:J44)</f>
        <v>105229</v>
      </c>
      <c r="L44" s="481">
        <v>140334</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848</v>
      </c>
      <c r="D47" s="1670">
        <f t="shared" ref="D47:K47" si="4">SUM(D44:D46)</f>
        <v>174</v>
      </c>
      <c r="E47" s="1670">
        <f t="shared" si="4"/>
        <v>83641</v>
      </c>
      <c r="F47" s="1670">
        <f t="shared" si="4"/>
        <v>3351</v>
      </c>
      <c r="G47" s="1670">
        <f t="shared" si="4"/>
        <v>0</v>
      </c>
      <c r="H47" s="1670">
        <f t="shared" si="4"/>
        <v>0</v>
      </c>
      <c r="I47" s="1670">
        <f t="shared" si="4"/>
        <v>17215</v>
      </c>
      <c r="J47" s="1670">
        <f t="shared" si="4"/>
        <v>0</v>
      </c>
      <c r="K47" s="1670">
        <f t="shared" si="4"/>
        <v>105229</v>
      </c>
      <c r="L47" s="1670">
        <f>SUM(L44:L46)</f>
        <v>140334</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v>379670</v>
      </c>
      <c r="D50" s="466">
        <v>113947</v>
      </c>
      <c r="E50" s="466">
        <v>131899</v>
      </c>
      <c r="F50" s="466">
        <v>5758</v>
      </c>
      <c r="G50" s="466"/>
      <c r="H50" s="466">
        <v>23646</v>
      </c>
      <c r="I50" s="467"/>
      <c r="J50" s="467"/>
      <c r="K50" s="1672">
        <f>SUM(C50:J50)</f>
        <v>654920</v>
      </c>
      <c r="L50" s="466">
        <v>674136</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379670</v>
      </c>
      <c r="D53" s="1670">
        <f t="shared" ref="D53:L53" si="5">SUM(D49:D52)</f>
        <v>113947</v>
      </c>
      <c r="E53" s="1670">
        <f t="shared" si="5"/>
        <v>131899</v>
      </c>
      <c r="F53" s="1670">
        <f t="shared" si="5"/>
        <v>5758</v>
      </c>
      <c r="G53" s="1670">
        <f t="shared" si="5"/>
        <v>0</v>
      </c>
      <c r="H53" s="1670">
        <f t="shared" si="5"/>
        <v>23646</v>
      </c>
      <c r="I53" s="1670">
        <f t="shared" si="5"/>
        <v>0</v>
      </c>
      <c r="J53" s="1670">
        <f t="shared" si="5"/>
        <v>0</v>
      </c>
      <c r="K53" s="1670">
        <f t="shared" si="5"/>
        <v>654920</v>
      </c>
      <c r="L53" s="1670">
        <f t="shared" si="5"/>
        <v>674136</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39146</v>
      </c>
      <c r="D60" s="466">
        <v>7687</v>
      </c>
      <c r="E60" s="466">
        <v>3361</v>
      </c>
      <c r="F60" s="466">
        <v>654</v>
      </c>
      <c r="G60" s="466"/>
      <c r="H60" s="466"/>
      <c r="I60" s="467"/>
      <c r="J60" s="467"/>
      <c r="K60" s="1672">
        <f t="shared" si="7"/>
        <v>50848</v>
      </c>
      <c r="L60" s="466">
        <v>51563</v>
      </c>
      <c r="M60" s="609"/>
      <c r="N60" s="609"/>
    </row>
    <row r="61" spans="1:14" s="343" customFormat="1" x14ac:dyDescent="0.2">
      <c r="A61" s="1504" t="s">
        <v>197</v>
      </c>
      <c r="B61" s="614">
        <v>2540</v>
      </c>
      <c r="C61" s="466">
        <v>91360</v>
      </c>
      <c r="D61" s="466">
        <v>24719</v>
      </c>
      <c r="E61" s="466">
        <v>468652</v>
      </c>
      <c r="F61" s="466">
        <v>81941</v>
      </c>
      <c r="G61" s="466"/>
      <c r="H61" s="466"/>
      <c r="I61" s="467">
        <v>2800</v>
      </c>
      <c r="J61" s="467"/>
      <c r="K61" s="1672">
        <f t="shared" si="7"/>
        <v>669472</v>
      </c>
      <c r="L61" s="466">
        <v>855566</v>
      </c>
      <c r="M61" s="609"/>
      <c r="N61" s="609"/>
    </row>
    <row r="62" spans="1:14" s="343" customFormat="1" x14ac:dyDescent="0.2">
      <c r="A62" s="1504" t="s">
        <v>953</v>
      </c>
      <c r="B62" s="614">
        <v>2550</v>
      </c>
      <c r="C62" s="466"/>
      <c r="D62" s="466"/>
      <c r="E62" s="466">
        <v>5253</v>
      </c>
      <c r="F62" s="466"/>
      <c r="G62" s="466"/>
      <c r="H62" s="466"/>
      <c r="I62" s="467"/>
      <c r="J62" s="467"/>
      <c r="K62" s="1672">
        <f t="shared" si="7"/>
        <v>5253</v>
      </c>
      <c r="L62" s="466">
        <v>1500</v>
      </c>
      <c r="M62" s="609"/>
      <c r="N62" s="609"/>
    </row>
    <row r="63" spans="1:14" s="609" customFormat="1" x14ac:dyDescent="0.2">
      <c r="A63" s="1504" t="s">
        <v>100</v>
      </c>
      <c r="B63" s="614">
        <v>2560</v>
      </c>
      <c r="C63" s="466"/>
      <c r="D63" s="466"/>
      <c r="E63" s="466">
        <v>26456</v>
      </c>
      <c r="F63" s="466">
        <v>1505</v>
      </c>
      <c r="G63" s="466"/>
      <c r="H63" s="466"/>
      <c r="I63" s="467"/>
      <c r="J63" s="467"/>
      <c r="K63" s="1672">
        <f t="shared" si="7"/>
        <v>27961</v>
      </c>
      <c r="L63" s="466">
        <v>40564</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130506</v>
      </c>
      <c r="D65" s="1670">
        <f t="shared" ref="D65:L65" si="8">SUM(D59:D64)</f>
        <v>32406</v>
      </c>
      <c r="E65" s="1670">
        <f t="shared" si="8"/>
        <v>503722</v>
      </c>
      <c r="F65" s="1670">
        <f t="shared" si="8"/>
        <v>84100</v>
      </c>
      <c r="G65" s="1670">
        <f t="shared" si="8"/>
        <v>0</v>
      </c>
      <c r="H65" s="1670">
        <f t="shared" si="8"/>
        <v>0</v>
      </c>
      <c r="I65" s="1670">
        <f t="shared" si="8"/>
        <v>2800</v>
      </c>
      <c r="J65" s="1670">
        <f t="shared" si="8"/>
        <v>0</v>
      </c>
      <c r="K65" s="1670">
        <f t="shared" si="8"/>
        <v>753534</v>
      </c>
      <c r="L65" s="1670">
        <f t="shared" si="8"/>
        <v>949193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v>878</v>
      </c>
      <c r="F69" s="466"/>
      <c r="G69" s="466"/>
      <c r="H69" s="466"/>
      <c r="I69" s="467"/>
      <c r="J69" s="467"/>
      <c r="K69" s="1672">
        <f>SUM(C69:J69)</f>
        <v>878</v>
      </c>
      <c r="L69" s="466">
        <v>1000</v>
      </c>
      <c r="M69" s="609"/>
      <c r="N69" s="609"/>
    </row>
    <row r="70" spans="1:14" s="343" customFormat="1" x14ac:dyDescent="0.2">
      <c r="A70" s="1504" t="s">
        <v>403</v>
      </c>
      <c r="B70" s="614">
        <v>2640</v>
      </c>
      <c r="C70" s="466"/>
      <c r="D70" s="466"/>
      <c r="E70" s="466">
        <v>250</v>
      </c>
      <c r="F70" s="466"/>
      <c r="G70" s="466"/>
      <c r="H70" s="466"/>
      <c r="I70" s="467"/>
      <c r="J70" s="467"/>
      <c r="K70" s="1672">
        <f>SUM(C70:J70)</f>
        <v>250</v>
      </c>
      <c r="L70" s="466">
        <v>1000</v>
      </c>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1128</v>
      </c>
      <c r="F72" s="1670">
        <f t="shared" si="9"/>
        <v>0</v>
      </c>
      <c r="G72" s="1670">
        <f t="shared" si="9"/>
        <v>0</v>
      </c>
      <c r="H72" s="1670">
        <f t="shared" si="9"/>
        <v>0</v>
      </c>
      <c r="I72" s="1670">
        <f t="shared" si="9"/>
        <v>0</v>
      </c>
      <c r="J72" s="1670">
        <f t="shared" si="9"/>
        <v>0</v>
      </c>
      <c r="K72" s="1670">
        <f t="shared" si="9"/>
        <v>1128</v>
      </c>
      <c r="L72" s="1670">
        <f>SUM(L67:L71)</f>
        <v>2000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2039577</v>
      </c>
      <c r="D74" s="1677">
        <f t="shared" ref="D74:K74" si="10">SUM(D42,D47,D53,D57,D65,D72,D73)</f>
        <v>528178</v>
      </c>
      <c r="E74" s="1677">
        <f t="shared" si="10"/>
        <v>1048855</v>
      </c>
      <c r="F74" s="1677">
        <f t="shared" si="10"/>
        <v>109018</v>
      </c>
      <c r="G74" s="1677">
        <f t="shared" si="10"/>
        <v>0</v>
      </c>
      <c r="H74" s="1677">
        <f t="shared" si="10"/>
        <v>23646</v>
      </c>
      <c r="I74" s="1677">
        <f t="shared" si="10"/>
        <v>27230</v>
      </c>
      <c r="J74" s="1677">
        <f t="shared" si="10"/>
        <v>0</v>
      </c>
      <c r="K74" s="1677">
        <f t="shared" si="10"/>
        <v>3776504</v>
      </c>
      <c r="L74" s="1677">
        <f>SUM(L42,L47,L53,L57,L65,L72,L73)</f>
        <v>4134875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16287</v>
      </c>
      <c r="F79" s="616"/>
      <c r="G79" s="616"/>
      <c r="H79" s="466"/>
      <c r="I79" s="477"/>
      <c r="J79" s="477"/>
      <c r="K79" s="1671">
        <f t="shared" si="11"/>
        <v>16287</v>
      </c>
      <c r="L79" s="466">
        <v>36109</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16287</v>
      </c>
      <c r="F84" s="616"/>
      <c r="G84" s="616"/>
      <c r="H84" s="1670">
        <f>SUM(H78:H83)</f>
        <v>0</v>
      </c>
      <c r="I84" s="477"/>
      <c r="J84" s="477"/>
      <c r="K84" s="1670">
        <f>SUM(K78:K83)</f>
        <v>16287</v>
      </c>
      <c r="L84" s="1670">
        <f>SUM(L78:L83)</f>
        <v>36109</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16287</v>
      </c>
      <c r="F102" s="616"/>
      <c r="G102" s="616"/>
      <c r="H102" s="1677">
        <f>SUM(H84,H92,H100,H101)</f>
        <v>0</v>
      </c>
      <c r="I102" s="477"/>
      <c r="J102" s="477"/>
      <c r="K102" s="1677">
        <f>SUM(K84,K92,K100,K101)</f>
        <v>16287</v>
      </c>
      <c r="L102" s="1677">
        <f>SUM(L84,L92,L100,L101)</f>
        <v>36109</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3130285</v>
      </c>
      <c r="D114" s="1670">
        <f t="shared" ref="D114:K114" si="13">SUM(D33,D74,D75,D102,D112,D113)</f>
        <v>867657</v>
      </c>
      <c r="E114" s="1670">
        <f t="shared" si="13"/>
        <v>1104898</v>
      </c>
      <c r="F114" s="1670">
        <f t="shared" si="13"/>
        <v>161623</v>
      </c>
      <c r="G114" s="1670">
        <f t="shared" si="13"/>
        <v>0</v>
      </c>
      <c r="H114" s="1670">
        <f>SUM(H33,H74,H75,H102,H112,H113)</f>
        <v>23646</v>
      </c>
      <c r="I114" s="1670">
        <f t="shared" si="13"/>
        <v>27230</v>
      </c>
      <c r="J114" s="1670">
        <f t="shared" si="13"/>
        <v>0</v>
      </c>
      <c r="K114" s="1670">
        <f t="shared" si="13"/>
        <v>5315339</v>
      </c>
      <c r="L114" s="1670">
        <f>SUM(L33,L74,L75,L102,L112,L113)</f>
        <v>5746551</v>
      </c>
    </row>
    <row r="115" spans="1:14" ht="13.5" thickTop="1" x14ac:dyDescent="0.2">
      <c r="A115" s="2183" t="s">
        <v>996</v>
      </c>
      <c r="B115" s="2184"/>
      <c r="C115" s="618"/>
      <c r="D115" s="618"/>
      <c r="E115" s="618"/>
      <c r="F115" s="618"/>
      <c r="G115" s="618"/>
      <c r="H115" s="618"/>
      <c r="I115" s="618"/>
      <c r="J115" s="618"/>
      <c r="K115" s="1684">
        <f>'Revenues 9-14'!C268-'Expenditures 15-22'!K114</f>
        <v>181111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5"/>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6" t="s">
        <v>1178</v>
      </c>
      <c r="B152" s="2177"/>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3" t="s">
        <v>996</v>
      </c>
      <c r="B175" s="2184"/>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83" t="s">
        <v>996</v>
      </c>
      <c r="B211" s="2184"/>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83" t="s">
        <v>996</v>
      </c>
      <c r="B296" s="2184"/>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69" t="s">
        <v>996</v>
      </c>
      <c r="B343" s="2170"/>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3" t="s">
        <v>996</v>
      </c>
      <c r="B368" s="2184"/>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1799</v>
      </c>
      <c r="B2" s="1528" t="s">
        <v>1946</v>
      </c>
      <c r="C2" s="714" t="s">
        <v>1947</v>
      </c>
      <c r="D2" s="714" t="s">
        <v>1948</v>
      </c>
      <c r="E2" s="714" t="s">
        <v>1949</v>
      </c>
      <c r="F2" s="714" t="s">
        <v>1950</v>
      </c>
    </row>
    <row r="3" spans="1:6" ht="12" customHeight="1" x14ac:dyDescent="0.2">
      <c r="A3" s="2186"/>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1799</v>
      </c>
      <c r="B2" s="2201"/>
      <c r="C2" s="1884" t="s">
        <v>1951</v>
      </c>
      <c r="D2" s="723" t="s">
        <v>1952</v>
      </c>
      <c r="E2" s="723" t="s">
        <v>1953</v>
      </c>
      <c r="F2" s="1884" t="s">
        <v>1954</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1809</v>
      </c>
      <c r="K2" s="762" t="s">
        <v>138</v>
      </c>
    </row>
    <row r="3" spans="1:11" x14ac:dyDescent="0.2">
      <c r="A3" s="2222" t="s">
        <v>1959</v>
      </c>
      <c r="B3" s="2223"/>
      <c r="C3" s="2223"/>
      <c r="D3" s="2223"/>
      <c r="E3" s="2224"/>
      <c r="F3" s="763"/>
      <c r="G3" s="764"/>
      <c r="H3" s="764"/>
      <c r="I3" s="764"/>
      <c r="J3" s="765"/>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3" t="s">
        <v>1810</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0</v>
      </c>
      <c r="I12" s="1758">
        <f>SUM(I5:I11)</f>
        <v>0</v>
      </c>
      <c r="J12" s="1758">
        <f>SUM(J5:J11)</f>
        <v>0</v>
      </c>
      <c r="K12" s="1758">
        <f>SUM(K5:K11)</f>
        <v>0</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c r="I14" s="771"/>
      <c r="J14" s="773"/>
      <c r="K14" s="765"/>
    </row>
    <row r="15" spans="1:11" x14ac:dyDescent="0.2">
      <c r="A15" s="2216" t="s">
        <v>4</v>
      </c>
      <c r="B15" s="2216"/>
      <c r="C15" s="2216"/>
      <c r="D15" s="2216"/>
      <c r="E15" s="2244"/>
      <c r="F15" s="789" t="s">
        <v>855</v>
      </c>
      <c r="G15" s="771"/>
      <c r="H15" s="764"/>
      <c r="I15" s="764"/>
      <c r="J15" s="765"/>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1806</v>
      </c>
      <c r="B19" s="2251"/>
      <c r="C19" s="2251"/>
      <c r="D19" s="2251"/>
      <c r="E19" s="2252"/>
      <c r="F19" s="789" t="s">
        <v>933</v>
      </c>
      <c r="G19" s="782"/>
      <c r="H19" s="782"/>
      <c r="I19" s="782"/>
      <c r="J19" s="765"/>
      <c r="K19" s="795"/>
    </row>
    <row r="20" spans="1:11" x14ac:dyDescent="0.2">
      <c r="A20" s="2230" t="s">
        <v>1811</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1812</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0</v>
      </c>
      <c r="I23" s="1758">
        <f>SUM(I14:I16,I21,I22)</f>
        <v>0</v>
      </c>
      <c r="J23" s="1758">
        <f>SUM(J14:J16,J21,J22)</f>
        <v>0</v>
      </c>
      <c r="K23" s="1758">
        <f>SUM(K14:K16,K21,K22)</f>
        <v>0</v>
      </c>
    </row>
    <row r="24" spans="1:11" ht="14.25" thickTop="1" thickBot="1" x14ac:dyDescent="0.25">
      <c r="A24" s="2237" t="s">
        <v>1960</v>
      </c>
      <c r="B24" s="2236"/>
      <c r="C24" s="2236"/>
      <c r="D24" s="2236"/>
      <c r="E24" s="223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K16" sqref="K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1905</v>
      </c>
      <c r="B1" s="2256"/>
      <c r="C1" s="2257"/>
      <c r="D1" s="826"/>
      <c r="E1" s="827"/>
      <c r="F1" s="827"/>
      <c r="G1" s="828"/>
      <c r="H1" s="829"/>
      <c r="I1" s="830"/>
      <c r="J1" s="2253"/>
      <c r="K1" s="2254"/>
      <c r="L1" s="2254"/>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214123</v>
      </c>
      <c r="D10" s="846"/>
      <c r="E10" s="846"/>
      <c r="F10" s="1764">
        <f>(C10+D10)-E10</f>
        <v>214123</v>
      </c>
      <c r="G10" s="843">
        <v>20</v>
      </c>
      <c r="H10" s="847">
        <v>117240</v>
      </c>
      <c r="I10" s="847">
        <v>10707</v>
      </c>
      <c r="J10" s="847"/>
      <c r="K10" s="1769">
        <f>(H10+I10)-J10</f>
        <v>127947</v>
      </c>
      <c r="L10" s="1769">
        <f>F10-K10</f>
        <v>86176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113609</v>
      </c>
      <c r="D12" s="844"/>
      <c r="E12" s="844"/>
      <c r="F12" s="1760">
        <f>(C12+D12)-E12</f>
        <v>113609</v>
      </c>
      <c r="G12" s="843">
        <v>10</v>
      </c>
      <c r="H12" s="765">
        <v>86105</v>
      </c>
      <c r="I12" s="765">
        <v>7970</v>
      </c>
      <c r="J12" s="765"/>
      <c r="K12" s="1769">
        <f>(H12+I12)-J12</f>
        <v>94075</v>
      </c>
      <c r="L12" s="1769">
        <f>F12-K12</f>
        <v>19534</v>
      </c>
    </row>
    <row r="13" spans="1:14" ht="14.25" thickTop="1" thickBot="1" x14ac:dyDescent="0.25">
      <c r="A13" s="848" t="s">
        <v>1122</v>
      </c>
      <c r="B13" s="840">
        <v>252</v>
      </c>
      <c r="C13" s="844">
        <v>229213</v>
      </c>
      <c r="D13" s="844"/>
      <c r="E13" s="844"/>
      <c r="F13" s="1760">
        <f>(C13+D13)-E13</f>
        <v>229213</v>
      </c>
      <c r="G13" s="843">
        <v>5</v>
      </c>
      <c r="H13" s="765">
        <v>229213</v>
      </c>
      <c r="I13" s="765"/>
      <c r="J13" s="765"/>
      <c r="K13" s="1769">
        <f>(H13+I13)-J13</f>
        <v>229213</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556945</v>
      </c>
      <c r="D16" s="1760">
        <f>SUM(D3,D5:D6,D8:D10,D12:D15)</f>
        <v>0</v>
      </c>
      <c r="E16" s="1760">
        <f>SUM(E3,E5:E6,E8:E10,E12:E15)</f>
        <v>0</v>
      </c>
      <c r="F16" s="1760">
        <f>SUM(F3,F5:F6,F8:F10,F12:F15)</f>
        <v>556945</v>
      </c>
      <c r="G16" s="843"/>
      <c r="H16" s="1760">
        <f>SUM(H3,H6,H8:H10,H12:H14,)</f>
        <v>432558</v>
      </c>
      <c r="I16" s="1760">
        <f>SUM(I3,I6,I8:I10,I12:I14,)</f>
        <v>18677</v>
      </c>
      <c r="J16" s="1760">
        <f>SUM(J3,J6,J8:J10,J12:J14,)</f>
        <v>0</v>
      </c>
      <c r="K16" s="1760">
        <f>(H16+I16)-J16</f>
        <v>451235</v>
      </c>
      <c r="L16" s="1760">
        <f>F16-K16</f>
        <v>105710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27230</v>
      </c>
      <c r="G17" s="837">
        <v>10</v>
      </c>
      <c r="H17" s="769"/>
      <c r="I17" s="1769">
        <f>F17/G17</f>
        <v>2723</v>
      </c>
      <c r="J17" s="769"/>
      <c r="K17" s="795"/>
      <c r="L17" s="795"/>
    </row>
    <row r="18" spans="1:12" ht="14.25" thickTop="1" thickBot="1" x14ac:dyDescent="0.25">
      <c r="A18" s="1767" t="s">
        <v>685</v>
      </c>
      <c r="B18" s="1768"/>
      <c r="C18" s="771"/>
      <c r="D18" s="771"/>
      <c r="E18" s="771"/>
      <c r="F18" s="850"/>
      <c r="G18" s="851"/>
      <c r="H18" s="773"/>
      <c r="I18" s="1760">
        <f>SUM(I16,I17)</f>
        <v>21400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1970</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5315339</v>
      </c>
      <c r="G8" s="865"/>
    </row>
    <row r="9" spans="1:7" x14ac:dyDescent="0.2">
      <c r="A9" s="869" t="s">
        <v>460</v>
      </c>
      <c r="B9" s="870" t="s">
        <v>1873</v>
      </c>
      <c r="C9" s="871"/>
      <c r="D9" s="869" t="s">
        <v>501</v>
      </c>
      <c r="E9" s="868"/>
      <c r="F9" s="1909">
        <f>'Expenditures 15-22'!K151</f>
        <v>0</v>
      </c>
      <c r="G9" s="872"/>
    </row>
    <row r="10" spans="1:7" x14ac:dyDescent="0.2">
      <c r="A10" s="869" t="s">
        <v>499</v>
      </c>
      <c r="B10" s="870" t="s">
        <v>1874</v>
      </c>
      <c r="C10" s="871"/>
      <c r="D10" s="869" t="s">
        <v>501</v>
      </c>
      <c r="E10" s="868"/>
      <c r="F10" s="1909">
        <f>'Expenditures 15-22'!K174</f>
        <v>0</v>
      </c>
      <c r="G10" s="872"/>
    </row>
    <row r="11" spans="1:7" x14ac:dyDescent="0.2">
      <c r="A11" s="869" t="s">
        <v>461</v>
      </c>
      <c r="B11" s="870" t="s">
        <v>1875</v>
      </c>
      <c r="C11" s="871"/>
      <c r="D11" s="869" t="s">
        <v>501</v>
      </c>
      <c r="E11" s="868"/>
      <c r="F11" s="1909">
        <f>'Expenditures 15-22'!K210</f>
        <v>0</v>
      </c>
      <c r="G11" s="872"/>
    </row>
    <row r="12" spans="1:7" x14ac:dyDescent="0.2">
      <c r="A12" s="869" t="s">
        <v>462</v>
      </c>
      <c r="B12" s="870" t="s">
        <v>1876</v>
      </c>
      <c r="C12" s="871"/>
      <c r="D12" s="869" t="s">
        <v>501</v>
      </c>
      <c r="E12" s="868"/>
      <c r="F12" s="1909">
        <f>'Expenditures 15-22'!K295</f>
        <v>0</v>
      </c>
      <c r="G12" s="872"/>
    </row>
    <row r="13" spans="1:7" x14ac:dyDescent="0.2">
      <c r="A13" s="869" t="s">
        <v>106</v>
      </c>
      <c r="B13" s="870" t="s">
        <v>1877</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5315339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10726</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16287</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27230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0</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0</v>
      </c>
      <c r="G71" s="865"/>
    </row>
    <row r="72" spans="1:8" x14ac:dyDescent="0.2">
      <c r="A72" s="869" t="s">
        <v>462</v>
      </c>
      <c r="B72" s="869" t="s">
        <v>1892</v>
      </c>
      <c r="C72" s="886">
        <f>'Expenditures 15-22'!B280</f>
        <v>3000</v>
      </c>
      <c r="D72" s="876" t="s">
        <v>449</v>
      </c>
      <c r="E72" s="868"/>
      <c r="F72" s="1913">
        <f>'Expenditures 15-22'!K280</f>
        <v>0</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54243</v>
      </c>
      <c r="G76" s="865"/>
    </row>
    <row r="77" spans="1:8" s="893" customFormat="1" ht="12" customHeight="1" thickTop="1" thickBot="1" x14ac:dyDescent="0.25">
      <c r="A77" s="1779"/>
      <c r="B77" s="1776"/>
      <c r="C77" s="1772"/>
      <c r="D77" s="1777" t="s">
        <v>1896</v>
      </c>
      <c r="E77" s="1774"/>
      <c r="F77" s="1780">
        <f>(F14-F76)</f>
        <v>5261096</v>
      </c>
      <c r="G77" s="869"/>
    </row>
    <row r="78" spans="1:8" s="893" customFormat="1" ht="12" customHeight="1" thickTop="1" x14ac:dyDescent="0.2">
      <c r="A78" s="1781"/>
      <c r="B78" s="1776"/>
      <c r="C78" s="1772"/>
      <c r="D78" s="1777" t="s">
        <v>2057</v>
      </c>
      <c r="E78" s="1774"/>
      <c r="F78" s="898">
        <v>0</v>
      </c>
      <c r="G78" s="899"/>
      <c r="H78" s="869"/>
    </row>
    <row r="79" spans="1:8" s="893" customFormat="1" ht="12" customHeight="1" thickBot="1" x14ac:dyDescent="0.25">
      <c r="A79" s="1782"/>
      <c r="B79" s="1776"/>
      <c r="C79" s="1772"/>
      <c r="D79" s="1777" t="s">
        <v>1897</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347</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4200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263878</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1998</v>
      </c>
      <c r="C105" s="913">
        <v>3100</v>
      </c>
      <c r="D105" s="919" t="str">
        <f>'Revenues 9-14'!A132</f>
        <v>Total Special Education</v>
      </c>
      <c r="E105" s="906"/>
      <c r="F105" s="1789">
        <f>SUM('Revenues 9-14'!C132:D132,'Revenues 9-14'!F132)</f>
        <v>0</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448</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0</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50906</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23302</v>
      </c>
      <c r="G125" s="930"/>
    </row>
    <row r="126" spans="1:7" x14ac:dyDescent="0.2">
      <c r="A126" s="927" t="s">
        <v>668</v>
      </c>
      <c r="B126" s="927" t="s">
        <v>2019</v>
      </c>
      <c r="C126" s="932">
        <v>4300</v>
      </c>
      <c r="D126" s="933" t="str">
        <f>'Revenues 9-14'!A204</f>
        <v>Total Title I</v>
      </c>
      <c r="E126" s="906"/>
      <c r="F126" s="1789">
        <f>SUM('Revenues 9-14'!C204,'Revenues 9-14'!D204,'Revenues 9-14'!F204,'Revenues 9-14'!G204)</f>
        <v>0</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1750605</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31397</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228186</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93497</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2446766</v>
      </c>
    </row>
    <row r="175" spans="1:7" ht="12" customHeight="1" x14ac:dyDescent="0.2">
      <c r="A175" s="1770"/>
      <c r="B175" s="1784"/>
      <c r="C175" s="1785"/>
      <c r="D175" s="1786" t="s">
        <v>2052</v>
      </c>
      <c r="E175" s="1787"/>
      <c r="F175" s="1789">
        <f>'PCTC-OEPP 27-28'!F77-F174</f>
        <v>2814330</v>
      </c>
    </row>
    <row r="176" spans="1:7" ht="12" customHeight="1" x14ac:dyDescent="0.2">
      <c r="A176" s="1770"/>
      <c r="B176" s="1784"/>
      <c r="C176" s="1785"/>
      <c r="D176" s="1786" t="s">
        <v>1814</v>
      </c>
      <c r="E176" s="1787"/>
      <c r="F176" s="1789">
        <f>'Cap Outlay Deprec 26'!I18</f>
        <v>21400</v>
      </c>
    </row>
    <row r="177" spans="1:7" ht="12" customHeight="1" x14ac:dyDescent="0.2">
      <c r="A177" s="1770"/>
      <c r="B177" s="1784"/>
      <c r="C177" s="1785"/>
      <c r="D177" s="1786" t="s">
        <v>2053</v>
      </c>
      <c r="E177" s="1787"/>
      <c r="F177" s="1789">
        <f>F175+F176</f>
        <v>2835730</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2054</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1815</v>
      </c>
      <c r="B4" s="2273"/>
      <c r="C4" s="2273"/>
      <c r="D4" s="2273"/>
      <c r="E4" s="2273"/>
      <c r="F4" s="2273"/>
      <c r="G4" s="2274"/>
    </row>
    <row r="5" spans="1:7" x14ac:dyDescent="0.25">
      <c r="A5" s="2275"/>
      <c r="B5" s="2276"/>
      <c r="C5" s="2276"/>
      <c r="D5" s="2276"/>
      <c r="E5" s="2276"/>
      <c r="F5" s="2276"/>
      <c r="G5" s="2277"/>
    </row>
    <row r="6" spans="1:7" ht="18.75" x14ac:dyDescent="0.25">
      <c r="A6" s="1938" t="s">
        <v>2061</v>
      </c>
      <c r="B6" s="1939"/>
      <c r="C6" s="1939"/>
      <c r="D6" s="1939"/>
      <c r="E6" s="1939"/>
      <c r="F6" s="1939"/>
      <c r="G6" s="1940"/>
    </row>
    <row r="7" spans="1:7" ht="18.75" x14ac:dyDescent="0.25">
      <c r="A7" s="1534" t="s">
        <v>1816</v>
      </c>
      <c r="B7" s="1535"/>
      <c r="C7" s="1535"/>
      <c r="D7" s="1535"/>
      <c r="E7" s="1535"/>
      <c r="F7" s="1535"/>
      <c r="G7" s="1536"/>
    </row>
    <row r="8" spans="1:7" ht="30.75" customHeight="1" x14ac:dyDescent="0.25">
      <c r="A8" s="2278" t="s">
        <v>1928</v>
      </c>
      <c r="B8" s="2279"/>
      <c r="C8" s="2279"/>
      <c r="D8" s="2279"/>
      <c r="E8" s="2279"/>
      <c r="F8" s="2279"/>
      <c r="G8" s="2280"/>
    </row>
    <row r="9" spans="1:7" ht="15.75" customHeight="1" x14ac:dyDescent="0.25">
      <c r="A9" s="2281" t="s">
        <v>1903</v>
      </c>
      <c r="B9" s="2282"/>
      <c r="C9" s="2282"/>
      <c r="D9" s="2282"/>
      <c r="E9" s="2282"/>
      <c r="F9" s="2282"/>
      <c r="G9" s="2283"/>
    </row>
    <row r="10" spans="1:7" ht="35.25" customHeight="1" x14ac:dyDescent="0.25">
      <c r="A10" s="2278" t="s">
        <v>2060</v>
      </c>
      <c r="B10" s="2279"/>
      <c r="C10" s="2279"/>
      <c r="D10" s="2279"/>
      <c r="E10" s="2279"/>
      <c r="F10" s="2279"/>
      <c r="G10" s="2280"/>
    </row>
    <row r="11" spans="1:7" ht="15" customHeight="1" x14ac:dyDescent="0.25">
      <c r="A11" s="1537" t="s">
        <v>1817</v>
      </c>
      <c r="B11" s="1538"/>
      <c r="C11" s="1538"/>
      <c r="D11" s="1538"/>
      <c r="E11" s="1538"/>
      <c r="F11" s="1538"/>
      <c r="G11" s="1539"/>
    </row>
    <row r="12" spans="1:7" ht="17.25" customHeight="1" x14ac:dyDescent="0.25">
      <c r="A12" s="2278" t="s">
        <v>1930</v>
      </c>
      <c r="B12" s="2279"/>
      <c r="C12" s="2279"/>
      <c r="D12" s="2279"/>
      <c r="E12" s="2279"/>
      <c r="F12" s="2279"/>
      <c r="G12" s="2280"/>
    </row>
    <row r="13" spans="1:7" ht="15" customHeight="1" x14ac:dyDescent="0.25">
      <c r="A13" s="1537" t="s">
        <v>1822</v>
      </c>
      <c r="B13" s="1538"/>
      <c r="C13" s="1538"/>
      <c r="D13" s="1538"/>
      <c r="E13" s="1538"/>
      <c r="F13" s="1538"/>
      <c r="G13" s="1539"/>
    </row>
    <row r="14" spans="1:7" ht="32.25" customHeight="1" x14ac:dyDescent="0.25">
      <c r="A14" s="2269" t="s">
        <v>1971</v>
      </c>
      <c r="B14" s="2270"/>
      <c r="C14" s="2270"/>
      <c r="D14" s="2270"/>
      <c r="E14" s="2270"/>
      <c r="F14" s="2270"/>
      <c r="G14" s="2271"/>
    </row>
    <row r="15" spans="1:7" x14ac:dyDescent="0.25">
      <c r="A15" s="1661" t="s">
        <v>1830</v>
      </c>
      <c r="B15" s="1662"/>
      <c r="C15" s="1662"/>
      <c r="D15" s="1662"/>
      <c r="E15" s="1662"/>
      <c r="F15" s="1662"/>
      <c r="G15" s="1663"/>
    </row>
    <row r="16" spans="1:7" ht="61.5" customHeight="1" x14ac:dyDescent="0.25">
      <c r="A16" s="1546" t="s">
        <v>1823</v>
      </c>
      <c r="B16" s="1546" t="s">
        <v>1824</v>
      </c>
      <c r="C16" s="1546" t="s">
        <v>1825</v>
      </c>
      <c r="D16" s="1547" t="s">
        <v>1826</v>
      </c>
      <c r="E16" s="1547" t="s">
        <v>1818</v>
      </c>
      <c r="F16" s="1547" t="s">
        <v>1827</v>
      </c>
      <c r="G16" s="1547" t="s">
        <v>1828</v>
      </c>
    </row>
    <row r="17" spans="1:8" x14ac:dyDescent="0.25">
      <c r="A17" s="1648" t="s">
        <v>1831</v>
      </c>
      <c r="B17" s="1649" t="s">
        <v>1821</v>
      </c>
      <c r="C17" s="1650" t="s">
        <v>1819</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2080</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J23" sqref="J2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v>27961</v>
      </c>
      <c r="F9" s="974"/>
      <c r="G9" s="975"/>
      <c r="H9" s="162"/>
      <c r="I9" s="162"/>
    </row>
    <row r="10" spans="1:9" s="668" customFormat="1" ht="12" customHeight="1" x14ac:dyDescent="0.2">
      <c r="A10" s="970" t="s">
        <v>1929</v>
      </c>
      <c r="B10" s="971"/>
      <c r="C10" s="976"/>
      <c r="D10" s="972"/>
      <c r="E10" s="973"/>
      <c r="F10" s="974"/>
      <c r="G10" s="975"/>
      <c r="H10" s="162"/>
      <c r="I10" s="162"/>
    </row>
    <row r="11" spans="1:9" s="668" customFormat="1" ht="22.5" customHeight="1" x14ac:dyDescent="0.2">
      <c r="A11" s="2289" t="s">
        <v>1972</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1522548</v>
      </c>
      <c r="F19" s="1799"/>
      <c r="G19" s="1801">
        <f>'Expenditures 15-22'!K33-SUM('Expenditures 15-22'!G33,'Expenditures 15-22'!I33)+'Expenditures 15-22'!D229</f>
        <v>1522548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2254478</v>
      </c>
      <c r="F21" s="1802"/>
      <c r="G21" s="1805">
        <f>'Expenditures 15-22'!K42-SUM('Expenditures 15-22'!G42,'Expenditures 15-22'!I42)+'Expenditures 15-22'!K120-SUM('Expenditures 15-22'!G120,'Expenditures 15-22'!I120)+'Expenditures 15-22'!K180-SUM('Expenditures 15-22'!G180,'Expenditures 15-22'!I180)+'Expenditures 15-22'!D238</f>
        <v>2254478</v>
      </c>
      <c r="H21" s="987"/>
      <c r="I21" s="162"/>
    </row>
    <row r="22" spans="1:9" s="668" customFormat="1" ht="12" customHeight="1" x14ac:dyDescent="0.2">
      <c r="A22" s="994" t="s">
        <v>564</v>
      </c>
      <c r="B22" s="995"/>
      <c r="C22" s="993">
        <v>2200</v>
      </c>
      <c r="D22" s="1802"/>
      <c r="E22" s="1804">
        <f>'Expenditures 15-22'!K47-SUM('Expenditures 15-22'!G47,'Expenditures 15-22'!I47)+'Expenditures 15-22'!D243</f>
        <v>88014</v>
      </c>
      <c r="F22" s="1802"/>
      <c r="G22" s="1805">
        <f>'Expenditures 15-22'!K47-SUM('Expenditures 15-22'!G47,'Expenditures 15-22'!I47)+'Expenditures 15-22'!D243</f>
        <v>88014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654920</v>
      </c>
      <c r="F23" s="1802"/>
      <c r="G23" s="1804">
        <f>'Expenditures 15-22'!K53-SUM('Expenditures 15-22'!G53,'Expenditures 15-22'!I53)+'Expenditures 15-22'!D257+'Expenditures 15-22'!K330-SUM('Expenditures 15-22'!G330,'Expenditures 15-22'!I330)</f>
        <v>654920</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50848</v>
      </c>
      <c r="E27" s="1804">
        <f>E8</f>
        <v>0</v>
      </c>
      <c r="F27" s="1804">
        <f>'Expenditures 15-22'!K60-SUM('Expenditures 15-22'!G60,'Expenditures 15-22'!I60)+'Expenditures 15-22'!D264-E8</f>
        <v>50848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666672</v>
      </c>
      <c r="F28" s="1806">
        <f>'Expenditures 15-22'!K61-SUM('Expenditures 15-22'!G61,'Expenditures 15-22'!I61)+'Expenditures 15-22'!K124-SUM('Expenditures 15-22'!G124,'Expenditures 15-22'!I124)+'Expenditures 15-22'!D266-E9</f>
        <v>638711</v>
      </c>
      <c r="G28" s="1805">
        <f>E9</f>
        <v>27961</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5253</v>
      </c>
      <c r="F29" s="1802"/>
      <c r="G29" s="1805">
        <f>'Expenditures 15-22'!K62-SUM('Expenditures 15-22'!G62,'Expenditures 15-22'!I62)+'Expenditures 15-22'!K125-SUM('Expenditures 15-22'!G125,'Expenditures 15-22'!I125)+'Expenditures 15-22'!K182-SUM('Expenditures 15-22'!G182,'Expenditures 15-22'!I182)+'Expenditures 15-22'!D267</f>
        <v>5253</v>
      </c>
      <c r="H29" s="985"/>
    </row>
    <row r="30" spans="1:9" ht="12" customHeight="1" x14ac:dyDescent="0.2">
      <c r="A30" s="994" t="s">
        <v>100</v>
      </c>
      <c r="B30" s="997"/>
      <c r="C30" s="993">
        <v>2560</v>
      </c>
      <c r="D30" s="1802"/>
      <c r="E30" s="1804">
        <f>'Expenditures 15-22'!K63-SUM('Expenditures 15-22'!G63,'Expenditures 15-22'!I63)+'Expenditures 15-22'!D268-E10</f>
        <v>27961</v>
      </c>
      <c r="F30" s="1802"/>
      <c r="G30" s="1804">
        <f>'Expenditures 15-22'!K63-SUM('Expenditures 15-22'!G63,'Expenditures 15-22'!I63)+'Expenditures 15-22'!D268-E10</f>
        <v>27961</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878</v>
      </c>
      <c r="F35" s="1802"/>
      <c r="G35" s="1804">
        <f>'Expenditures 15-22'!K69-SUM('Expenditures 15-22'!G69,'Expenditures 15-22'!I69)+'Expenditures 15-22'!D274</f>
        <v>878</v>
      </c>
    </row>
    <row r="36" spans="1:7" ht="12" customHeight="1" x14ac:dyDescent="0.2">
      <c r="A36" s="994" t="s">
        <v>403</v>
      </c>
      <c r="B36" s="997"/>
      <c r="C36" s="993">
        <v>2640</v>
      </c>
      <c r="D36" s="1804">
        <f>'Expenditures 15-22'!K70-SUM('Expenditures 15-22'!G70,'Expenditures 15-22'!I70)+'Expenditures 15-22'!D275-E13</f>
        <v>250</v>
      </c>
      <c r="E36" s="1804">
        <f>E13</f>
        <v>0</v>
      </c>
      <c r="F36" s="1804">
        <f>'Expenditures 15-22'!K70-SUM('Expenditures 15-22'!G70,'Expenditures 15-22'!I70)+'Expenditures 15-22'!D275-E13</f>
        <v>250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51098</v>
      </c>
      <c r="E41" s="1806">
        <f>SUM(E19:E40)</f>
        <v>5220724</v>
      </c>
      <c r="F41" s="1806">
        <f>SUM(F19:F39)</f>
        <v>689809</v>
      </c>
      <c r="G41" s="1806">
        <f>SUM(G19:G40)</f>
        <v>4582013</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51098</v>
      </c>
      <c r="F43" s="1807" t="s">
        <v>473</v>
      </c>
      <c r="G43" s="1808">
        <f>F41</f>
        <v>689809</v>
      </c>
    </row>
    <row r="44" spans="1:7" ht="12" customHeight="1" x14ac:dyDescent="0.2">
      <c r="A44" s="987"/>
      <c r="B44" s="162"/>
      <c r="C44" s="1001"/>
      <c r="D44" s="1807" t="s">
        <v>474</v>
      </c>
      <c r="E44" s="1808">
        <f>E41</f>
        <v>5220724</v>
      </c>
      <c r="F44" s="1807" t="s">
        <v>474</v>
      </c>
      <c r="G44" s="1808">
        <f>G41</f>
        <v>4582013</v>
      </c>
    </row>
    <row r="45" spans="1:7" ht="12" customHeight="1" x14ac:dyDescent="0.2">
      <c r="A45" s="987"/>
      <c r="B45" s="162"/>
      <c r="C45" s="162"/>
      <c r="D45" s="1809" t="s">
        <v>1006</v>
      </c>
      <c r="E45" s="1810">
        <f>(E43/E44)</f>
        <v>9.7875313845359382E-3</v>
      </c>
      <c r="F45" s="1809" t="s">
        <v>1006</v>
      </c>
      <c r="G45" s="1810">
        <f>(G43/G44)</f>
        <v>0.15054715034636523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Vermilion Assoc for Spec Educ</v>
      </c>
      <c r="D6" s="2299"/>
      <c r="E6" s="2299"/>
      <c r="F6" s="1852"/>
    </row>
    <row r="7" spans="1:10" ht="11.25" customHeight="1" thickBot="1" x14ac:dyDescent="0.3">
      <c r="A7" s="1850"/>
      <c r="B7" s="1851"/>
      <c r="C7" s="2300">
        <f>COVER!A13</f>
        <v>54092801060</v>
      </c>
      <c r="D7" s="2300"/>
      <c r="E7" s="2300"/>
      <c r="F7" s="1852"/>
    </row>
    <row r="8" spans="1:10" ht="25.5" customHeight="1" thickBot="1" x14ac:dyDescent="0.25">
      <c r="A8" s="1893" t="s">
        <v>1904</v>
      </c>
      <c r="B8" s="1853" t="s">
        <v>2070</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Vermilion Assoc for Spec Educ</v>
      </c>
      <c r="J6" s="2320"/>
      <c r="Q6" s="1664"/>
    </row>
    <row r="7" spans="1:17" x14ac:dyDescent="0.2">
      <c r="A7" s="2321" t="s">
        <v>869</v>
      </c>
      <c r="B7" s="2322"/>
      <c r="C7" s="2322"/>
      <c r="D7" s="2322"/>
      <c r="E7" s="2323"/>
      <c r="F7" s="1017"/>
      <c r="G7" s="1009"/>
      <c r="H7" s="1016" t="s">
        <v>372</v>
      </c>
      <c r="I7" s="2324">
        <f>COVER!A13</f>
        <v>54092801060</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654920</v>
      </c>
      <c r="F12" s="1039"/>
      <c r="G12" s="1811">
        <f t="shared" ref="G12:G18" si="0">SUM(E12:F12)</f>
        <v>654920</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654920</v>
      </c>
      <c r="F19" s="1813">
        <f t="shared" si="2"/>
        <v>0</v>
      </c>
      <c r="G19" s="1813">
        <f t="shared" si="2"/>
        <v>654920</v>
      </c>
      <c r="H19" s="1813">
        <f t="shared" si="2"/>
        <v>0</v>
      </c>
      <c r="I19" s="1813">
        <f t="shared" si="2"/>
        <v>0</v>
      </c>
      <c r="J19" s="1813">
        <f t="shared" si="2"/>
        <v>0</v>
      </c>
    </row>
    <row r="20" spans="1:10" ht="13.5" thickTop="1" x14ac:dyDescent="0.2">
      <c r="A20" s="1035">
        <v>9</v>
      </c>
      <c r="B20" s="2331" t="s">
        <v>1976</v>
      </c>
      <c r="C20" s="2331"/>
      <c r="D20" s="2332"/>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1978</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2081</v>
      </c>
    </row>
    <row r="6" spans="1:2" x14ac:dyDescent="0.2">
      <c r="A6" s="1068"/>
      <c r="B6" s="329" t="s">
        <v>2082</v>
      </c>
    </row>
    <row r="7" spans="1:2" x14ac:dyDescent="0.2">
      <c r="A7" s="1068"/>
      <c r="B7" s="329" t="s">
        <v>2083</v>
      </c>
    </row>
    <row r="8" spans="1:2" x14ac:dyDescent="0.2">
      <c r="A8" s="1068"/>
    </row>
    <row r="9" spans="1:2" x14ac:dyDescent="0.2">
      <c r="A9" s="1069">
        <v>2</v>
      </c>
      <c r="B9" s="329" t="s">
        <v>2084</v>
      </c>
    </row>
    <row r="10" spans="1:2" x14ac:dyDescent="0.2">
      <c r="A10" s="1069"/>
      <c r="B10" s="329" t="s">
        <v>2082</v>
      </c>
    </row>
    <row r="11" spans="1:2" x14ac:dyDescent="0.2">
      <c r="A11" s="1069"/>
      <c r="B11" s="329" t="s">
        <v>2085</v>
      </c>
    </row>
    <row r="12" spans="1:2" x14ac:dyDescent="0.2">
      <c r="A12" s="1069"/>
    </row>
    <row r="13" spans="1:2" x14ac:dyDescent="0.2">
      <c r="A13" s="1069">
        <v>3</v>
      </c>
      <c r="B13" s="329" t="s">
        <v>2086</v>
      </c>
    </row>
    <row r="14" spans="1:2" x14ac:dyDescent="0.2">
      <c r="A14" s="1069"/>
      <c r="B14" s="329" t="s">
        <v>2082</v>
      </c>
    </row>
    <row r="15" spans="1:2" x14ac:dyDescent="0.2">
      <c r="A15" s="1069"/>
      <c r="B15" s="329" t="s">
        <v>2087</v>
      </c>
    </row>
    <row r="16" spans="1:2" x14ac:dyDescent="0.2">
      <c r="A16" s="1069"/>
    </row>
    <row r="17" spans="1:2" x14ac:dyDescent="0.2">
      <c r="A17" s="1069">
        <v>4</v>
      </c>
      <c r="B17" s="329" t="s">
        <v>2088</v>
      </c>
    </row>
    <row r="18" spans="1:2" x14ac:dyDescent="0.2">
      <c r="A18" s="1069"/>
      <c r="B18" s="329" t="s">
        <v>2089</v>
      </c>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c r="B62" s="258" t="str">
        <f>COVER!A17</f>
        <v>Vermilion Assoc for Spec Educ</v>
      </c>
    </row>
    <row r="63" spans="1:2" x14ac:dyDescent="0.2">
      <c r="B63" s="1070">
        <f>COVER!A13</f>
        <v>54092801060</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1982</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1983</v>
      </c>
      <c r="B4" s="2359"/>
      <c r="C4" s="2359"/>
      <c r="D4" s="2359"/>
      <c r="E4" s="2359"/>
      <c r="F4" s="2360"/>
      <c r="G4" s="1074"/>
      <c r="H4" s="1074"/>
    </row>
    <row r="5" spans="1:8" ht="14.25" customHeight="1" x14ac:dyDescent="0.2">
      <c r="A5" s="2361" t="s">
        <v>1979</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5496450</v>
      </c>
      <c r="C8" s="1815">
        <f>'Acct Summary 7-8'!D8</f>
        <v>0</v>
      </c>
      <c r="D8" s="1815">
        <f>'Acct Summary 7-8'!F8</f>
        <v>0</v>
      </c>
      <c r="E8" s="1815">
        <f>'Acct Summary 7-8'!I8</f>
        <v>0</v>
      </c>
      <c r="F8" s="1815">
        <f>SUM(B8:E8)</f>
        <v>5496450</v>
      </c>
    </row>
    <row r="9" spans="1:8" s="1079" customFormat="1" ht="14.25" customHeight="1" thickBot="1" x14ac:dyDescent="0.25">
      <c r="A9" s="1078" t="s">
        <v>1369</v>
      </c>
      <c r="B9" s="1816">
        <f>'Acct Summary 7-8'!C17</f>
        <v>5315339</v>
      </c>
      <c r="C9" s="1816">
        <f>'Acct Summary 7-8'!D17</f>
        <v>0</v>
      </c>
      <c r="D9" s="1816">
        <f>'Acct Summary 7-8'!F17</f>
        <v>0</v>
      </c>
      <c r="E9" s="1815"/>
      <c r="F9" s="1815">
        <f>SUM(B9:E9)</f>
        <v>5315339</v>
      </c>
    </row>
    <row r="10" spans="1:8" s="1079" customFormat="1" ht="14.25" thickTop="1" thickBot="1" x14ac:dyDescent="0.25">
      <c r="A10" s="1080" t="s">
        <v>1370</v>
      </c>
      <c r="B10" s="1817">
        <f>(B8-B9)</f>
        <v>181111</v>
      </c>
      <c r="C10" s="1817">
        <f>(C8-C9)</f>
        <v>0</v>
      </c>
      <c r="D10" s="1817">
        <f>(D8-D9)</f>
        <v>0</v>
      </c>
      <c r="E10" s="1816">
        <f>(E8-E9)</f>
        <v>0</v>
      </c>
      <c r="F10" s="1818">
        <f>SUM(F8-F9)</f>
        <v>181111</v>
      </c>
    </row>
    <row r="11" spans="1:8" s="1079" customFormat="1" ht="14.25" thickTop="1" thickBot="1" x14ac:dyDescent="0.25">
      <c r="A11" s="1081" t="s">
        <v>1980</v>
      </c>
      <c r="B11" s="1819">
        <f>'Acct Summary 7-8'!C81</f>
        <v>3723273</v>
      </c>
      <c r="C11" s="1819">
        <f>'Acct Summary 7-8'!D81</f>
        <v>0</v>
      </c>
      <c r="D11" s="1819">
        <f>'Acct Summary 7-8'!F81</f>
        <v>0</v>
      </c>
      <c r="E11" s="1819">
        <f>'Acct Summary 7-8'!I81</f>
        <v>0</v>
      </c>
      <c r="F11" s="1820">
        <f>SUM(B11:E11)</f>
        <v>3723273</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3"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54092801060</v>
      </c>
    </row>
    <row r="3" spans="1:2" x14ac:dyDescent="0.2">
      <c r="A3" t="s">
        <v>956</v>
      </c>
      <c r="B3" s="138" t="str">
        <f>COVER!A15</f>
        <v>VERMILION</v>
      </c>
    </row>
    <row r="4" spans="1:2" x14ac:dyDescent="0.2">
      <c r="A4" t="s">
        <v>1007</v>
      </c>
      <c r="B4" s="138" t="str">
        <f>COVER!A17</f>
        <v>Vermilion Assoc for Spec Educ</v>
      </c>
    </row>
    <row r="5" spans="1:2" x14ac:dyDescent="0.2">
      <c r="A5" t="s">
        <v>704</v>
      </c>
      <c r="B5" s="138" t="str">
        <f>COVER!A38</f>
        <v>Kristin Dunker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3727916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4643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4643</v>
      </c>
      <c r="C91" s="2" t="s">
        <v>573</v>
      </c>
      <c r="D91" s="2" t="str">
        <f t="shared" si="0"/>
        <v>Error?</v>
      </c>
    </row>
    <row r="92" spans="1:4" x14ac:dyDescent="0.2">
      <c r="A92" s="5">
        <v>31</v>
      </c>
      <c r="B92" s="138">
        <f>'Assets-Liab 5-6'!C39</f>
        <v>3723273</v>
      </c>
      <c r="D92" s="2" t="str">
        <f t="shared" si="0"/>
        <v>Error?</v>
      </c>
    </row>
    <row r="93" spans="1:4" x14ac:dyDescent="0.2">
      <c r="A93" s="5">
        <v>32</v>
      </c>
      <c r="B93" s="138">
        <f>'Assets-Liab 5-6'!C41</f>
        <v>3727916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214123</v>
      </c>
      <c r="D274" s="2" t="str">
        <f t="shared" si="3"/>
        <v>Error?</v>
      </c>
    </row>
    <row r="275" spans="1:4" x14ac:dyDescent="0.2">
      <c r="A275" s="5">
        <v>214</v>
      </c>
      <c r="B275" s="138">
        <f>'Assets-Liab 5-6'!M18</f>
        <v>0</v>
      </c>
      <c r="D275" s="2" t="str">
        <f t="shared" si="3"/>
        <v>Error?</v>
      </c>
    </row>
    <row r="276" spans="1:4" x14ac:dyDescent="0.2">
      <c r="A276" s="5">
        <v>215</v>
      </c>
      <c r="B276" s="138">
        <f>'Assets-Liab 5-6'!M19</f>
        <v>342822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556945</v>
      </c>
      <c r="C279" s="2" t="s">
        <v>573</v>
      </c>
      <c r="D279" s="2" t="str">
        <f t="shared" si="3"/>
        <v>Error?</v>
      </c>
    </row>
    <row r="280" spans="1:4" x14ac:dyDescent="0.2">
      <c r="A280" s="5">
        <v>219</v>
      </c>
      <c r="B280" s="138">
        <f>'Assets-Liab 5-6'!M40</f>
        <v>556945</v>
      </c>
      <c r="D280" s="2" t="str">
        <f t="shared" si="3"/>
        <v>Error?</v>
      </c>
    </row>
    <row r="281" spans="1:4" x14ac:dyDescent="0.2">
      <c r="A281" s="5">
        <v>220</v>
      </c>
      <c r="B281" s="138">
        <f>'Assets-Liab 5-6'!M41</f>
        <v>556945</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92341</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1090708</v>
      </c>
      <c r="C720" s="2" t="s">
        <v>573</v>
      </c>
      <c r="D720" s="2" t="str">
        <f t="shared" si="10"/>
        <v>Error?</v>
      </c>
    </row>
    <row r="721" spans="1:4" x14ac:dyDescent="0.2">
      <c r="A721" s="5">
        <v>660</v>
      </c>
      <c r="B721" s="138">
        <f>'Expenditures 15-22'!C36</f>
        <v>618235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283792</v>
      </c>
      <c r="D723" s="2" t="str">
        <f t="shared" si="10"/>
        <v>Error?</v>
      </c>
    </row>
    <row r="724" spans="1:4" x14ac:dyDescent="0.2">
      <c r="A724" s="5">
        <v>663</v>
      </c>
      <c r="B724" s="138">
        <f>'Expenditures 15-22'!C39</f>
        <v>279974</v>
      </c>
      <c r="D724" s="2" t="str">
        <f t="shared" si="10"/>
        <v>Error?</v>
      </c>
    </row>
    <row r="725" spans="1:4" x14ac:dyDescent="0.2">
      <c r="A725" s="5">
        <v>664</v>
      </c>
      <c r="B725" s="138">
        <f>'Expenditures 15-22'!C40</f>
        <v>346552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1528553</v>
      </c>
      <c r="C727" s="2" t="s">
        <v>573</v>
      </c>
      <c r="D727" s="2" t="str">
        <f t="shared" si="10"/>
        <v>Error?</v>
      </c>
    </row>
    <row r="728" spans="1:4" x14ac:dyDescent="0.2">
      <c r="A728" s="5">
        <v>667</v>
      </c>
      <c r="B728" s="138">
        <f>'Expenditures 15-22'!C44</f>
        <v>848</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848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379670</v>
      </c>
      <c r="D733" s="2" t="str">
        <f t="shared" si="10"/>
        <v>Error?</v>
      </c>
    </row>
    <row r="734" spans="1:4" x14ac:dyDescent="0.2">
      <c r="A734" s="5">
        <v>673</v>
      </c>
      <c r="B734" s="138">
        <f>'Expenditures 15-22'!C53</f>
        <v>379670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39146</v>
      </c>
      <c r="D739" s="2" t="str">
        <f t="shared" si="10"/>
        <v>Error?</v>
      </c>
    </row>
    <row r="740" spans="1:4" x14ac:dyDescent="0.2">
      <c r="A740" s="5">
        <v>679</v>
      </c>
      <c r="B740" s="138">
        <f>'Expenditures 15-22'!C61</f>
        <v>91360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130506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2039577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3130285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28719</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339479</v>
      </c>
      <c r="C778" s="2" t="s">
        <v>573</v>
      </c>
      <c r="D778" s="2" t="str">
        <f t="shared" si="11"/>
        <v>Error?</v>
      </c>
    </row>
    <row r="779" spans="1:4" x14ac:dyDescent="0.2">
      <c r="A779" s="5">
        <v>718</v>
      </c>
      <c r="B779" s="138">
        <f>'Expenditures 15-22'!D36</f>
        <v>151792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84498</v>
      </c>
      <c r="D781" s="2" t="str">
        <f t="shared" si="11"/>
        <v>Error?</v>
      </c>
    </row>
    <row r="782" spans="1:4" x14ac:dyDescent="0.2">
      <c r="A782" s="5">
        <v>721</v>
      </c>
      <c r="B782" s="138">
        <f>'Expenditures 15-22'!D39</f>
        <v>49312</v>
      </c>
      <c r="D782" s="2" t="str">
        <f t="shared" si="11"/>
        <v>Error?</v>
      </c>
    </row>
    <row r="783" spans="1:4" x14ac:dyDescent="0.2">
      <c r="A783" s="5">
        <v>722</v>
      </c>
      <c r="B783" s="138">
        <f>'Expenditures 15-22'!D40</f>
        <v>96049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381651</v>
      </c>
      <c r="C785" s="2" t="s">
        <v>573</v>
      </c>
      <c r="D785" s="2" t="str">
        <f t="shared" si="11"/>
        <v>Error?</v>
      </c>
    </row>
    <row r="786" spans="1:4" x14ac:dyDescent="0.2">
      <c r="A786" s="5">
        <v>725</v>
      </c>
      <c r="B786" s="138">
        <f>'Expenditures 15-22'!D44</f>
        <v>174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174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113947</v>
      </c>
      <c r="D791" s="2" t="str">
        <f t="shared" si="11"/>
        <v>Error?</v>
      </c>
    </row>
    <row r="792" spans="1:4" x14ac:dyDescent="0.2">
      <c r="A792" s="5">
        <v>731</v>
      </c>
      <c r="B792" s="138">
        <f>'Expenditures 15-22'!D53</f>
        <v>113947</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7687</v>
      </c>
      <c r="D797" s="2" t="str">
        <f t="shared" si="11"/>
        <v>Error?</v>
      </c>
    </row>
    <row r="798" spans="1:4" x14ac:dyDescent="0.2">
      <c r="A798" s="5">
        <v>737</v>
      </c>
      <c r="B798" s="138">
        <f>'Expenditures 15-22'!D61</f>
        <v>24719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32406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528178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867657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9320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39756</v>
      </c>
      <c r="C836" s="2" t="s">
        <v>573</v>
      </c>
      <c r="D836" s="2" t="str">
        <f t="shared" si="12"/>
        <v>Error?</v>
      </c>
    </row>
    <row r="837" spans="1:4" x14ac:dyDescent="0.2">
      <c r="A837" s="5">
        <v>776</v>
      </c>
      <c r="B837" s="138">
        <f>'Expenditures 15-22'!E36</f>
        <v>49483</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10971</v>
      </c>
      <c r="D839" s="2" t="str">
        <f t="shared" si="12"/>
        <v>Error?</v>
      </c>
    </row>
    <row r="840" spans="1:4" x14ac:dyDescent="0.2">
      <c r="A840" s="5">
        <v>779</v>
      </c>
      <c r="B840" s="138">
        <f>'Expenditures 15-22'!E39</f>
        <v>132343</v>
      </c>
      <c r="D840" s="2" t="str">
        <f t="shared" si="12"/>
        <v>Error?</v>
      </c>
    </row>
    <row r="841" spans="1:4" x14ac:dyDescent="0.2">
      <c r="A841" s="5">
        <v>780</v>
      </c>
      <c r="B841" s="138">
        <f>'Expenditures 15-22'!E40</f>
        <v>135668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328465</v>
      </c>
      <c r="C843" s="2" t="s">
        <v>573</v>
      </c>
      <c r="D843" s="2" t="str">
        <f t="shared" si="12"/>
        <v>Error?</v>
      </c>
    </row>
    <row r="844" spans="1:4" x14ac:dyDescent="0.2">
      <c r="A844" s="5">
        <v>783</v>
      </c>
      <c r="B844" s="138">
        <f>'Expenditures 15-22'!E44</f>
        <v>83641</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83641</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131899</v>
      </c>
      <c r="D849" s="2" t="str">
        <f t="shared" si="12"/>
        <v>Error?</v>
      </c>
    </row>
    <row r="850" spans="1:4" x14ac:dyDescent="0.2">
      <c r="A850" s="5">
        <v>789</v>
      </c>
      <c r="B850" s="138">
        <f>'Expenditures 15-22'!E53</f>
        <v>131899</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3361</v>
      </c>
      <c r="D855" s="2" t="str">
        <f t="shared" si="12"/>
        <v>Error?</v>
      </c>
    </row>
    <row r="856" spans="1:4" x14ac:dyDescent="0.2">
      <c r="A856" s="5">
        <v>795</v>
      </c>
      <c r="B856" s="138">
        <f>'Expenditures 15-22'!E61</f>
        <v>468652</v>
      </c>
      <c r="D856" s="2" t="str">
        <f t="shared" si="12"/>
        <v>Error?</v>
      </c>
    </row>
    <row r="857" spans="1:4" x14ac:dyDescent="0.2">
      <c r="A857" s="5">
        <v>796</v>
      </c>
      <c r="B857" s="138">
        <f>'Expenditures 15-22'!E62</f>
        <v>5253</v>
      </c>
      <c r="D857" s="2" t="str">
        <f t="shared" si="12"/>
        <v>Error?</v>
      </c>
    </row>
    <row r="858" spans="1:4" x14ac:dyDescent="0.2">
      <c r="A858" s="5">
        <v>797</v>
      </c>
      <c r="B858" s="138">
        <f>'Expenditures 15-22'!E63</f>
        <v>26456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503722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878</v>
      </c>
      <c r="D864" s="2" t="str">
        <f t="shared" si="12"/>
        <v>Error?</v>
      </c>
    </row>
    <row r="865" spans="1:4" x14ac:dyDescent="0.2">
      <c r="A865" s="5">
        <v>804</v>
      </c>
      <c r="B865" s="138">
        <f>'Expenditures 15-22'!E70</f>
        <v>250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1128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1048855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1104898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9334</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52605</v>
      </c>
      <c r="C894" s="2" t="s">
        <v>573</v>
      </c>
      <c r="D894" s="2" t="str">
        <f t="shared" si="12"/>
        <v>Error?</v>
      </c>
    </row>
    <row r="895" spans="1:4" x14ac:dyDescent="0.2">
      <c r="A895" s="5">
        <v>834</v>
      </c>
      <c r="B895" s="138">
        <f>'Expenditures 15-22'!F36</f>
        <v>3915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2428</v>
      </c>
      <c r="D897" s="2" t="str">
        <f t="shared" si="13"/>
        <v>Error?</v>
      </c>
    </row>
    <row r="898" spans="1:4" x14ac:dyDescent="0.2">
      <c r="A898" s="5">
        <v>837</v>
      </c>
      <c r="B898" s="138">
        <f>'Expenditures 15-22'!F39</f>
        <v>5748</v>
      </c>
      <c r="D898" s="2" t="str">
        <f t="shared" si="13"/>
        <v>Error?</v>
      </c>
    </row>
    <row r="899" spans="1:4" x14ac:dyDescent="0.2">
      <c r="A899" s="5">
        <v>838</v>
      </c>
      <c r="B899" s="138">
        <f>'Expenditures 15-22'!F40</f>
        <v>3718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15809</v>
      </c>
      <c r="C901" s="2" t="s">
        <v>573</v>
      </c>
      <c r="D901" s="2" t="str">
        <f t="shared" si="13"/>
        <v>Error?</v>
      </c>
    </row>
    <row r="902" spans="1:4" x14ac:dyDescent="0.2">
      <c r="A902" s="5">
        <v>841</v>
      </c>
      <c r="B902" s="138">
        <f>'Expenditures 15-22'!F44</f>
        <v>3351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3351</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5758</v>
      </c>
      <c r="D907" s="2" t="str">
        <f t="shared" si="13"/>
        <v>Error?</v>
      </c>
    </row>
    <row r="908" spans="1:4" x14ac:dyDescent="0.2">
      <c r="A908" s="5">
        <v>847</v>
      </c>
      <c r="B908" s="138">
        <f>'Expenditures 15-22'!F53</f>
        <v>5758</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654</v>
      </c>
      <c r="D913" s="2" t="str">
        <f t="shared" si="13"/>
        <v>Error?</v>
      </c>
    </row>
    <row r="914" spans="1:4" x14ac:dyDescent="0.2">
      <c r="A914" s="5">
        <v>853</v>
      </c>
      <c r="B914" s="138">
        <f>'Expenditures 15-22'!F61</f>
        <v>81941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1505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84100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109018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161623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23646</v>
      </c>
      <c r="D1023" s="2" t="str">
        <f t="shared" ref="D1023:D1086" si="15">IF(ISBLANK(B1023),"OK",IF(A1023-B1023=0,"OK","Error?"))</f>
        <v>Error?</v>
      </c>
    </row>
    <row r="1024" spans="1:4" x14ac:dyDescent="0.2">
      <c r="A1024" s="5">
        <v>963</v>
      </c>
      <c r="B1024" s="138">
        <f>'Expenditures 15-22'!H53</f>
        <v>23646</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23646</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23646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139714</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1522548</v>
      </c>
      <c r="C1108" s="2" t="s">
        <v>573</v>
      </c>
      <c r="D1108" s="2" t="str">
        <f t="shared" si="16"/>
        <v>Error?</v>
      </c>
    </row>
    <row r="1109" spans="1:4" x14ac:dyDescent="0.2">
      <c r="A1109" s="5">
        <v>1048</v>
      </c>
      <c r="B1109" s="138">
        <f>'Expenditures 15-22'!K36</f>
        <v>823425</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381689</v>
      </c>
      <c r="C1111" s="2" t="s">
        <v>573</v>
      </c>
      <c r="D1111" s="2" t="str">
        <f t="shared" si="16"/>
        <v>Error?</v>
      </c>
    </row>
    <row r="1112" spans="1:4" x14ac:dyDescent="0.2">
      <c r="A1112" s="5">
        <v>1051</v>
      </c>
      <c r="B1112" s="138">
        <f>'Expenditures 15-22'!K39</f>
        <v>467377</v>
      </c>
      <c r="C1112" s="2" t="s">
        <v>573</v>
      </c>
      <c r="D1112" s="2" t="str">
        <f t="shared" si="16"/>
        <v>Error?</v>
      </c>
    </row>
    <row r="1113" spans="1:4" x14ac:dyDescent="0.2">
      <c r="A1113" s="5">
        <v>1052</v>
      </c>
      <c r="B1113" s="138">
        <f>'Expenditures 15-22'!K40</f>
        <v>589202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2261693</v>
      </c>
      <c r="C1115" s="2" t="s">
        <v>573</v>
      </c>
      <c r="D1115" s="2" t="str">
        <f t="shared" si="16"/>
        <v>Error?</v>
      </c>
    </row>
    <row r="1116" spans="1:4" x14ac:dyDescent="0.2">
      <c r="A1116" s="5">
        <v>1055</v>
      </c>
      <c r="B1116" s="138">
        <f>'Expenditures 15-22'!K44</f>
        <v>105229</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105229</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654920</v>
      </c>
      <c r="C1121" s="2" t="s">
        <v>573</v>
      </c>
      <c r="D1121" s="2" t="str">
        <f t="shared" si="16"/>
        <v>Error?</v>
      </c>
    </row>
    <row r="1122" spans="1:4" x14ac:dyDescent="0.2">
      <c r="A1122" s="5">
        <v>1061</v>
      </c>
      <c r="B1122" s="138">
        <f>'Expenditures 15-22'!K53</f>
        <v>654920</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50848</v>
      </c>
      <c r="C1127" s="2" t="s">
        <v>573</v>
      </c>
      <c r="D1127" s="2" t="str">
        <f t="shared" si="16"/>
        <v>Error?</v>
      </c>
    </row>
    <row r="1128" spans="1:4" x14ac:dyDescent="0.2">
      <c r="A1128" s="5">
        <v>1067</v>
      </c>
      <c r="B1128" s="138">
        <f>'Expenditures 15-22'!K61</f>
        <v>669472</v>
      </c>
      <c r="C1128" s="2" t="s">
        <v>573</v>
      </c>
      <c r="D1128" s="2" t="str">
        <f t="shared" si="16"/>
        <v>Error?</v>
      </c>
    </row>
    <row r="1129" spans="1:4" x14ac:dyDescent="0.2">
      <c r="A1129" s="5">
        <v>1068</v>
      </c>
      <c r="B1129" s="138">
        <f>'Expenditures 15-22'!K62</f>
        <v>5253</v>
      </c>
      <c r="C1129" s="2" t="s">
        <v>573</v>
      </c>
      <c r="D1129" s="2" t="str">
        <f t="shared" si="16"/>
        <v>Error?</v>
      </c>
    </row>
    <row r="1130" spans="1:4" x14ac:dyDescent="0.2">
      <c r="A1130" s="5">
        <v>1069</v>
      </c>
      <c r="B1130" s="138">
        <f>'Expenditures 15-22'!K63</f>
        <v>27961</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753534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878</v>
      </c>
      <c r="C1136" s="2" t="s">
        <v>573</v>
      </c>
      <c r="D1136" s="2" t="str">
        <f t="shared" si="16"/>
        <v>Error?</v>
      </c>
    </row>
    <row r="1137" spans="1:4" x14ac:dyDescent="0.2">
      <c r="A1137" s="5">
        <v>1076</v>
      </c>
      <c r="B1137" s="138">
        <f>'Expenditures 15-22'!K70</f>
        <v>250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1128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3776504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16287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5315339</v>
      </c>
      <c r="C1152" s="2" t="s">
        <v>573</v>
      </c>
      <c r="D1152" s="2" t="str">
        <f t="shared" si="17"/>
        <v>Error?</v>
      </c>
    </row>
    <row r="1153" spans="1:4" x14ac:dyDescent="0.2">
      <c r="A1153" s="5">
        <v>1092</v>
      </c>
      <c r="B1153" s="138">
        <f>'Expenditures 15-22'!K115</f>
        <v>181111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3542162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3723273</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214123</v>
      </c>
      <c r="D2010" s="2" t="str">
        <f t="shared" si="30"/>
        <v>Error?</v>
      </c>
    </row>
    <row r="2011" spans="1:4" x14ac:dyDescent="0.2">
      <c r="A2011" s="5">
        <v>1950</v>
      </c>
      <c r="B2011" s="138">
        <f>'Cap Outlay Deprec 26'!C12</f>
        <v>113609</v>
      </c>
      <c r="D2011" s="2" t="str">
        <f t="shared" si="30"/>
        <v>Error?</v>
      </c>
    </row>
    <row r="2012" spans="1:4" x14ac:dyDescent="0.2">
      <c r="A2012" s="5">
        <v>1951</v>
      </c>
      <c r="B2012" s="138">
        <f>'Cap Outlay Deprec 26'!C13</f>
        <v>229213</v>
      </c>
      <c r="D2012" s="2" t="str">
        <f t="shared" si="30"/>
        <v>Error?</v>
      </c>
    </row>
    <row r="2013" spans="1:4" x14ac:dyDescent="0.2">
      <c r="A2013" s="5">
        <v>1952</v>
      </c>
      <c r="B2013" s="138">
        <f>'Cap Outlay Deprec 26'!C16</f>
        <v>556945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214123</v>
      </c>
      <c r="C2028" s="2" t="s">
        <v>573</v>
      </c>
      <c r="D2028" s="2" t="str">
        <f t="shared" si="30"/>
        <v>Error?</v>
      </c>
    </row>
    <row r="2029" spans="1:4" x14ac:dyDescent="0.2">
      <c r="A2029" s="5">
        <v>1968</v>
      </c>
      <c r="B2029" s="138">
        <f>'Cap Outlay Deprec 26'!F12</f>
        <v>113609</v>
      </c>
      <c r="C2029" s="2" t="s">
        <v>573</v>
      </c>
      <c r="D2029" s="2" t="str">
        <f t="shared" si="30"/>
        <v>Error?</v>
      </c>
    </row>
    <row r="2030" spans="1:4" x14ac:dyDescent="0.2">
      <c r="A2030" s="5">
        <v>1969</v>
      </c>
      <c r="B2030" s="138">
        <f>'Cap Outlay Deprec 26'!F13</f>
        <v>229213</v>
      </c>
      <c r="C2030" s="2" t="s">
        <v>573</v>
      </c>
      <c r="D2030" s="2" t="str">
        <f t="shared" si="30"/>
        <v>Error?</v>
      </c>
    </row>
    <row r="2031" spans="1:4" x14ac:dyDescent="0.2">
      <c r="A2031" s="5">
        <v>1970</v>
      </c>
      <c r="B2031" s="138">
        <f>'Cap Outlay Deprec 26'!F16</f>
        <v>556945</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117240</v>
      </c>
      <c r="D2034" s="2" t="str">
        <f t="shared" si="30"/>
        <v>Error?</v>
      </c>
    </row>
    <row r="2035" spans="1:4" x14ac:dyDescent="0.2">
      <c r="A2035" s="5">
        <v>1974</v>
      </c>
      <c r="B2035" s="138">
        <f>'Cap Outlay Deprec 26'!H12</f>
        <v>86105</v>
      </c>
      <c r="D2035" s="2" t="str">
        <f t="shared" si="30"/>
        <v>Error?</v>
      </c>
    </row>
    <row r="2036" spans="1:4" x14ac:dyDescent="0.2">
      <c r="A2036" s="5">
        <v>1975</v>
      </c>
      <c r="B2036" s="138">
        <f>'Cap Outlay Deprec 26'!H13</f>
        <v>229213</v>
      </c>
      <c r="D2036" s="2" t="str">
        <f t="shared" si="30"/>
        <v>Error?</v>
      </c>
    </row>
    <row r="2037" spans="1:4" x14ac:dyDescent="0.2">
      <c r="A2037" s="5">
        <v>1976</v>
      </c>
      <c r="B2037" s="138">
        <f>'Cap Outlay Deprec 26'!H16</f>
        <v>432558</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10707</v>
      </c>
      <c r="D2040" s="2" t="str">
        <f t="shared" si="30"/>
        <v>Error?</v>
      </c>
    </row>
    <row r="2041" spans="1:4" x14ac:dyDescent="0.2">
      <c r="A2041" s="5">
        <v>1980</v>
      </c>
      <c r="B2041" s="138">
        <f>'Cap Outlay Deprec 26'!I12</f>
        <v>7970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18677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127947</v>
      </c>
      <c r="C2052" s="2" t="s">
        <v>573</v>
      </c>
      <c r="D2052" s="2" t="str">
        <f t="shared" si="31"/>
        <v>Error?</v>
      </c>
    </row>
    <row r="2053" spans="1:4" x14ac:dyDescent="0.2">
      <c r="A2053" s="5">
        <v>1992</v>
      </c>
      <c r="B2053" s="138">
        <f>'Cap Outlay Deprec 26'!K12</f>
        <v>94075</v>
      </c>
      <c r="C2053" s="2" t="s">
        <v>573</v>
      </c>
      <c r="D2053" s="2" t="str">
        <f t="shared" si="31"/>
        <v>Error?</v>
      </c>
    </row>
    <row r="2054" spans="1:4" x14ac:dyDescent="0.2">
      <c r="A2054" s="5">
        <v>1993</v>
      </c>
      <c r="B2054" s="138">
        <f>'Cap Outlay Deprec 26'!K13</f>
        <v>229213</v>
      </c>
      <c r="C2054" s="2" t="s">
        <v>573</v>
      </c>
      <c r="D2054" s="2" t="str">
        <f t="shared" si="31"/>
        <v>Error?</v>
      </c>
    </row>
    <row r="2055" spans="1:4" x14ac:dyDescent="0.2">
      <c r="A2055" s="5">
        <v>1994</v>
      </c>
      <c r="B2055" s="138">
        <f>'Cap Outlay Deprec 26'!K16</f>
        <v>451235</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86176</v>
      </c>
      <c r="C2058" s="2" t="s">
        <v>573</v>
      </c>
      <c r="D2058" s="2" t="str">
        <f t="shared" si="31"/>
        <v>Error?</v>
      </c>
    </row>
    <row r="2059" spans="1:4" x14ac:dyDescent="0.2">
      <c r="A2059" s="5">
        <v>1998</v>
      </c>
      <c r="B2059" s="138">
        <f>'Cap Outlay Deprec 26'!L12</f>
        <v>19534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105710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16287</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2837344</v>
      </c>
      <c r="C2551" s="2" t="s">
        <v>573</v>
      </c>
      <c r="D2551" s="2" t="str">
        <f t="shared" si="38"/>
        <v>Error?</v>
      </c>
    </row>
    <row r="2552" spans="1:4" x14ac:dyDescent="0.2">
      <c r="A2552" s="10">
        <v>2491</v>
      </c>
      <c r="D2552" s="2" t="str">
        <f t="shared" si="38"/>
        <v>OK</v>
      </c>
    </row>
    <row r="2553" spans="1:4" x14ac:dyDescent="0.2">
      <c r="A2553" s="5">
        <v>2492</v>
      </c>
      <c r="B2553" s="138">
        <f>'Acct Summary 7-8'!C6</f>
        <v>403568</v>
      </c>
      <c r="C2553" s="2" t="s">
        <v>573</v>
      </c>
      <c r="D2553" s="2" t="str">
        <f t="shared" si="38"/>
        <v>Error?</v>
      </c>
    </row>
    <row r="2554" spans="1:4" x14ac:dyDescent="0.2">
      <c r="A2554" s="5">
        <v>2493</v>
      </c>
      <c r="B2554" s="138">
        <f>'Acct Summary 7-8'!C7</f>
        <v>2255538</v>
      </c>
      <c r="C2554" s="2" t="s">
        <v>573</v>
      </c>
      <c r="D2554" s="2" t="str">
        <f t="shared" si="38"/>
        <v>Error?</v>
      </c>
    </row>
    <row r="2555" spans="1:4" x14ac:dyDescent="0.2">
      <c r="A2555" s="5">
        <v>2494</v>
      </c>
      <c r="B2555" s="138">
        <f>'Acct Summary 7-8'!C8</f>
        <v>5496450</v>
      </c>
      <c r="C2555" s="2" t="s">
        <v>573</v>
      </c>
      <c r="D2555" s="2" t="str">
        <f t="shared" si="38"/>
        <v>Error?</v>
      </c>
    </row>
    <row r="2556" spans="1:4" x14ac:dyDescent="0.2">
      <c r="A2556" s="5">
        <v>2495</v>
      </c>
      <c r="B2556" s="138">
        <f>'Acct Summary 7-8'!C12</f>
        <v>1522548</v>
      </c>
      <c r="C2556" s="2" t="s">
        <v>573</v>
      </c>
      <c r="D2556" s="2" t="str">
        <f t="shared" si="38"/>
        <v>Error?</v>
      </c>
    </row>
    <row r="2557" spans="1:4" x14ac:dyDescent="0.2">
      <c r="A2557" s="5">
        <v>2496</v>
      </c>
      <c r="B2557" s="138">
        <f>'Acct Summary 7-8'!C13</f>
        <v>3776504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16287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5315339</v>
      </c>
      <c r="C2561" s="2" t="s">
        <v>573</v>
      </c>
      <c r="D2561" s="2" t="str">
        <f t="shared" si="39"/>
        <v>Error?</v>
      </c>
    </row>
    <row r="2562" spans="1:4" x14ac:dyDescent="0.2">
      <c r="A2562" s="5">
        <v>2501</v>
      </c>
      <c r="B2562" s="138">
        <f>'Acct Summary 7-8'!C20</f>
        <v>181111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16287</v>
      </c>
      <c r="C2789" s="2" t="s">
        <v>573</v>
      </c>
      <c r="D2789" s="2" t="str">
        <f t="shared" si="42"/>
        <v>Error?</v>
      </c>
    </row>
    <row r="2790" spans="1:4" x14ac:dyDescent="0.2">
      <c r="A2790" s="5">
        <v>2729</v>
      </c>
      <c r="B2790" s="138">
        <f>'Expenditures 15-22'!E102</f>
        <v>16287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27961</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16287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16287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181111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827402</v>
      </c>
      <c r="D3366" s="2" t="str">
        <f t="shared" si="51"/>
        <v>Error?</v>
      </c>
    </row>
    <row r="3367" spans="1:4" x14ac:dyDescent="0.2">
      <c r="A3367" s="5">
        <v>3306</v>
      </c>
      <c r="B3367" s="138">
        <f>'Expenditures 15-22'!C19</f>
        <v>170965</v>
      </c>
      <c r="D3367" s="2" t="str">
        <f t="shared" si="51"/>
        <v>Error?</v>
      </c>
    </row>
    <row r="3368" spans="1:4" x14ac:dyDescent="0.2">
      <c r="A3368" s="5">
        <v>3307</v>
      </c>
      <c r="B3368" s="138">
        <f>'Expenditures 15-22'!D8</f>
        <v>264080</v>
      </c>
      <c r="D3368" s="2" t="str">
        <f t="shared" si="51"/>
        <v>Error?</v>
      </c>
    </row>
    <row r="3369" spans="1:4" x14ac:dyDescent="0.2">
      <c r="A3369" s="5">
        <v>3308</v>
      </c>
      <c r="B3369" s="138">
        <f>'Expenditures 15-22'!D19</f>
        <v>46680</v>
      </c>
      <c r="D3369" s="2" t="str">
        <f t="shared" si="51"/>
        <v>Error?</v>
      </c>
    </row>
    <row r="3370" spans="1:4" x14ac:dyDescent="0.2">
      <c r="A3370" s="5">
        <v>3309</v>
      </c>
      <c r="B3370" s="138">
        <f>'Expenditures 15-22'!E8</f>
        <v>28996</v>
      </c>
      <c r="D3370" s="2" t="str">
        <f t="shared" si="51"/>
        <v>Error?</v>
      </c>
    </row>
    <row r="3371" spans="1:4" x14ac:dyDescent="0.2">
      <c r="A3371" s="5">
        <v>3310</v>
      </c>
      <c r="B3371" s="138">
        <f>'Expenditures 15-22'!E19</f>
        <v>1440</v>
      </c>
      <c r="D3371" s="2" t="str">
        <f t="shared" si="51"/>
        <v>Error?</v>
      </c>
    </row>
    <row r="3372" spans="1:4" x14ac:dyDescent="0.2">
      <c r="A3372" s="5">
        <v>3311</v>
      </c>
      <c r="B3372" s="138">
        <f>'Expenditures 15-22'!F8</f>
        <v>27208</v>
      </c>
      <c r="D3372" s="2" t="str">
        <f t="shared" si="51"/>
        <v>Error?</v>
      </c>
    </row>
    <row r="3373" spans="1:4" x14ac:dyDescent="0.2">
      <c r="A3373" s="5">
        <v>3312</v>
      </c>
      <c r="B3373" s="138">
        <f>'Expenditures 15-22'!F19</f>
        <v>5337</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1147686</v>
      </c>
      <c r="C3380" s="2" t="s">
        <v>573</v>
      </c>
      <c r="D3380" s="2" t="str">
        <f t="shared" si="51"/>
        <v>Error?</v>
      </c>
    </row>
    <row r="3381" spans="1:4" x14ac:dyDescent="0.2">
      <c r="A3381" s="5">
        <v>3320</v>
      </c>
      <c r="B3381" s="138">
        <f>'Expenditures 15-22'!K19</f>
        <v>224422</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3727916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1503776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7000226</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1503776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6819115</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3723273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31397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228186</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50906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93497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2316664</v>
      </c>
      <c r="D5082" s="2" t="str">
        <f t="shared" si="78"/>
        <v>Error?</v>
      </c>
    </row>
    <row r="5083" spans="1:4" x14ac:dyDescent="0.2">
      <c r="A5083" s="5">
        <v>5022</v>
      </c>
      <c r="B5083" s="138">
        <f>'Revenues 9-14'!C34</f>
        <v>135808</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2452472</v>
      </c>
      <c r="C5087" s="2" t="s">
        <v>573</v>
      </c>
      <c r="D5087" s="2" t="str">
        <f t="shared" si="78"/>
        <v>Error?</v>
      </c>
    </row>
    <row r="5088" spans="1:4" x14ac:dyDescent="0.2">
      <c r="A5088" s="5">
        <v>5027</v>
      </c>
      <c r="B5088" s="138">
        <f>'Revenues 9-14'!C65</f>
        <v>67473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67473</v>
      </c>
      <c r="C5090" s="2" t="s">
        <v>573</v>
      </c>
      <c r="D5090" s="2" t="str">
        <f t="shared" si="78"/>
        <v>Error?</v>
      </c>
    </row>
    <row r="5091" spans="1:4" x14ac:dyDescent="0.2">
      <c r="A5091" s="5">
        <v>5030</v>
      </c>
      <c r="B5091" s="138">
        <f>'Revenues 9-14'!C70</f>
        <v>114</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233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347</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4200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263878</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48974</v>
      </c>
      <c r="D5119" s="2" t="str">
        <f t="shared" ref="D5119:D5182" si="79">IF(ISBLANK(B5119),"OK",IF(A5119-B5119=0,"OK","Error?"))</f>
        <v>Error?</v>
      </c>
    </row>
    <row r="5120" spans="1:4" x14ac:dyDescent="0.2">
      <c r="A5120" s="5">
        <v>5059</v>
      </c>
      <c r="B5120" s="138">
        <f>'Revenues 9-14'!C108</f>
        <v>317052</v>
      </c>
      <c r="C5120" s="2" t="s">
        <v>573</v>
      </c>
      <c r="D5120" s="2" t="str">
        <f t="shared" si="79"/>
        <v>Error?</v>
      </c>
    </row>
    <row r="5121" spans="1:4" x14ac:dyDescent="0.2">
      <c r="A5121" s="5">
        <v>5060</v>
      </c>
      <c r="B5121" s="138">
        <f>'Revenues 9-14'!C109</f>
        <v>2837344</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352214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352214</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448</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51354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403568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18447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4855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23302</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128551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1750605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1879156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2255538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2255538</v>
      </c>
      <c r="C5326" s="2" t="s">
        <v>573</v>
      </c>
      <c r="D5326" s="2" t="str">
        <f t="shared" si="82"/>
        <v>Error?</v>
      </c>
    </row>
    <row r="5327" spans="1:5" x14ac:dyDescent="0.2">
      <c r="A5327" s="5">
        <v>5266</v>
      </c>
      <c r="B5327" s="138">
        <f>'Revenues 9-14'!C268</f>
        <v>5496450</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181111</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4.8642954733644293E-2</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10726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7215</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7215</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17215</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17215</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2800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2800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27230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27230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10726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27230</v>
      </c>
      <c r="D7624" s="2" t="str">
        <f t="shared" si="124"/>
        <v>Error?</v>
      </c>
      <c r="E7624" s="2" t="s">
        <v>19</v>
      </c>
    </row>
    <row r="7625" spans="1:5" x14ac:dyDescent="0.2">
      <c r="A7625">
        <f t="shared" si="123"/>
        <v>7564</v>
      </c>
      <c r="B7625" s="138">
        <f>'Cap Outlay Deprec 26'!I17</f>
        <v>2723</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21400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29'!D142</f>
        <v>0</v>
      </c>
      <c r="D7797" s="2" t="str">
        <f t="shared" si="127"/>
        <v>Error?</v>
      </c>
      <c r="E7797" s="4" t="s">
        <v>1900</v>
      </c>
    </row>
    <row r="7798" spans="1:5" x14ac:dyDescent="0.2">
      <c r="A7798">
        <v>7737</v>
      </c>
      <c r="B7798" s="138">
        <f>'Contracts Paid in CY 29'!F142</f>
        <v>0</v>
      </c>
      <c r="D7798" s="2" t="str">
        <f t="shared" si="127"/>
        <v>Error?</v>
      </c>
      <c r="E7798" s="4" t="s">
        <v>1900</v>
      </c>
    </row>
    <row r="7799" spans="1:5" x14ac:dyDescent="0.2">
      <c r="A7799">
        <v>7738</v>
      </c>
      <c r="B7799" s="138">
        <f>'Contracts Paid in CY 29'!G142</f>
        <v>0</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1984</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Vermilion Assoc for Spec Educ</v>
      </c>
      <c r="B7" s="2406"/>
      <c r="C7" s="2406"/>
      <c r="D7" s="2407"/>
      <c r="E7" s="2408">
        <f>COVER!A13</f>
        <v>54092801060</v>
      </c>
      <c r="F7" s="2409"/>
      <c r="G7" s="2415" t="str">
        <f>COVER!T23</f>
        <v>065.018319</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RUSSELL LEIGH &amp; ASSOCIATES LLC</v>
      </c>
      <c r="H9" s="2421"/>
      <c r="I9" s="2421"/>
      <c r="J9" s="2421"/>
      <c r="K9" s="2421"/>
      <c r="L9" s="2422"/>
    </row>
    <row r="10" spans="1:29" ht="13.5" customHeight="1" x14ac:dyDescent="0.2">
      <c r="A10" s="2395" t="str">
        <f>COVER!A38</f>
        <v>Kristin Dunker</v>
      </c>
      <c r="B10" s="2396"/>
      <c r="C10" s="2396"/>
      <c r="D10" s="2396"/>
      <c r="E10" s="2396"/>
      <c r="F10" s="2397"/>
      <c r="G10" s="2389" t="str">
        <f>COVER!T17</f>
        <v>228 E MAIN ST</v>
      </c>
      <c r="H10" s="2390"/>
      <c r="I10" s="2390"/>
      <c r="J10" s="2390"/>
      <c r="K10" s="2390"/>
      <c r="L10" s="2391"/>
    </row>
    <row r="11" spans="1:29" ht="13.5" customHeight="1" x14ac:dyDescent="0.2">
      <c r="A11" s="1184" t="s">
        <v>1519</v>
      </c>
      <c r="B11" s="1185"/>
      <c r="C11" s="1186"/>
      <c r="D11" s="1191"/>
      <c r="E11" s="1186"/>
      <c r="F11" s="1190"/>
      <c r="G11" s="2389" t="str">
        <f>COVER!T19</f>
        <v>HOOPESTON</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admin@russleigh.com</v>
      </c>
      <c r="J13" s="2402"/>
      <c r="K13" s="2402"/>
      <c r="L13" s="2403"/>
    </row>
    <row r="14" spans="1:29" ht="13.5" customHeight="1" x14ac:dyDescent="0.2">
      <c r="A14" s="2389" t="str">
        <f>COVER!A19</f>
        <v>15009 CATLIN-TILTON ROAD</v>
      </c>
      <c r="B14" s="2390"/>
      <c r="C14" s="2390"/>
      <c r="D14" s="2390"/>
      <c r="E14" s="2390"/>
      <c r="F14" s="2391"/>
      <c r="G14" s="1195" t="s">
        <v>1185</v>
      </c>
      <c r="H14" s="1193"/>
      <c r="I14" s="1193"/>
      <c r="J14" s="1193"/>
      <c r="K14" s="1193"/>
      <c r="L14" s="1194"/>
    </row>
    <row r="15" spans="1:29" ht="13.5" customHeight="1" x14ac:dyDescent="0.2">
      <c r="A15" s="2389" t="str">
        <f>COVER!A21</f>
        <v>DANVILLE</v>
      </c>
      <c r="B15" s="2390"/>
      <c r="C15" s="2390"/>
      <c r="D15" s="2390"/>
      <c r="E15" s="2390"/>
      <c r="F15" s="2391"/>
      <c r="G15" s="2386" t="str">
        <f>COVER!T15</f>
        <v>RUSS LEIGH</v>
      </c>
      <c r="H15" s="2387"/>
      <c r="I15" s="2387"/>
      <c r="J15" s="2387"/>
      <c r="K15" s="2387"/>
      <c r="L15" s="2388"/>
    </row>
    <row r="16" spans="1:29" ht="12.2" customHeight="1" x14ac:dyDescent="0.2">
      <c r="A16" s="2411">
        <f>COVER!A25</f>
        <v>61834</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217-283-9336</v>
      </c>
      <c r="H18" s="2406"/>
      <c r="I18" s="2406"/>
      <c r="J18" s="2406"/>
      <c r="K18" s="2405" t="str">
        <f>COVER!X21</f>
        <v>217-283-9736</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4"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Vermilion Assoc for Spec Educ</v>
      </c>
      <c r="B1" s="2404"/>
      <c r="C1" s="2404"/>
      <c r="D1" s="2404"/>
    </row>
    <row r="2" spans="1:11" s="1212" customFormat="1" ht="12.75" x14ac:dyDescent="0.2">
      <c r="A2" s="2428">
        <f>'Single Audit Cover'!E7</f>
        <v>54092801060</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Vermilion Assoc for Spec Educ</v>
      </c>
      <c r="B1" s="2431"/>
      <c r="C1" s="2431"/>
      <c r="D1" s="2431"/>
      <c r="E1" s="2431"/>
    </row>
    <row r="2" spans="1:5" x14ac:dyDescent="0.2">
      <c r="A2" s="2432">
        <f>'Single Audit Cover'!E7</f>
        <v>54092801060</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2255538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-228186</v>
      </c>
    </row>
    <row r="19" spans="1:4" ht="13.5" thickBot="1" x14ac:dyDescent="0.25">
      <c r="A19" s="1262" t="s">
        <v>1235</v>
      </c>
      <c r="D19" s="1263">
        <f>SUM(D10:D17)</f>
        <v>2027352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2027352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2027352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K25" sqref="K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Vermilion Assoc for Spec Educ</v>
      </c>
      <c r="C1" s="2435"/>
      <c r="D1" s="2435"/>
      <c r="E1" s="2435"/>
      <c r="F1" s="2435"/>
      <c r="G1" s="2435"/>
      <c r="H1" s="2435"/>
      <c r="I1" s="2435"/>
      <c r="J1" s="2435"/>
      <c r="K1" s="2435"/>
      <c r="L1" s="2435"/>
      <c r="M1" s="2435"/>
    </row>
    <row r="2" spans="2:14" ht="15" x14ac:dyDescent="0.2">
      <c r="B2" s="2436">
        <f>'Single Audit Cover'!E7</f>
        <v>54092801060</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2090</v>
      </c>
      <c r="C11" s="1335"/>
      <c r="D11" s="1336"/>
      <c r="E11" s="1337"/>
      <c r="F11" s="1337"/>
      <c r="G11" s="1337"/>
      <c r="H11" s="1337"/>
      <c r="I11" s="1337"/>
      <c r="J11" s="1337"/>
      <c r="K11" s="1337"/>
      <c r="L11" s="1337">
        <f>+G11+I11+K11</f>
        <v>0</v>
      </c>
      <c r="M11" s="1337"/>
    </row>
    <row r="12" spans="2:14" ht="20.100000000000001" customHeight="1" x14ac:dyDescent="0.2">
      <c r="B12" s="1334" t="s">
        <v>2091</v>
      </c>
      <c r="C12" s="1338"/>
      <c r="D12" s="1339"/>
      <c r="E12" s="1340"/>
      <c r="F12" s="1340"/>
      <c r="G12" s="1340"/>
      <c r="H12" s="1340"/>
      <c r="I12" s="1340"/>
      <c r="J12" s="1340"/>
      <c r="K12" s="1340"/>
      <c r="L12" s="1337">
        <f t="shared" ref="L12:L27" si="0">+G12+I12+K12</f>
        <v>0</v>
      </c>
      <c r="M12" s="1340"/>
    </row>
    <row r="13" spans="2:14" ht="20.100000000000001" customHeight="1" x14ac:dyDescent="0.2">
      <c r="B13" s="1334" t="s">
        <v>2092</v>
      </c>
      <c r="C13" s="1338">
        <v>10.555</v>
      </c>
      <c r="D13" s="1339">
        <v>4210</v>
      </c>
      <c r="E13" s="1340"/>
      <c r="F13" s="1340">
        <v>18447</v>
      </c>
      <c r="G13" s="1340"/>
      <c r="H13" s="1340"/>
      <c r="I13" s="1340">
        <v>18447</v>
      </c>
      <c r="J13" s="1340"/>
      <c r="K13" s="1340"/>
      <c r="L13" s="1337">
        <f t="shared" si="0"/>
        <v>18447</v>
      </c>
      <c r="M13" s="1340"/>
    </row>
    <row r="14" spans="2:14" ht="20.100000000000001" customHeight="1" x14ac:dyDescent="0.2">
      <c r="B14" s="1334" t="s">
        <v>2093</v>
      </c>
      <c r="C14" s="1338">
        <v>10.553000000000001</v>
      </c>
      <c r="D14" s="1339">
        <v>4220</v>
      </c>
      <c r="E14" s="1340"/>
      <c r="F14" s="1340">
        <v>4855</v>
      </c>
      <c r="G14" s="1340"/>
      <c r="H14" s="1340"/>
      <c r="I14" s="1340">
        <v>4855</v>
      </c>
      <c r="J14" s="1340"/>
      <c r="K14" s="1340"/>
      <c r="L14" s="1337">
        <f t="shared" si="0"/>
        <v>4855</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t="s">
        <v>2094</v>
      </c>
      <c r="C16" s="1338"/>
      <c r="D16" s="1339"/>
      <c r="E16" s="1340"/>
      <c r="F16" s="1340">
        <v>23302</v>
      </c>
      <c r="G16" s="1340"/>
      <c r="H16" s="1340"/>
      <c r="I16" s="1340">
        <v>23302</v>
      </c>
      <c r="J16" s="1340"/>
      <c r="K16" s="1340"/>
      <c r="L16" s="1337">
        <f t="shared" si="0"/>
        <v>23302</v>
      </c>
      <c r="M16" s="1340">
        <v>25000</v>
      </c>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2095</v>
      </c>
      <c r="C18" s="1338"/>
      <c r="D18" s="1339"/>
      <c r="E18" s="1340"/>
      <c r="F18" s="1340"/>
      <c r="G18" s="1340"/>
      <c r="H18" s="1340"/>
      <c r="I18" s="1340"/>
      <c r="J18" s="1340"/>
      <c r="K18" s="1340"/>
      <c r="L18" s="1337">
        <f t="shared" si="0"/>
        <v>0</v>
      </c>
      <c r="M18" s="1340"/>
    </row>
    <row r="19" spans="2:14" ht="20.100000000000001" customHeight="1" x14ac:dyDescent="0.2">
      <c r="B19" s="1334" t="s">
        <v>2091</v>
      </c>
      <c r="C19" s="1338"/>
      <c r="D19" s="1339"/>
      <c r="E19" s="1340"/>
      <c r="F19" s="1340"/>
      <c r="G19" s="1340"/>
      <c r="H19" s="1340"/>
      <c r="I19" s="1340"/>
      <c r="J19" s="1340"/>
      <c r="K19" s="1340"/>
      <c r="L19" s="1337">
        <f t="shared" si="0"/>
        <v>0</v>
      </c>
      <c r="M19" s="1340"/>
    </row>
    <row r="20" spans="2:14" ht="20.100000000000001" customHeight="1" x14ac:dyDescent="0.2">
      <c r="B20" s="1334" t="s">
        <v>2096</v>
      </c>
      <c r="C20" s="1338" t="s">
        <v>2097</v>
      </c>
      <c r="D20" s="1339">
        <v>4600</v>
      </c>
      <c r="E20" s="1340"/>
      <c r="F20" s="1340">
        <v>128551</v>
      </c>
      <c r="G20" s="1340"/>
      <c r="H20" s="1340"/>
      <c r="I20" s="1340">
        <v>149775</v>
      </c>
      <c r="J20" s="1340"/>
      <c r="K20" s="1340">
        <v>6639</v>
      </c>
      <c r="L20" s="1337">
        <f t="shared" si="0"/>
        <v>156414</v>
      </c>
      <c r="M20" s="1340">
        <v>168000</v>
      </c>
    </row>
    <row r="21" spans="2:14" ht="20.100000000000001" customHeight="1" x14ac:dyDescent="0.2">
      <c r="B21" s="1334" t="s">
        <v>2098</v>
      </c>
      <c r="C21" s="1338">
        <v>84.027000000000001</v>
      </c>
      <c r="D21" s="1339">
        <v>4620</v>
      </c>
      <c r="E21" s="1340">
        <v>1663055</v>
      </c>
      <c r="F21" s="1340">
        <v>22557</v>
      </c>
      <c r="G21" s="1340">
        <v>1846556</v>
      </c>
      <c r="H21" s="1340"/>
      <c r="I21" s="1340"/>
      <c r="J21" s="1340"/>
      <c r="K21" s="1340"/>
      <c r="L21" s="1337">
        <f t="shared" si="0"/>
        <v>1846556</v>
      </c>
      <c r="M21" s="1340"/>
    </row>
    <row r="22" spans="2:14" ht="20.100000000000001" customHeight="1" x14ac:dyDescent="0.2">
      <c r="B22" s="1334" t="s">
        <v>2099</v>
      </c>
      <c r="C22" s="1338">
        <v>84.027000000000001</v>
      </c>
      <c r="D22" s="1339">
        <v>4620</v>
      </c>
      <c r="E22" s="1340"/>
      <c r="F22" s="1340">
        <v>1728048</v>
      </c>
      <c r="G22" s="1340"/>
      <c r="H22" s="1340"/>
      <c r="I22" s="1340">
        <v>2052669</v>
      </c>
      <c r="J22" s="1340"/>
      <c r="K22" s="1340">
        <v>200706</v>
      </c>
      <c r="L22" s="1337">
        <f t="shared" si="0"/>
        <v>2253375</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2100</v>
      </c>
      <c r="C24" s="1338"/>
      <c r="D24" s="1339"/>
      <c r="E24" s="1340">
        <v>1663055</v>
      </c>
      <c r="F24" s="1340">
        <v>1879156</v>
      </c>
      <c r="G24" s="1340">
        <v>1846556</v>
      </c>
      <c r="H24" s="1340"/>
      <c r="I24" s="1340">
        <v>2202444</v>
      </c>
      <c r="J24" s="1340"/>
      <c r="K24" s="1340">
        <v>207345</v>
      </c>
      <c r="L24" s="1337">
        <f t="shared" si="0"/>
        <v>4256345</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K21" sqref="K2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Vermilion Assoc for Spec Educ</v>
      </c>
      <c r="C1" s="2435"/>
      <c r="D1" s="2435"/>
      <c r="E1" s="2435"/>
      <c r="F1" s="2435"/>
      <c r="G1" s="2435"/>
      <c r="H1" s="2435"/>
      <c r="I1" s="2435"/>
      <c r="J1" s="2435"/>
      <c r="K1" s="2435"/>
      <c r="L1" s="2435"/>
      <c r="M1" s="2435"/>
    </row>
    <row r="2" spans="2:14" ht="15" x14ac:dyDescent="0.2">
      <c r="B2" s="2436">
        <f>'Single Audit Cover'!E7</f>
        <v>54092801060</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t="s">
        <v>2101</v>
      </c>
      <c r="C12" s="1338"/>
      <c r="D12" s="1339"/>
      <c r="E12" s="1340"/>
      <c r="F12" s="1340"/>
      <c r="G12" s="1340"/>
      <c r="H12" s="1340"/>
      <c r="I12" s="1340"/>
      <c r="J12" s="1340"/>
      <c r="K12" s="1340"/>
      <c r="L12" s="1337">
        <f t="shared" ref="L12:L27" si="0">+G12+I12+K12</f>
        <v>0</v>
      </c>
      <c r="M12" s="1340"/>
    </row>
    <row r="13" spans="2:14" ht="20.100000000000001" customHeight="1" x14ac:dyDescent="0.2">
      <c r="B13" s="1334" t="s">
        <v>2102</v>
      </c>
      <c r="C13" s="1338"/>
      <c r="D13" s="1339"/>
      <c r="E13" s="1340"/>
      <c r="F13" s="1340"/>
      <c r="G13" s="1340"/>
      <c r="H13" s="1340"/>
      <c r="I13" s="1340"/>
      <c r="J13" s="1340"/>
      <c r="K13" s="1340"/>
      <c r="L13" s="1337">
        <f t="shared" si="0"/>
        <v>0</v>
      </c>
      <c r="M13" s="1340"/>
    </row>
    <row r="14" spans="2:14" ht="20.100000000000001" customHeight="1" x14ac:dyDescent="0.2">
      <c r="B14" s="1334" t="s">
        <v>2103</v>
      </c>
      <c r="C14" s="1338">
        <v>93.775999999999996</v>
      </c>
      <c r="D14" s="1339">
        <v>4991</v>
      </c>
      <c r="E14" s="1340"/>
      <c r="F14" s="1340">
        <v>31397</v>
      </c>
      <c r="G14" s="1340"/>
      <c r="H14" s="1340"/>
      <c r="I14" s="1340">
        <v>31397</v>
      </c>
      <c r="J14" s="1340"/>
      <c r="K14" s="1340"/>
      <c r="L14" s="1337">
        <f t="shared" si="0"/>
        <v>31397</v>
      </c>
      <c r="M14" s="1340">
        <v>30000</v>
      </c>
    </row>
    <row r="15" spans="2:14" ht="20.100000000000001" customHeight="1" x14ac:dyDescent="0.2">
      <c r="B15" s="1334" t="s">
        <v>2104</v>
      </c>
      <c r="C15" s="1338">
        <v>84.126000000000005</v>
      </c>
      <c r="D15" s="1339">
        <v>4998</v>
      </c>
      <c r="E15" s="1340"/>
      <c r="F15" s="1340">
        <v>93497</v>
      </c>
      <c r="G15" s="1340"/>
      <c r="H15" s="1340"/>
      <c r="I15" s="1340">
        <v>93497</v>
      </c>
      <c r="J15" s="1340"/>
      <c r="K15" s="1340"/>
      <c r="L15" s="1337">
        <f t="shared" si="0"/>
        <v>93497</v>
      </c>
      <c r="M15" s="1340">
        <v>100000</v>
      </c>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2105</v>
      </c>
      <c r="C17" s="1338"/>
      <c r="D17" s="1339"/>
      <c r="E17" s="1340"/>
      <c r="F17" s="1340">
        <v>124894</v>
      </c>
      <c r="G17" s="1340"/>
      <c r="H17" s="1340"/>
      <c r="I17" s="1340">
        <v>124894</v>
      </c>
      <c r="J17" s="1340"/>
      <c r="K17" s="1340"/>
      <c r="L17" s="1337">
        <f t="shared" si="0"/>
        <v>124894</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2106</v>
      </c>
      <c r="C20" s="1338"/>
      <c r="D20" s="1339"/>
      <c r="E20" s="1340">
        <v>1663055</v>
      </c>
      <c r="F20" s="1340">
        <v>2027352</v>
      </c>
      <c r="G20" s="1340"/>
      <c r="H20" s="1340"/>
      <c r="I20" s="1340">
        <v>2350640</v>
      </c>
      <c r="J20" s="1340"/>
      <c r="K20" s="1340">
        <v>207345</v>
      </c>
      <c r="L20" s="1337">
        <f t="shared" si="0"/>
        <v>2557985</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Vermilion Assoc for Spec Educ</v>
      </c>
      <c r="B1" s="2448"/>
      <c r="C1" s="2448"/>
      <c r="D1" s="2448"/>
      <c r="E1" s="2448"/>
      <c r="F1" s="2448"/>
    </row>
    <row r="2" spans="1:7" ht="13.5" customHeight="1" x14ac:dyDescent="0.2">
      <c r="A2" s="2436">
        <f>'Single Audit Cover'!E7</f>
        <v>54092801060</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2107</v>
      </c>
      <c r="B7" s="2447"/>
      <c r="C7" s="2447"/>
      <c r="D7" s="2447"/>
      <c r="E7" s="2447"/>
      <c r="F7" s="2447"/>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2108</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2109</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t="s">
        <v>2110</v>
      </c>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2111</v>
      </c>
      <c r="B32" s="2441"/>
      <c r="C32" s="2441"/>
      <c r="D32" s="2441"/>
      <c r="E32" s="2441"/>
      <c r="F32" s="2441"/>
    </row>
    <row r="33" spans="1:6" ht="13.5" customHeight="1" x14ac:dyDescent="0.2">
      <c r="A33" s="328" t="s">
        <v>1434</v>
      </c>
      <c r="B33" s="328"/>
      <c r="C33" s="1285">
        <v>0</v>
      </c>
      <c r="D33" s="1903"/>
      <c r="E33" s="1283"/>
    </row>
    <row r="34" spans="1:6" ht="13.5" customHeight="1" x14ac:dyDescent="0.2">
      <c r="A34" s="328" t="s">
        <v>1835</v>
      </c>
      <c r="B34" s="328"/>
      <c r="C34" s="1286">
        <v>0</v>
      </c>
      <c r="D34" s="1903" t="s">
        <v>1589</v>
      </c>
      <c r="E34" s="2442">
        <f>+C33+C34</f>
        <v>0</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2112</v>
      </c>
      <c r="D38" s="1903"/>
      <c r="E38" s="1283"/>
    </row>
    <row r="39" spans="1:6" ht="14.25" customHeight="1" x14ac:dyDescent="0.2">
      <c r="A39" s="328"/>
      <c r="B39" s="328" t="s">
        <v>1436</v>
      </c>
      <c r="C39" s="1289" t="s">
        <v>2112</v>
      </c>
      <c r="D39" s="1903"/>
      <c r="E39" s="1283"/>
    </row>
    <row r="40" spans="1:6" ht="14.25" customHeight="1" x14ac:dyDescent="0.2">
      <c r="A40" s="328"/>
      <c r="B40" s="328" t="s">
        <v>1437</v>
      </c>
      <c r="C40" s="1289" t="s">
        <v>2112</v>
      </c>
      <c r="D40" s="1903"/>
      <c r="E40" s="1283"/>
    </row>
    <row r="41" spans="1:6" ht="14.25" customHeight="1" x14ac:dyDescent="0.2">
      <c r="A41" s="328"/>
      <c r="B41" s="328" t="s">
        <v>1438</v>
      </c>
      <c r="C41" s="1289" t="s">
        <v>2112</v>
      </c>
      <c r="D41" s="1903"/>
      <c r="E41" s="1283"/>
    </row>
    <row r="42" spans="1:6" ht="14.25" customHeight="1" x14ac:dyDescent="0.2">
      <c r="A42" s="328" t="s">
        <v>1439</v>
      </c>
      <c r="B42" s="328"/>
      <c r="C42" s="1901" t="s">
        <v>2112</v>
      </c>
      <c r="D42" s="1903"/>
      <c r="E42" s="1283"/>
    </row>
    <row r="43" spans="1:6" ht="14.25" customHeight="1" x14ac:dyDescent="0.2">
      <c r="A43" s="328" t="s">
        <v>1440</v>
      </c>
      <c r="B43" s="328"/>
      <c r="C43" s="1290" t="s">
        <v>2112</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0"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Vermilion Assoc for Spec Educ</v>
      </c>
      <c r="C1" s="2463"/>
      <c r="D1" s="2463"/>
      <c r="E1" s="2463"/>
      <c r="F1" s="2463"/>
      <c r="G1" s="2463"/>
      <c r="H1" s="2463"/>
      <c r="I1" s="2463"/>
      <c r="J1" s="1406"/>
    </row>
    <row r="2" spans="2:10" s="317" customFormat="1" ht="12.75" customHeight="1" x14ac:dyDescent="0.2">
      <c r="B2" s="2464">
        <f>'Single Audit Cover'!E7</f>
        <v>54092801060</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t="s">
        <v>2113</v>
      </c>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2108</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2108</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2108</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2108</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2108</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t="s">
        <v>2114</v>
      </c>
      <c r="E29" s="2469"/>
      <c r="F29" s="2469"/>
      <c r="G29" s="2469"/>
      <c r="H29" s="2469"/>
      <c r="I29" s="2469"/>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2108</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0" t="s">
        <v>1748</v>
      </c>
      <c r="D37" s="2471"/>
      <c r="E37" s="2471"/>
      <c r="F37" s="2472"/>
      <c r="G37" s="2470" t="s">
        <v>1592</v>
      </c>
      <c r="H37" s="2471"/>
      <c r="I37" s="2472"/>
    </row>
    <row r="38" spans="2:9" ht="16.5" customHeight="1" x14ac:dyDescent="0.2">
      <c r="B38" s="1428" t="s">
        <v>2115</v>
      </c>
      <c r="C38" s="2458" t="s">
        <v>2116</v>
      </c>
      <c r="D38" s="2459"/>
      <c r="E38" s="2459"/>
      <c r="F38" s="2460"/>
      <c r="G38" s="2473">
        <v>2052669</v>
      </c>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2052669</v>
      </c>
      <c r="H43" s="2454"/>
      <c r="I43" s="2454"/>
    </row>
    <row r="44" spans="2:9" ht="12.75" customHeight="1" x14ac:dyDescent="0.2"/>
    <row r="45" spans="2:9" ht="12.75" customHeight="1" x14ac:dyDescent="0.2">
      <c r="B45" s="1419" t="s">
        <v>2059</v>
      </c>
      <c r="D45" s="2455">
        <v>2350640</v>
      </c>
      <c r="E45" s="2456"/>
    </row>
    <row r="46" spans="2:9" ht="5.25" customHeight="1" x14ac:dyDescent="0.2">
      <c r="B46" s="1429"/>
      <c r="D46" s="1430"/>
      <c r="E46" s="1431"/>
    </row>
    <row r="47" spans="2:9" ht="12.75" customHeight="1" x14ac:dyDescent="0.2">
      <c r="B47" s="1297" t="s">
        <v>1594</v>
      </c>
      <c r="C47" s="1297"/>
      <c r="D47" s="1432">
        <f>+G43/D45</f>
        <v>0.87323835210836198</v>
      </c>
      <c r="E47" s="1433"/>
      <c r="F47" s="1434"/>
      <c r="I47" s="1435"/>
    </row>
    <row r="48" spans="2:9" ht="9.9499999999999993" customHeight="1" x14ac:dyDescent="0.2"/>
    <row r="49" spans="1:9" x14ac:dyDescent="0.2">
      <c r="B49" s="1365" t="s">
        <v>1273</v>
      </c>
      <c r="C49" s="1279"/>
      <c r="D49" s="1279"/>
      <c r="E49" s="2457">
        <v>750000</v>
      </c>
      <c r="F49" s="2457"/>
      <c r="G49" s="2457"/>
      <c r="H49" s="322"/>
    </row>
    <row r="51" spans="1:9" ht="13.5" customHeight="1" x14ac:dyDescent="0.2">
      <c r="B51" s="1365" t="s">
        <v>1272</v>
      </c>
      <c r="C51" s="1279"/>
      <c r="E51" s="1422"/>
      <c r="F51" s="1297" t="s">
        <v>885</v>
      </c>
      <c r="G51" s="1422" t="s">
        <v>2108</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Vermilion Assoc for Spec Educ</v>
      </c>
      <c r="C1" s="2462"/>
      <c r="D1" s="2462"/>
      <c r="E1" s="2462"/>
      <c r="F1" s="2462"/>
      <c r="G1" s="2462"/>
      <c r="H1" s="2462"/>
      <c r="I1" s="2462"/>
      <c r="J1" s="2462"/>
      <c r="K1" s="2462"/>
      <c r="L1" s="1371"/>
      <c r="M1" s="1371"/>
    </row>
    <row r="2" spans="1:13" ht="12" customHeight="1" x14ac:dyDescent="0.2">
      <c r="B2" s="2464">
        <f>'Single Audit Cover'!E7</f>
        <v>54092801060</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v>1</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t="s">
        <v>2110</v>
      </c>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Vermilion Assoc for Spec Educ</v>
      </c>
      <c r="C1" s="2485"/>
      <c r="D1" s="2485"/>
      <c r="E1" s="2485"/>
      <c r="F1" s="2485"/>
      <c r="G1" s="2485"/>
      <c r="H1" s="2485"/>
      <c r="I1" s="2485"/>
      <c r="J1" s="2485"/>
      <c r="K1" s="2485"/>
      <c r="L1" s="1449"/>
    </row>
    <row r="2" spans="1:12" ht="12.75" customHeight="1" x14ac:dyDescent="0.2">
      <c r="B2" s="2486">
        <f>'Single Audit Cover'!E7</f>
        <v>54092801060</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t="s">
        <v>2110</v>
      </c>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Vermilion Assoc for Spec Educ</v>
      </c>
      <c r="C1" s="2462"/>
      <c r="D1" s="2462"/>
      <c r="E1" s="1469"/>
    </row>
    <row r="2" spans="2:5" s="1279" customFormat="1" ht="12.75" customHeight="1" x14ac:dyDescent="0.2">
      <c r="B2" s="2464">
        <f>'Single Audit Cover'!E7</f>
        <v>54092801060</v>
      </c>
      <c r="C2" s="2464"/>
      <c r="D2" s="2464"/>
      <c r="E2" s="1470"/>
    </row>
    <row r="3" spans="2:5" ht="12.75" customHeight="1" x14ac:dyDescent="0.2">
      <c r="B3" s="2478" t="s">
        <v>1763</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2110</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metadata/properties"/>
    <ds:schemaRef ds:uri="http://purl.org/dc/terms/"/>
    <ds:schemaRef ds:uri="6ce3111e-7420-4802-b50a-75d4e9a0b980"/>
    <ds:schemaRef ds:uri="http://purl.org/dc/elements/1.1/"/>
    <ds:schemaRef ds:uri="http://schemas.openxmlformats.org/package/2006/metadata/core-properties"/>
    <ds:schemaRef ds:uri="4d435f69-8686-490b-bd6d-b153bf22ab50"/>
    <ds:schemaRef ds:uri="http://purl.org/dc/dcmitype/"/>
    <ds:schemaRef ds:uri="http://schemas.microsoft.com/office/2006/documentManagement/types"/>
    <ds:schemaRef ds:uri="d21dc803-237d-4c68-8692-8d731fd29118"/>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2019-09-25T21:50:36Z</cp:lastPrinted>
  <dcterms:created xsi:type="dcterms:W3CDTF">2003-10-29T19:06:34Z</dcterms:created>
  <dcterms:modified xsi:type="dcterms:W3CDTF">2019-12-23T21:09:27Z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