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58" i="127"/>
  <c r="B59"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J77" i="4" l="1"/>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L16" i="11" l="1"/>
  <c r="B2061" i="106" s="1"/>
  <c r="D2061"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<sst xmlns="http://schemas.openxmlformats.org/spreadsheetml/2006/main" count="5061" uniqueCount="2094">
  <si>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</si>
  <si>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</si>
  <si>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</si>
  <si>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</si>
  <si>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</si>
  <si>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</si>
  <si>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</si>
  <si>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</si>
  <si>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</si>
  <si>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</si>
  <si>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</si>
  <si>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</si>
  <si>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</si>
  <si>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</si>
  <si>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</si>
  <si>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</si>
  <si>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</si>
  <si>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</si>
  <si>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</si>
  <si>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</si>
  <si>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</si>
  <si>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</si>
  <si>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</si>
  <si>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</si>
  <si>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</si>
  <si>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</si>
  <si>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</si>
  <si>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</si>
  <si>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</si>
  <si>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</si>
  <si>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</si>
  <si>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</si>
  <si>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</si>
  <si>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</si>
  <si>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</si>
  <si>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</si>
  <si>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</si>
  <si>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</si>
  <si>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</si>
  <si>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</si>
  <si>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</si>
  <si>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</si>
  <si>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</si>
  <si>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</si>
  <si>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</si>
  <si>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</si>
  <si>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</si>
  <si>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</si>
  <si>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</si>
  <si>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</si>
  <si>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</si>
  <si>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</si>
  <si>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</si>
  <si>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</si>
  <si>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</si>
  <si>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</si>
  <si>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</si>
  <si>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</si>
  <si>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</si>
  <si>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</si>
  <si>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</si>
  <si>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</si>
  <si>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</si>
  <si>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</si>
  <si>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</si>
  <si>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</si>
  <si>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</si>
  <si>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</si>
  <si>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</si>
  <si>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</si>
  <si>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</si>
  <si>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</si>
  <si>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</si>
  <si>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</si>
  <si>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</si>
  <si>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</si>
  <si>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</si>
  <si>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</si>
  <si>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</si>
  <si>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</si>
  <si>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</si>
  <si>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</si>
  <si>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</si>
  <si>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</si>
  <si>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</si>
  <si>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</si>
  <si>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</si>
  <si>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</si>
  <si>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</si>
  <si>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</si>
  <si>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</si>
  <si>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</si>
  <si>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</si>
  <si>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</si>
  <si>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</si>
  <si>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</si>
  <si>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</si>
  <si>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</si>
  <si>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</si>
  <si>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</si>
  <si>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</si>
  <si>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</si>
  <si>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</si>
  <si>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</si>
  <si>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</si>
  <si>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</si>
  <si>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</si>
  <si>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</si>
  <si>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</si>
  <si>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</si>
  <si>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</si>
  <si>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</si>
  <si>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</si>
  <si>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</si>
  <si>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</si>
  <si>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</si>
  <si>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</si>
  <si>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</si>
  <si>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</si>
  <si>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</si>
  <si>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</si>
  <si>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</si>
  <si>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</si>
  <si>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</si>
  <si>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</si>
  <si>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</si>
  <si>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</si>
  <si>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</si>
  <si>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</si>
  <si>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</si>
  <si>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</si>
  <si>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</si>
  <si>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</si>
  <si>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</si>
  <si>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</si>
  <si>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</si>
  <si>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</si>
  <si>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</si>
  <si>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</si>
  <si>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</si>
  <si>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</si>
  <si>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</si>
  <si>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</si>
  <si>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</si>
  <si>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</si>
  <si>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</si>
  <si>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</si>
  <si>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</si>
  <si>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</si>
  <si>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</si>
  <si>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</si>
  <si>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</si>
  <si>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</si>
  <si>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</si>
  <si>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</si>
  <si>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</si>
  <si>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</si>
  <si>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</si>
  <si>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</si>
  <si>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</si>
  <si>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</si>
  <si>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</si>
  <si>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</si>
  <si>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</si>
  <si>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</si>
  <si>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</si>
  <si>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</si>
  <si>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</si>
  <si>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</si>
  <si>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</si>
  <si>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</si>
  <si>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</si>
  <si>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</si>
  <si>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</si>
  <si>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</si>
  <si>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</si>
  <si>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</si>
  <si>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</si>
  <si>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</si>
  <si>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</si>
  <si>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</si>
  <si>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</si>
  <si>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</si>
  <si>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</si>
  <si>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</si>
  <si>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</si>
  <si>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</si>
  <si>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</si>
  <si>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</si>
  <si>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</si>
  <si>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</si>
  <si>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</si>
  <si>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</si>
  <si>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</si>
  <si>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</si>
  <si>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</si>
  <si>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</si>
  <si>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</si>
  <si>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</si>
  <si>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</si>
  <si>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</si>
  <si>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</si>
  <si>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</si>
  <si>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</si>
  <si>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</si>
  <si>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</si>
  <si>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</si>
  <si>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</si>
  <si>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</si>
  <si>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</si>
  <si>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</si>
  <si>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</si>
  <si>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</si>
  <si>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</si>
  <si>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</si>
  <si>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</si>
  <si>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</si>
  <si>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</si>
  <si>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</si>
  <si>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</si>
  <si>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</si>
  <si>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</si>
  <si>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</si>
  <si>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</si>
  <si>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</si>
  <si>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</si>
  <si>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</si>
  <si>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</si>
  <si>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</si>
  <si>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</si>
  <si>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</si>
  <si>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</si>
  <si>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</si>
  <si>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</si>
  <si>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</si>
  <si>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</si>
  <si>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</si>
  <si>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</si>
  <si>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</si>
  <si>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</si>
  <si>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</si>
  <si>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</si>
  <si>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</si>
  <si>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</si>
  <si>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</si>
  <si>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</si>
  <si>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</si>
  <si>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</si>
  <si>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</si>
  <si>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</si>
  <si>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</si>
  <si>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</si>
  <si>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</si>
  <si>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</si>
  <si>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</si>
  <si>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</si>
  <si>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</si>
  <si>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</si>
  <si>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</si>
  <si>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</si>
  <si>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</si>
  <si>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</si>
  <si>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</si>
  <si>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</si>
  <si>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</si>
  <si>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</si>
  <si>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</si>
  <si>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</si>
  <si>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</si>
  <si>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</si>
  <si>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</si>
  <si>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</si>
  <si>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</si>
  <si>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</si>
  <si>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</si>
  <si>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</si>
  <si>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</si>
  <si>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</si>
  <si>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</si>
  <si>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</si>
  <si>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</si>
  <si>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</si>
  <si>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</si>
  <si>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</si>
  <si>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</si>
  <si>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</si>
  <si>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</si>
  <si>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</si>
  <si>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</si>
  <si>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</si>
  <si>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</si>
  <si>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</si>
  <si>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</si>
  <si>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</si>
  <si>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</si>
  <si>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</si>
  <si>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</si>
  <si>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</si>
  <si>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</si>
  <si>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</si>
  <si>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</si>
  <si>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</si>
  <si>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</si>
  <si>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</si>
  <si>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</si>
  <si>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</si>
  <si>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</si>
  <si>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</si>
  <si>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</si>
  <si>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</si>
  <si>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</si>
  <si>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</si>
  <si>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</si>
  <si>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</si>
  <si>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</si>
  <si>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</si>
  <si>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</si>
  <si>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</si>
  <si>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</si>
  <si>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</si>
  <si>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</si>
  <si>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</si>
  <si>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</si>
  <si>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</si>
  <si>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</si>
  <si>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</si>
  <si>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</si>
  <si>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</si>
  <si>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</si>
  <si>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</si>
  <si>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</si>
  <si>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</si>
  <si>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</si>
  <si>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</si>
  <si>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</si>
  <si>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</si>
  <si>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</si>
  <si>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</si>
  <si>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</si>
  <si>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</si>
  <si>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</si>
  <si>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</si>
  <si>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</si>
  <si>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</si>
  <si>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</si>
  <si>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</si>
  <si>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</si>
  <si>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</si>
  <si>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</si>
  <si>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</si>
  <si>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</si>
  <si>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</si>
  <si>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</si>
  <si>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</si>
  <si>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</si>
  <si>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</si>
  <si>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</si>
  <si>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</si>
  <si>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</si>
  <si>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</si>
  <si>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</si>
  <si>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</si>
  <si>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</si>
  <si>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</si>
  <si>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</si>
  <si>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</si>
  <si>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</si>
  <si>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</si>
  <si>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</si>
  <si>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</si>
  <si>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</si>
  <si>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</si>
  <si>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</si>
  <si>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</si>
  <si>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</si>
  <si>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</si>
  <si>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</si>
  <si>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</si>
  <si>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</si>
  <si>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</si>
  <si>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</si>
  <si>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</si>
  <si>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</si>
  <si>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</si>
  <si>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</si>
  <si>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</si>
  <si>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</si>
  <si>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</si>
  <si>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</si>
  <si>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</si>
  <si>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</si>
  <si>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</si>
  <si>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</si>
  <si>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</si>
  <si>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</si>
  <si>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</si>
  <si>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</si>
  <si>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</si>
  <si>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</si>
  <si>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</si>
  <si>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</si>
  <si>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</si>
  <si>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</si>
  <si>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</si>
  <si>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</si>
  <si>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</si>
  <si>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</si>
  <si>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</si>
  <si>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</si>
  <si>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</si>
  <si>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</si>
  <si>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</si>
  <si>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</si>
  <si>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</si>
  <si>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</si>
  <si>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</si>
  <si>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</si>
  <si>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</si>
  <si>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</si>
  <si>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</si>
  <si>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</si>
  <si>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</si>
  <si>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</si>
  <si>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</si>
  <si>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</si>
  <si>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</si>
  <si>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</si>
  <si>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</si>
  <si>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</si>
  <si>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</si>
  <si>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</si>
  <si>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</si>
  <si>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</si>
  <si>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</si>
  <si>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</si>
  <si>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</si>
  <si>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</si>
  <si>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</si>
  <si>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</si>
  <si>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</si>
  <si>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</si>
  <si>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</si>
  <si>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</si>
  <si>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</si>
  <si>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</si>
  <si>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</si>
  <si>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</si>
  <si>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</si>
  <si>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</si>
  <si>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</si>
  <si>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</si>
  <si>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</si>
  <si>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</si>
  <si>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</si>
  <si>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</si>
  <si>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</si>
  <si>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</si>
  <si>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</si>
  <si>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</si>
  <si>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</si>
  <si>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</si>
  <si>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</si>
  <si>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</si>
  <si>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</si>
  <si>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</si>
  <si>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</si>
  <si>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</si>
  <si>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</si>
  <si>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</si>
  <si>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</si>
  <si>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</si>
  <si>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</si>
  <si>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</si>
  <si>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</si>
  <si>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</si>
  <si>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</si>
  <si>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</si>
  <si>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</si>
  <si>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</si>
  <si>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</si>
  <si>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</si>
  <si>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</si>
  <si>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</si>
  <si>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</si>
  <si>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</si>
  <si>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</si>
  <si>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</si>
  <si>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</si>
  <si>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</si>
  <si>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</si>
  <si>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</si>
  <si>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</si>
  <si>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</si>
  <si>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</si>
  <si>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</si>
  <si>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</si>
  <si>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</si>
  <si>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</si>
  <si>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</si>
  <si>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</si>
  <si>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</si>
  <si>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</si>
  <si>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</si>
  <si>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</si>
  <si>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</si>
  <si>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</si>
  <si>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</si>
  <si>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</si>
  <si>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</si>
  <si>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</si>
  <si>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</si>
  <si>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</si>
  <si>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</si>
  <si>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</si>
  <si>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</si>
  <si>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</si>
  <si>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</si>
  <si>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</si>
  <si>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</si>
  <si>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</si>
  <si>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</si>
  <si>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</si>
  <si>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</si>
  <si>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</si>
  <si>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</si>
  <si>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</si>
  <si>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</si>
  <si>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</si>
  <si>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</si>
  <si>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</si>
  <si>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</si>
  <si>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</si>
  <si>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</si>
  <si>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</si>
  <si>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</si>
  <si>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</si>
  <si>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</si>
  <si>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</si>
  <si>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</si>
  <si>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</si>
  <si>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</si>
  <si>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</si>
  <si>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</si>
  <si>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</si>
  <si>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</si>
  <si>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</si>
  <si>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</si>
  <si>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</si>
  <si>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</si>
  <si>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</si>
  <si>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</si>
  <si>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</si>
  <si>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</si>
  <si>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</si>
  <si>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</si>
  <si>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</si>
  <si>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</si>
  <si>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</si>
  <si>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</si>
  <si>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</si>
  <si>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</si>
  <si>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</si>
  <si>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</si>
  <si>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</si>
  <si>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</si>
  <si>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</si>
  <si>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</si>
  <si>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</si>
  <si>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</si>
  <si>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</si>
  <si>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</si>
  <si>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</si>
  <si>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</si>
  <si>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</si>
  <si>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</si>
  <si>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</si>
  <si>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</si>
  <si>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</si>
  <si>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</si>
  <si>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</si>
  <si>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</si>
  <si>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</si>
  <si>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</si>
  <si>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</si>
  <si>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</si>
  <si>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</si>
  <si>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</si>
  <si>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</si>
  <si>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</si>
  <si>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</si>
  <si>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</si>
  <si>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</si>
  <si>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</si>
  <si>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</si>
  <si>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</si>
  <si>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</si>
  <si>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</si>
  <si>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</si>
  <si>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</si>
  <si>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</si>
  <si>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</si>
  <si>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</si>
  <si>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</si>
  <si>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</si>
  <si>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</si>
  <si>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</si>
  <si>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</si>
  <si>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</si>
  <si>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</si>
  <si>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</si>
  <si>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</si>
  <si>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</si>
  <si>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</si>
  <si>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</si>
  <si>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</si>
  <si>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</si>
  <si>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</si>
  <si>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</si>
  <si>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</si>
  <si>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</si>
  <si>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</si>
  <si>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</si>
  <si>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</si>
  <si>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</si>
  <si>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</si>
  <si>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</si>
  <si>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</si>
  <si>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</si>
  <si>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</si>
  <si>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</si>
  <si>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</si>
  <si>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</si>
  <si>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</si>
  <si>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</si>
  <si>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</si>
  <si>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</si>
  <si>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</si>
  <si>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</si>
  <si>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</si>
  <si>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</si>
  <si>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</si>
  <si>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</si>
  <si>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</si>
  <si>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</si>
  <si>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</si>
  <si>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</si>
  <si>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</si>
  <si>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</si>
  <si>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</si>
  <si>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</si>
  <si>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</si>
  <si>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</si>
  <si>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</si>
  <si>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</si>
  <si>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</si>
  <si>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</si>
  <si>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</si>
  <si>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</si>
  <si>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</si>
  <si>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</si>
  <si>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</si>
  <si>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</si>
  <si>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</si>
  <si>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</si>
  <si>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</si>
  <si>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</si>
  <si>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</si>
  <si>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</si>
  <si>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</si>
  <si>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</si>
  <si>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</si>
  <si>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</si>
  <si>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</si>
  <si>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</si>
  <si>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</si>
  <si>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</si>
  <si>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</si>
  <si>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</si>
  <si>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</si>
  <si>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</si>
  <si>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</si>
  <si>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</si>
  <si>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</si>
  <si>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</si>
  <si>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</si>
  <si>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</si>
  <si>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</si>
  <si>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</si>
  <si>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</si>
  <si>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</si>
  <si>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</si>
  <si>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</si>
  <si>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</si>
  <si>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</si>
  <si>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</si>
  <si>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</si>
  <si>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</si>
  <si>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</si>
  <si>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</si>
  <si>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</si>
  <si>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</si>
  <si>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</si>
  <si>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</si>
  <si>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</si>
  <si>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</si>
  <si>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</si>
  <si>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</si>
  <si>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</si>
  <si>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</si>
  <si>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</si>
  <si>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</si>
  <si>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</si>
  <si>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</si>
  <si>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</si>
  <si>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</si>
  <si>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</si>
  <si>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</si>
  <si>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</si>
  <si>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</si>
  <si>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</si>
  <si>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</si>
  <si>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</si>
  <si>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</si>
  <si>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</si>
  <si>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</si>
  <si>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</si>
  <si>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</si>
  <si>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</si>
  <si>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</si>
  <si>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</si>
  <si>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</si>
  <si>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</si>
  <si>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</si>
  <si>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</si>
  <si>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</si>
  <si>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</si>
  <si>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</si>
  <si>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</si>
  <si>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</si>
  <si>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</si>
  <si>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</si>
  <si>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</si>
  <si>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</si>
  <si>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</si>
  <si>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</si>
  <si>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</si>
  <si>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</si>
  <si>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</si>
  <si>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</si>
  <si>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</si>
  <si>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</si>
  <si>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</si>
  <si>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</si>
  <si>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</si>
  <si>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</si>
  <si>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</si>
  <si>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</si>
  <si>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</si>
  <si>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</si>
  <si>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</si>
  <si>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</si>
  <si>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</si>
  <si>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</si>
  <si>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</si>
  <si>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</si>
  <si>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</si>
  <si>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</si>
  <si>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</si>
  <si>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</si>
  <si>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</si>
  <si>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</si>
  <si>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</si>
  <si>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</si>
  <si>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</si>
  <si>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</si>
  <si>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</si>
  <si>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</si>
  <si>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</si>
  <si>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</si>
  <si>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</si>
  <si>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</si>
  <si>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</si>
  <si>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</si>
  <si>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</si>
  <si>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</si>
  <si>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</si>
  <si>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</si>
  <si>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</si>
  <si>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</si>
  <si>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</si>
  <si>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</si>
  <si>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</si>
  <si>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</si>
  <si>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</si>
  <si>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</si>
  <si>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</si>
  <si>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</si>
  <si>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</si>
  <si>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</si>
  <si>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</si>
  <si>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</si>
  <si>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</si>
  <si>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</si>
  <si>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</si>
  <si>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</si>
  <si>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</si>
  <si>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</si>
  <si>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</si>
  <si>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</si>
  <si>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</si>
  <si>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</si>
  <si>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</si>
  <si>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</si>
  <si>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</si>
  <si>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</si>
  <si>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</si>
  <si>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</si>
  <si>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</si>
  <si>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</si>
  <si>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</si>
  <si>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</si>
  <si>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</si>
  <si>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</si>
  <si>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</si>
  <si>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</si>
  <si>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</si>
  <si>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</si>
  <si>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</si>
  <si>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</si>
  <si>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</si>
  <si>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</si>
  <si>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</si>
  <si>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</si>
  <si>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</si>
  <si>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</si>
  <si>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</si>
  <si>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</si>
  <si>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</si>
  <si>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</si>
  <si>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</si>
  <si>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</si>
  <si>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</si>
  <si>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</si>
  <si>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</si>
  <si>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</si>
  <si>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</si>
  <si>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</si>
  <si>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</si>
  <si>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</si>
  <si>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</si>
  <si>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</si>
  <si>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</si>
  <si>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</si>
  <si>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</si>
  <si>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</si>
  <si>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</si>
  <si>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</si>
  <si>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</si>
  <si>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</si>
  <si>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</si>
  <si>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</si>
  <si>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</si>
  <si>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</si>
  <si>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</si>
  <si>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</si>
  <si>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</si>
  <si>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</si>
  <si>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</si>
  <si>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</si>
  <si>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</si>
  <si>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</si>
  <si>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</si>
  <si>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</si>
  <si>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</si>
  <si>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</si>
  <si>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</si>
  <si>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</si>
  <si>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</si>
  <si>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</si>
  <si>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</si>
  <si>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</si>
  <si>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</si>
  <si>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</si>
  <si>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</si>
  <si>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</si>
  <si>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</si>
  <si>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</si>
  <si>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</si>
  <si>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</si>
  <si>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</si>
  <si>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</si>
  <si>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</si>
  <si>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</si>
  <si>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</si>
  <si>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</si>
  <si>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</si>
  <si>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</si>
  <si>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</si>
  <si>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</si>
  <si>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</si>
  <si>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</si>
  <si>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</si>
  <si>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</si>
  <si>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</si>
  <si>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</si>
  <si>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</si>
  <si>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</si>
  <si>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</si>
  <si>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</si>
  <si>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</si>
  <si>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</si>
  <si>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</si>
  <si>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</si>
  <si>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</si>
  <si>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</si>
  <si>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</si>
  <si>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</si>
  <si>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</si>
  <si>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</si>
  <si>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</si>
  <si>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</si>
  <si>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</si>
  <si>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</si>
  <si>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</si>
  <si>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</si>
  <si>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</si>
  <si>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</si>
  <si>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</si>
  <si>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</si>
  <si>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</si>
  <si>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</si>
  <si>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</si>
  <si>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</si>
  <si>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</si>
  <si>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</si>
  <si>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</si>
  <si>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</si>
  <si>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</si>
  <si>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</si>
  <si>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</si>
  <si>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</si>
  <si>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</si>
  <si>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</si>
  <si>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</si>
  <si>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</si>
  <si>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</si>
  <si>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</si>
  <si>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</si>
  <si>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</si>
  <si>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</si>
  <si>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</si>
  <si>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</si>
  <si>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</si>
  <si>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</si>
  <si>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</si>
  <si>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</si>
  <si>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</si>
  <si>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</si>
  <si>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</si>
  <si>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</si>
  <si>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</si>
  <si>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</si>
  <si>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</si>
  <si>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</si>
  <si>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</si>
  <si>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</si>
  <si>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</si>
  <si>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</si>
  <si>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</si>
  <si>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</si>
  <si>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</si>
  <si>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</si>
  <si>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</si>
  <si>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</si>
  <si>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</si>
  <si>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</si>
  <si>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</si>
  <si>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</si>
  <si>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</si>
  <si>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</si>
  <si>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</si>
  <si>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</si>
  <si>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</si>
  <si>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</si>
  <si>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</si>
  <si>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</si>
  <si>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</si>
  <si>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</si>
  <si>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</si>
  <si>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</si>
  <si>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</si>
  <si>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</si>
  <si>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</si>
  <si>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</si>
  <si>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</si>
  <si>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</si>
  <si>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</si>
  <si>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</si>
  <si>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</si>
  <si>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</si>
  <si>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</si>
  <si>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</si>
  <si>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</si>
  <si>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</si>
  <si>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</si>
  <si>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</si>
  <si>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</si>
  <si>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</si>
  <si>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</si>
  <si>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</si>
  <si>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</si>
  <si>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</si>
  <si>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</si>
  <si>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</si>
  <si>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</si>
  <si>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</si>
  <si>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</si>
  <si>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</si>
  <si>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</si>
  <si>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</si>
  <si>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</si>
  <si>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</si>
  <si>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</si>
  <si>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</si>
  <si>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</si>
  <si>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</si>
  <si>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</si>
  <si>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</si>
  <si>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</si>
  <si>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</si>
  <si>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</si>
  <si>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</si>
  <si>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</si>
  <si>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</si>
  <si>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</si>
  <si>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</si>
  <si>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</si>
  <si>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</si>
  <si>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</si>
  <si>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</si>
  <si>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</si>
  <si>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</si>
  <si>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</si>
  <si>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</si>
  <si>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</si>
  <si>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</si>
  <si>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</si>
  <si>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</si>
  <si>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</si>
  <si>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</si>
  <si>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</si>
  <si>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</si>
  <si>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</si>
  <si>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</si>
  <si>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</si>
  <si>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</si>
  <si>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</si>
  <si>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</si>
  <si>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</si>
  <si>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</si>
  <si>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</si>
  <si>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</si>
  <si>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</si>
  <si>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</si>
  <si>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</si>
  <si>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</si>
  <si>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</si>
  <si>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</si>
  <si>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</si>
  <si>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</si>
  <si>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</si>
  <si>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</si>
  <si>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</si>
  <si>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</si>
  <si>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</si>
  <si>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</si>
  <si>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</si>
  <si>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</si>
  <si>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</si>
  <si>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</si>
  <si>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</si>
  <si>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</si>
  <si>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</si>
  <si>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</si>
  <si>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</si>
  <si>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</si>
  <si>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</si>
  <si>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</si>
  <si>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</si>
  <si>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</si>
  <si>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</si>
  <si>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</si>
  <si>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</si>
  <si>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</si>
  <si>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</si>
  <si>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</si>
  <si>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</si>
  <si>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</si>
  <si>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</si>
  <si>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</si>
  <si>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</si>
  <si>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</si>
  <si>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</si>
  <si>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</si>
  <si>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</si>
  <si>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</si>
  <si>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</si>
  <si>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</si>
  <si>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</si>
  <si>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</si>
  <si>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</si>
  <si>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</si>
  <si>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</si>
  <si>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</si>
  <si>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</si>
  <si>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</si>
  <si>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</si>
  <si>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</si>
  <si>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</si>
  <si>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</si>
  <si>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</si>
  <si>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</si>
  <si>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</si>
  <si>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</si>
  <si>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</si>
  <si>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</si>
  <si>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</si>
  <si>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</si>
  <si>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</si>
  <si>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</si>
  <si>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</si>
  <si>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</si>
  <si>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</si>
  <si>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</si>
  <si>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</si>
  <si>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</si>
  <si>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</si>
  <si>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</si>
  <si>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</si>
  <si>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</si>
  <si>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</si>
  <si>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</si>
  <si>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</si>
  <si>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</si>
  <si>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</si>
  <si>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</si>
  <si>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</si>
  <si>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</si>
  <si>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</si>
  <si>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</si>
  <si>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</si>
  <si>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</si>
  <si>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</si>
  <si>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</si>
  <si>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</si>
  <si>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</si>
  <si>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</si>
  <si>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</si>
  <si>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</si>
  <si>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</si>
  <si>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</si>
  <si>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</si>
  <si>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</si>
  <si>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</si>
  <si>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</si>
  <si>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</si>
  <si>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</si>
  <si>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</si>
  <si>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</si>
  <si>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</si>
  <si>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</si>
  <si>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</si>
  <si>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</si>
  <si>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</si>
  <si>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</si>
  <si>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</si>
  <si>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</si>
  <si>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</si>
  <si>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</si>
  <si>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</si>
  <si>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</si>
  <si>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</si>
  <si>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</si>
  <si>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</si>
  <si>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</si>
  <si>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</si>
  <si>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</si>
  <si>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</si>
  <si>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</si>
  <si>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</si>
  <si>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</si>
  <si>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</si>
  <si>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</si>
  <si>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</si>
  <si>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</si>
  <si>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</si>
  <si>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</si>
  <si>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</si>
  <si>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</si>
  <si>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</si>
  <si>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</si>
  <si>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</si>
  <si>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</si>
  <si>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</si>
  <si>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</si>
  <si>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</si>
  <si>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</si>
  <si>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</si>
  <si>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</si>
  <si>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</si>
  <si>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</si>
  <si>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</si>
  <si>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</si>
  <si>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</si>
  <si>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</si>
  <si>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</si>
  <si>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</si>
  <si>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</si>
  <si>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</si>
  <si>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</si>
  <si>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</si>
  <si>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</si>
  <si>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</si>
  <si>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</si>
  <si>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</si>
  <si>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</si>
  <si>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</si>
  <si>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</si>
  <si>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</si>
  <si>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</si>
  <si>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</si>
  <si>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</si>
  <si>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</si>
  <si>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</si>
  <si>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</si>
  <si>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</si>
  <si>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</si>
  <si>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</si>
  <si>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</si>
  <si>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</si>
  <si>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</si>
  <si>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</si>
  <si>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</si>
  <si>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</si>
  <si>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</si>
  <si>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</si>
  <si>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</si>
  <si>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</si>
  <si>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</si>
  <si>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</si>
  <si>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</si>
  <si>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</si>
  <si>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</si>
  <si>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</si>
  <si>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</si>
  <si>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</si>
  <si>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</si>
  <si>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</si>
  <si>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</si>
  <si>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</si>
  <si>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</si>
  <si>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</si>
  <si>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</si>
  <si>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</si>
  <si>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</si>
  <si>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</si>
  <si>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</si>
  <si>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</si>
  <si>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</si>
  <si>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</si>
  <si>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</si>
  <si>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</si>
  <si>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</si>
  <si>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</si>
  <si>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</si>
  <si>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</si>
  <si>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</si>
  <si>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</si>
  <si>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</si>
  <si>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</si>
  <si>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</si>
  <si>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</si>
  <si>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</si>
  <si>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</si>
  <si>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</si>
  <si>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</si>
  <si>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</si>
  <si>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</si>
  <si>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</si>
  <si>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</si>
  <si>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</si>
  <si>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</si>
  <si>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</si>
  <si>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</si>
  <si>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</si>
  <si>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</si>
  <si>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</si>
  <si>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</si>
  <si>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</si>
  <si>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</si>
  <si>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</si>
  <si>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</si>
  <si>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</si>
  <si>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</si>
  <si>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</si>
  <si>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</si>
  <si>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</si>
  <si>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</si>
  <si>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</si>
  <si>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</si>
  <si>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</si>
  <si>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</si>
  <si>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</si>
  <si>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</si>
  <si>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</si>
  <si>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</si>
  <si>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</si>
  <si>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</si>
  <si>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</si>
  <si>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</si>
  <si>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</si>
  <si>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</si>
  <si>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</si>
  <si>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</si>
  <si>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</si>
  <si>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</si>
  <si>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</si>
  <si>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</si>
  <si>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</si>
  <si>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</si>
  <si>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</si>
  <si>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</si>
  <si>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</si>
  <si>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</si>
  <si>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</si>
  <si>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</si>
  <si>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</si>
  <si>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</si>
  <si>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</si>
  <si>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</si>
  <si>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</si>
  <si>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</si>
  <si>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</si>
  <si>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</si>
  <si>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</si>
  <si>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</si>
  <si>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</si>
  <si>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</si>
  <si>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</si>
  <si>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</si>
  <si>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</si>
  <si>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</si>
  <si>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</si>
  <si>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</si>
  <si>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</si>
  <si>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</si>
  <si>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</si>
  <si>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</si>
  <si>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</si>
  <si>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</si>
  <si>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</si>
  <si>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</si>
  <si>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</si>
  <si>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</si>
  <si>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</si>
  <si>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</si>
  <si>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</si>
  <si>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</si>
  <si>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</si>
  <si>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</si>
  <si>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</si>
  <si>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</si>
  <si>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</si>
  <si>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</si>
  <si>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</si>
  <si>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</si>
  <si>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</si>
  <si>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</si>
  <si>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</si>
  <si>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</si>
  <si>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</si>
  <si>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</si>
  <si>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</si>
  <si>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</si>
  <si>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</si>
  <si>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</si>
  <si>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</si>
  <si>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</si>
  <si>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</si>
  <si>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</si>
  <si>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</si>
  <si>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</si>
  <si>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</si>
  <si>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</si>
  <si>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</si>
  <si>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</si>
  <si>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</si>
  <si>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</si>
  <si>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</si>
  <si>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</si>
  <si>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</si>
  <si>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</si>
  <si>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</si>
  <si>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</si>
  <si>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</si>
  <si>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</si>
  <si>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</si>
  <si>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</si>
  <si>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</si>
  <si>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</si>
  <si>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</si>
  <si>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</si>
  <si>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</si>
  <si>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</si>
  <si>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</si>
  <si>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</si>
  <si>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</si>
  <si>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</si>
  <si>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</si>
  <si>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</si>
  <si>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</si>
  <si>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</si>
  <si>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</si>
  <si>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</si>
  <si>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</si>
  <si>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</si>
  <si>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</si>
  <si>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</si>
  <si>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</si>
  <si>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</si>
  <si>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</si>
  <si>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</si>
  <si>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</si>
  <si>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</si>
  <si>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</si>
  <si>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</si>
  <si>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</si>
  <si>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</si>
  <si>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</si>
  <si>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</si>
  <si>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</si>
  <si>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</si>
  <si>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</si>
  <si>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</si>
  <si>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</si>
  <si>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</si>
  <si>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</si>
  <si>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</si>
  <si>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</si>
  <si>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</si>
  <si>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</si>
  <si>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</si>
  <si>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</si>
  <si>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</si>
  <si>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</si>
  <si>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</si>
  <si>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</si>
  <si>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</si>
  <si>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</si>
  <si>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</si>
  <si>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</si>
  <si>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</si>
  <si>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</si>
  <si>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</si>
  <si>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</si>
  <si>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</si>
  <si>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</si>
  <si>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</si>
  <si>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</si>
  <si>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</si>
  <si>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</si>
  <si>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</si>
  <si>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</si>
  <si>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</si>
  <si>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</si>
  <si>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</si>
  <si>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</si>
  <si>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</si>
  <si>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</si>
  <si>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</si>
  <si>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</si>
  <si>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</si>
  <si>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</si>
  <si>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</si>
  <si>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</si>
  <si>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</si>
  <si>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</si>
  <si>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</si>
  <si>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</si>
  <si>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</si>
  <si>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</si>
  <si>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</si>
  <si>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</si>
  <si>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</si>
  <si>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</si>
  <si>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</si>
  <si>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</si>
  <si>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</si>
  <si>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</si>
  <si>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</si>
  <si>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</si>
  <si>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</si>
  <si>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</si>
  <si>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</si>
  <si>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</si>
  <si>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</si>
  <si>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</si>
  <si>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</si>
  <si>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</si>
  <si>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</si>
  <si>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</si>
  <si>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</si>
  <si>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</si>
  <si>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</si>
  <si>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</si>
  <si>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</si>
  <si>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</si>
  <si>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</si>
  <si>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</si>
  <si>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</si>
  <si>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</si>
  <si>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</si>
  <si>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</si>
  <si>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</si>
  <si>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</si>
  <si>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</si>
  <si>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</si>
  <si>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</si>
  <si>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</si>
  <si>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</si>
  <si>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</si>
  <si>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</si>
  <si>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</si>
  <si>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</si>
  <si>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</si>
  <si>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</si>
  <si>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</si>
  <si>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</si>
  <si>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</si>
  <si>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</si>
  <si>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</si>
  <si>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</si>
  <si>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</si>
  <si>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</si>
  <si>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</si>
  <si>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</si>
  <si>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</si>
  <si>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</si>
  <si>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</si>
  <si>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</si>
  <si>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</si>
  <si>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</si>
  <si>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</si>
  <si>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</si>
  <si>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</si>
  <si>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</si>
  <si>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</si>
  <si>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</si>
  <si>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</si>
  <si>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</si>
  <si>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</si>
  <si>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</si>
  <si>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</si>
  <si>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</si>
  <si>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</si>
  <si>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</si>
  <si>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</si>
  <si>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</si>
  <si>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</si>
  <si>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</si>
  <si>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</si>
  <si>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</si>
  <si>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</si>
  <si>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</si>
  <si>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</si>
  <si>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</si>
  <si>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</si>
  <si>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</si>
  <si>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</si>
  <si>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</si>
  <si>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</si>
  <si>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</si>
  <si>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</si>
  <si>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</si>
  <si>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</si>
  <si>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</si>
  <si>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</si>
  <si>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</si>
  <si>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</si>
  <si>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</si>
  <si>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</si>
  <si>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</si>
  <si>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</si>
  <si>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</si>
  <si>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</si>
  <si>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</si>
  <si>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</si>
  <si>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</si>
  <si>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</si>
  <si>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</si>
  <si>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</si>
  <si>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</si>
  <si>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</si>
  <si>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</si>
  <si>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</si>
  <si>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</si>
  <si>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</si>
  <si>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</si>
  <si>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</si>
  <si>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</si>
  <si>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</si>
  <si>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</si>
  <si>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</si>
  <si>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</si>
  <si>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</si>
  <si>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</si>
  <si>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</si>
  <si>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</si>
  <si>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</si>
  <si>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</si>
  <si>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</si>
  <si>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</si>
  <si>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</si>
  <si>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</si>
  <si>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</si>
  <si>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</si>
  <si>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</si>
  <si>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</si>
  <si>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</si>
  <si>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</si>
  <si>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</si>
  <si>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</si>
  <si>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</si>
  <si>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</si>
  <si>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</si>
  <si>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</si>
  <si>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</si>
  <si>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</si>
  <si>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</si>
  <si>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</si>
  <si>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</si>
  <si>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</si>
  <si>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</si>
  <si>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</si>
  <si>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</si>
  <si>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</si>
  <si>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</si>
  <si>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</si>
  <si>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</si>
  <si>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</si>
  <si>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</si>
  <si>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</si>
  <si>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</si>
  <si>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</si>
  <si>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</si>
  <si>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</si>
  <si>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</si>
  <si>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</si>
  <si>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</si>
  <si>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</si>
  <si>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</si>
  <si>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</si>
  <si>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</si>
  <si>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</si>
  <si>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</si>
  <si>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</si>
  <si>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</si>
  <si>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</si>
  <si>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</si>
  <si>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</si>
  <si>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</si>
  <si>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</si>
  <si>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</si>
  <si>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</si>
  <si>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</si>
  <si>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</si>
  <si>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</si>
  <si>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</si>
  <si>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</si>
  <si>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</si>
  <si>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</si>
  <si>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</si>
  <si>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</si>
  <si>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</si>
  <si>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</si>
  <si>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</si>
  <si>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</si>
  <si>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</si>
  <si>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</si>
  <si>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</si>
  <si>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</si>
  <si>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</si>
  <si>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</si>
  <si>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</si>
  <si>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</si>
  <si>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</si>
  <si>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</si>
  <si>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</si>
  <si>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</si>
  <si>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</si>
  <si>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</si>
  <si>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</si>
  <si>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</si>
  <si>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</si>
  <si>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</si>
  <si>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</si>
  <si>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</si>
  <si>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</si>
  <si>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</si>
  <si>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</si>
  <si>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</si>
  <si>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</si>
  <si>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</si>
  <si>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</si>
  <si>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</si>
  <si>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</si>
  <si>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</si>
  <si>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</si>
  <si>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</si>
  <si>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</si>
  <si>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</si>
  <si>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</si>
  <si>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</si>
  <si>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</si>
  <si>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</si>
  <si>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</si>
  <si>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</si>
  <si>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</si>
  <si>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</si>
  <si>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</si>
  <si>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</si>
  <si>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</si>
  <si>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</si>
  <si>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</si>
  <si>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</si>
  <si>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</si>
  <si>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</si>
  <si>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</si>
  <si>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</si>
  <si>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</si>
  <si>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</si>
  <si>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</si>
  <si>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</si>
  <si>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</si>
  <si>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</si>
  <si>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</si>
  <si>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</si>
  <si>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</si>
  <si>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</si>
  <si>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</si>
  <si>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</si>
  <si>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</si>
  <si>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</si>
  <si>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</si>
  <si>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</si>
  <si>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</si>
  <si>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</si>
  <si>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</si>
  <si>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</si>
  <si>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</si>
  <si>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</si>
  <si>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</si>
  <si>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</si>
  <si>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</si>
  <si>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</si>
  <si>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</si>
  <si>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</si>
  <si>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</si>
  <si>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</si>
  <si>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</si>
  <si>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</si>
  <si>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</si>
  <si>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</si>
  <si>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</si>
  <si>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</si>
  <si>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</si>
  <si>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</si>
  <si>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</si>
  <si>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</si>
  <si>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</si>
  <si>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</si>
  <si>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</si>
  <si>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</si>
  <si>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</si>
  <si>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</si>
  <si>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</si>
  <si>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</si>
  <si>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</si>
  <si>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</si>
  <si>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</si>
  <si>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</si>
  <si>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</si>
  <si>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</si>
  <si>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</si>
  <si>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</si>
  <si>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</si>
  <si>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</si>
  <si>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</si>
  <si>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</si>
  <si>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</si>
  <si>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</si>
  <si>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</si>
  <si>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</si>
  <si>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</si>
  <si>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</si>
  <si>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</si>
  <si>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</si>
  <si>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</si>
  <si>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</si>
  <si>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</si>
  <si>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</si>
  <si>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</si>
  <si>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</si>
  <si>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</si>
  <si>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</si>
  <si>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</si>
  <si>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</si>
  <si>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</si>
  <si>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</si>
  <si>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</si>
  <si>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</si>
  <si>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</si>
  <si>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</si>
  <si>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</si>
  <si>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</si>
  <si>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</si>
  <si>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</si>
  <si>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</si>
  <si>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</si>
  <si>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</si>
  <si>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</si>
  <si>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</si>
  <si>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</si>
  <si>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</si>
  <si>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</si>
  <si>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</si>
  <si>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</si>
  <si>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</si>
  <si>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</si>
  <si>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</si>
  <si>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</si>
  <si>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</si>
  <si>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</si>
  <si>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</si>
  <si>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</si>
  <si>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</si>
  <si>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</si>
  <si>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</si>
  <si>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</si>
  <si>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</si>
  <si>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</si>
  <si>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</si>
  <si>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</si>
  <si>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</si>
  <si>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</si>
  <si>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</si>
  <si>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</si>
  <si>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</si>
  <si>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</si>
  <si>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</si>
  <si>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</si>
  <si>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</si>
  <si>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</si>
  <si>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</si>
  <si>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</si>
  <si>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</si>
  <si>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</si>
  <si>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</si>
  <si>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</si>
  <si>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</si>
  <si>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</si>
  <si>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</si>
  <si>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</si>
  <si>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</si>
  <si>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</si>
  <si>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</si>
  <si>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</si>
  <si>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</si>
  <si>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</si>
  <si>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</si>
  <si>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</si>
  <si>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</si>
  <si>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</si>
  <si>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</si>
  <si>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</si>
  <si>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</si>
  <si>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</si>
  <si>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</si>
  <si>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</si>
  <si>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</si>
  <si>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</si>
  <si>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</si>
  <si>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</si>
  <si>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</si>
  <si>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</si>
  <si>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</si>
  <si>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</si>
  <si>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</si>
  <si>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</si>
  <si>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</si>
  <si>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</si>
  <si>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</si>
  <si>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</si>
  <si>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</si>
  <si>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</si>
  <si>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</si>
  <si>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</si>
  <si>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</si>
  <si>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</si>
  <si>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</si>
  <si>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</si>
  <si>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</si>
  <si>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</si>
  <si>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</si>
  <si>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</si>
  <si>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</si>
  <si>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</si>
  <si>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</si>
  <si>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</si>
  <si>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</si>
  <si>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</si>
  <si>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</si>
  <si>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</si>
  <si>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</si>
  <si>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</si>
  <si>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</si>
  <si>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</si>
  <si>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</si>
  <si>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</si>
  <si>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</si>
  <si>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</si>
  <si>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</si>
  <si>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</si>
  <si>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</si>
  <si>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</si>
  <si>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</si>
  <si>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</si>
  <si>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</si>
  <si>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</si>
  <si>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</si>
  <si>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</si>
  <si>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</si>
  <si>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</si>
  <si>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</si>
  <si>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</si>
  <si>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</si>
  <si>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</si>
  <si>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</si>
  <si>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</si>
  <si>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</si>
  <si>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</si>
  <si>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</si>
  <si>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</si>
  <si>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</si>
  <si>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</si>
  <si>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</si>
  <si>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</si>
  <si>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</si>
  <si>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</si>
  <si>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</si>
  <si>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</si>
  <si>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</si>
  <si>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</si>
  <si>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</si>
  <si>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</si>
  <si>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</si>
  <si>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</si>
  <si>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</si>
  <si>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</si>
  <si>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</si>
  <si>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</si>
  <si>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</si>
  <si>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</si>
  <si>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</si>
  <si>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</si>
  <si>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</si>
  <si>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</si>
  <si>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</si>
  <si>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</si>
  <si>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</si>
  <si>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</si>
  <si>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</si>
  <si>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</si>
  <si>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</si>
  <si>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</si>
  <si>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</si>
  <si>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</si>
  <si>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</si>
  <si>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</si>
  <si>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</si>
  <si>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</si>
  <si>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</si>
  <si>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</si>
  <si>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</si>
  <si>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</si>
  <si>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</si>
  <si>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</si>
  <si>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</si>
  <si>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</si>
  <si>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</si>
  <si>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</si>
  <si>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</si>
  <si>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</si>
  <si>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</si>
  <si>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</si>
  <si>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</si>
  <si>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</si>
  <si>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</si>
  <si>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</si>
  <si>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</si>
  <si>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</si>
  <si>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</si>
  <si>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</si>
  <si>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</si>
  <si>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</si>
  <si>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</si>
  <si>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</si>
  <si>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</si>
  <si>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</si>
  <si>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</si>
  <si>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</si>
  <si>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</si>
  <si>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</si>
  <si>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</si>
  <si>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</si>
  <si>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</si>
  <si>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</si>
  <si>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</si>
  <si>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</si>
  <si>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</si>
  <si>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</si>
  <si>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</si>
  <si>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</si>
  <si>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</si>
  <si>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</si>
  <si>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</si>
  <si>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</si>
  <si>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</si>
  <si>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</si>
  <si>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</si>
  <si>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</si>
  <si>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</si>
  <si>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</si>
  <si>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</si>
  <si>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</si>
  <si>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</si>
  <si>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</si>
  <si>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</si>
  <si>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</si>
  <si>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</si>
  <si>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</si>
  <si>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</si>
  <si>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</si>
  <si>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</si>
  <si>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</si>
  <si>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</si>
  <si>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</si>
  <si>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</si>
  <si>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</si>
  <si>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</si>
  <si>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</si>
  <si>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</si>
  <si>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</si>
  <si>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</si>
  <si>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</si>
  <si>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</si>
  <si>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</si>
  <si>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</si>
  <si>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</si>
  <si>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</si>
  <si>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</si>
  <si>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</si>
  <si>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</si>
  <si>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</si>
  <si>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</si>
  <si>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</si>
  <si>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VERMILION</t>
  </si>
  <si>
    <t>17268 E 2750 NORTH RD</t>
  </si>
  <si>
    <t>BISMARCK</t>
  </si>
  <si>
    <t>Scott Watson</t>
  </si>
  <si>
    <t>watsons@bismarck.k12.il.us</t>
  </si>
  <si>
    <t>217-759-7291</t>
  </si>
  <si>
    <t>Page 2 - Auditor's Questionnaire</t>
  </si>
  <si>
    <t>#20 - Other Findings</t>
  </si>
  <si>
    <t>Co-op did not budget for on-behalf payments</t>
  </si>
  <si>
    <t>Administrative/Teacher salaries were not present on the Co-ops website</t>
  </si>
  <si>
    <t>Several Activity Funds present that did not directly benefit the students</t>
  </si>
  <si>
    <t>No applicable contracts</t>
  </si>
  <si>
    <t>Vermilion Association for Special Education</t>
  </si>
  <si>
    <t>Page 10 - Acct #1999 - Other Local Revenue</t>
  </si>
  <si>
    <t>Col 10 - Educational</t>
  </si>
  <si>
    <t>Refunds &amp; Reimbursements - $106,148</t>
  </si>
  <si>
    <t>Miscellaneous Income - $4,100</t>
  </si>
  <si>
    <t>Bismarck Henning Rossville Alvin Coop 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</si>
</sst>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zoomScaleSheetLayoutView="5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405</v>
      </c>
      <c r="J1" s="1985"/>
      <c r="K1" s="1985"/>
      <c r="L1" s="1985"/>
      <c r="M1" s="1985"/>
      <c r="N1" s="1985"/>
      <c r="O1" s="1985"/>
      <c r="P1" s="1985"/>
      <c r="Q1" s="1985"/>
      <c r="R1" s="1985"/>
      <c r="S1" s="1985"/>
    </row>
    <row r="2" spans="1:28" ht="12" customHeight="1" x14ac:dyDescent="0.2">
      <c r="A2" s="47" t="s">
        <v>1991</v>
      </c>
      <c r="D2" s="48"/>
      <c r="I2" s="1986" t="s">
        <v>979</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c r="C5" s="26" t="s">
        <v>910</v>
      </c>
      <c r="D5" s="84"/>
      <c r="E5" s="84"/>
      <c r="H5" s="38"/>
      <c r="I5" s="1994" t="s">
        <v>680</v>
      </c>
      <c r="J5" s="1993"/>
      <c r="K5" s="1993"/>
      <c r="L5" s="1993"/>
      <c r="M5" s="1993"/>
      <c r="N5" s="1993"/>
      <c r="O5" s="1993"/>
      <c r="P5" s="1993"/>
      <c r="Q5" s="1993"/>
      <c r="R5" s="1993"/>
      <c r="S5" s="1993"/>
    </row>
    <row r="6" spans="1:28" ht="14.1" customHeight="1" x14ac:dyDescent="0.2">
      <c r="B6" s="104" t="s">
        <v>2073</v>
      </c>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2073</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54092800080</v>
      </c>
      <c r="B13" s="2020"/>
      <c r="C13" s="2020"/>
      <c r="D13" s="2020"/>
      <c r="E13" s="2020"/>
      <c r="F13" s="2020"/>
      <c r="G13" s="2020"/>
      <c r="H13" s="2021"/>
      <c r="I13" s="31"/>
      <c r="J13" s="30"/>
      <c r="K13" s="28"/>
      <c r="L13" s="30"/>
      <c r="M13" s="30"/>
      <c r="N13" s="30"/>
      <c r="O13" s="30"/>
      <c r="P13" s="30"/>
      <c r="Q13" s="30"/>
      <c r="R13" s="30"/>
      <c r="S13" s="30"/>
      <c r="T13" s="2024" t="s">
        <v>2065</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2076</v>
      </c>
      <c r="B15" s="2022"/>
      <c r="C15" s="2022"/>
      <c r="D15" s="2022"/>
      <c r="E15" s="2022"/>
      <c r="F15" s="2022"/>
      <c r="G15" s="2022"/>
      <c r="H15" s="2023"/>
      <c r="T15" s="2028" t="s">
        <v>2066</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2093</v>
      </c>
      <c r="B17" s="1979"/>
      <c r="C17" s="1979"/>
      <c r="D17" s="1979"/>
      <c r="E17" s="1979"/>
      <c r="F17" s="1979"/>
      <c r="G17" s="1979"/>
      <c r="H17" s="2004"/>
      <c r="T17" s="2035" t="s">
        <v>2067</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2077</v>
      </c>
      <c r="B19" s="1964"/>
      <c r="C19" s="1964"/>
      <c r="D19" s="1964"/>
      <c r="E19" s="1964"/>
      <c r="F19" s="1964"/>
      <c r="G19" s="1964"/>
      <c r="H19" s="1944"/>
      <c r="I19" s="30"/>
      <c r="J19" s="99"/>
      <c r="K19" s="40"/>
      <c r="L19" s="38"/>
      <c r="M19" s="112" t="s">
        <v>315</v>
      </c>
      <c r="P19" s="27"/>
      <c r="Q19" s="27"/>
      <c r="R19" s="27"/>
      <c r="S19" s="31"/>
      <c r="T19" s="2018" t="s">
        <v>2068</v>
      </c>
      <c r="U19" s="1943"/>
      <c r="V19" s="1943"/>
      <c r="W19" s="1944"/>
      <c r="X19" s="2033" t="s">
        <v>2069</v>
      </c>
      <c r="Y19" s="2034"/>
      <c r="Z19" s="2031">
        <v>60942</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2078</v>
      </c>
      <c r="B21" s="1943"/>
      <c r="C21" s="1943"/>
      <c r="D21" s="1943"/>
      <c r="E21" s="1943"/>
      <c r="F21" s="1943"/>
      <c r="G21" s="1943"/>
      <c r="H21" s="1944"/>
      <c r="I21" s="1998" t="s">
        <v>678</v>
      </c>
      <c r="J21" s="1993"/>
      <c r="K21" s="1993"/>
      <c r="L21" s="1993"/>
      <c r="M21" s="1993"/>
      <c r="N21" s="1993"/>
      <c r="O21" s="1993"/>
      <c r="P21" s="1993"/>
      <c r="Q21" s="1993"/>
      <c r="R21" s="1993"/>
      <c r="S21" s="1999"/>
      <c r="T21" s="2043" t="s">
        <v>2070</v>
      </c>
      <c r="U21" s="2044"/>
      <c r="V21" s="2044"/>
      <c r="W21" s="2044"/>
      <c r="X21" s="2049" t="s">
        <v>2071</v>
      </c>
      <c r="Y21" s="2050"/>
      <c r="Z21" s="2050"/>
      <c r="AA21" s="2051"/>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c r="B23" s="1996"/>
      <c r="C23" s="1996"/>
      <c r="D23" s="1996"/>
      <c r="E23" s="1996"/>
      <c r="F23" s="1996"/>
      <c r="G23" s="1996"/>
      <c r="H23" s="1997"/>
      <c r="T23" s="2041" t="s">
        <v>2074</v>
      </c>
      <c r="U23" s="2042"/>
      <c r="V23" s="2042"/>
      <c r="W23" s="2042"/>
      <c r="X23" s="2046">
        <v>44469</v>
      </c>
      <c r="Y23" s="2047"/>
      <c r="Z23" s="2047"/>
      <c r="AA23" s="2048"/>
    </row>
    <row r="24" spans="1:27" ht="14.1" customHeight="1" x14ac:dyDescent="0.2">
      <c r="A24" s="88" t="s">
        <v>677</v>
      </c>
      <c r="B24" s="49"/>
      <c r="C24" s="49"/>
      <c r="D24" s="49"/>
      <c r="E24" s="49"/>
      <c r="F24" s="49"/>
      <c r="G24" s="49"/>
      <c r="H24" s="61"/>
      <c r="J24" s="1965" t="str">
        <f>IF(B5="x",IF(AUDITCHECK!D29="AFR form Incomplete.","",IF(AUDITCHECK!D29="Deficit reduction plan is required.","School District must complete a deficit reduction plan in the 2019-2020 Budget",)),"")</f>
        <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v>61814</v>
      </c>
      <c r="B25" s="1943"/>
      <c r="C25" s="1943"/>
      <c r="D25" s="1943"/>
      <c r="E25" s="1943"/>
      <c r="F25" s="1943"/>
      <c r="G25" s="1943"/>
      <c r="H25" s="1944"/>
      <c r="I25" s="113"/>
      <c r="J25" s="1967"/>
      <c r="K25" s="1967"/>
      <c r="L25" s="1967"/>
      <c r="M25" s="1967"/>
      <c r="N25" s="1967"/>
      <c r="O25" s="1967"/>
      <c r="P25" s="1967"/>
      <c r="Q25" s="1967"/>
      <c r="R25" s="1967"/>
      <c r="S25" s="1968"/>
      <c r="T25" s="2038" t="s">
        <v>2072</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t="s">
        <v>2079</v>
      </c>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t="s">
        <v>2080</v>
      </c>
      <c r="B40" s="1957"/>
      <c r="C40" s="1958"/>
      <c r="D40" s="1958"/>
      <c r="E40" s="1958"/>
      <c r="F40" s="1959"/>
      <c r="G40" s="1959"/>
      <c r="H40" s="1960"/>
      <c r="I40" s="1981"/>
      <c r="J40" s="1982"/>
      <c r="K40" s="1982"/>
      <c r="L40" s="1982"/>
      <c r="M40" s="1982"/>
      <c r="N40" s="1982"/>
      <c r="O40" s="1982"/>
      <c r="P40" s="1982"/>
      <c r="Q40" s="1982"/>
      <c r="R40" s="1982"/>
      <c r="S40" s="1983"/>
      <c r="T40" s="1981"/>
      <c r="U40" s="2045"/>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t="s">
        <v>2081</v>
      </c>
      <c r="B42" s="1962"/>
      <c r="C42" s="1963"/>
      <c r="D42" s="1961"/>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election activeCell="J47" sqref="J4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2075</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3499248</v>
      </c>
      <c r="E16" s="356"/>
      <c r="F16" s="1733">
        <f>SUM('Acct Summary 7-8'!C17,'Acct Summary 7-8'!D17,'Acct Summary 7-8'!F17)</f>
        <v>3246138</v>
      </c>
      <c r="G16" s="356"/>
      <c r="H16" s="1733">
        <f>SUM(D16-F16)</f>
        <v>253110</v>
      </c>
      <c r="I16" s="222"/>
      <c r="J16" s="1733">
        <f>SUM('Acct Summary 7-8'!C81,'Acct Summary 7-8'!D81,'Acct Summary 7-8'!F81,'Acct Summary 7-8'!I81)</f>
        <v>505658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Bismarck Henning Rossville Alvin Coop HS</v>
      </c>
      <c r="E7" s="391"/>
      <c r="G7" s="252"/>
      <c r="H7" s="387"/>
      <c r="I7" s="387"/>
      <c r="J7" s="387"/>
      <c r="K7" s="387"/>
      <c r="L7" s="329"/>
      <c r="M7" s="329"/>
      <c r="N7" s="329"/>
      <c r="O7" s="329"/>
      <c r="P7" s="329"/>
    </row>
    <row r="8" spans="1:18" ht="12.75" x14ac:dyDescent="0.2">
      <c r="A8" s="329"/>
      <c r="B8" s="329"/>
      <c r="C8" s="389" t="s">
        <v>1125</v>
      </c>
      <c r="D8" s="392">
        <f>COVER!A13</f>
        <v>54092800080</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505658</v>
      </c>
      <c r="I12" s="404"/>
      <c r="J12" s="404"/>
      <c r="K12" s="405">
        <f>TRUNC((H12/H13*100000),5)/100000</f>
        <v>0.14450476210000002</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3499248</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3246138</v>
      </c>
      <c r="I17" s="404"/>
      <c r="J17" s="416"/>
      <c r="K17" s="405">
        <f>TRUNC((H17/H18*100000),5)/100000</f>
        <v>0.92766731589999996</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3499248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753499</v>
      </c>
      <c r="I24" s="422"/>
      <c r="J24" s="422"/>
      <c r="K24" s="423">
        <f>TRUNC(((H24/H25*100000)/100000),2)</f>
        <v>83.56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9017.0499999999993</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activeCell="L4" activeCellId="1" sqref="C4 L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753499</v>
      </c>
      <c r="D4" s="466"/>
      <c r="E4" s="466"/>
      <c r="F4" s="466"/>
      <c r="G4" s="466"/>
      <c r="H4" s="466"/>
      <c r="I4" s="466"/>
      <c r="J4" s="467"/>
      <c r="K4" s="466"/>
      <c r="L4" s="466">
        <v>191845</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753499</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191845</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33923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33923</v>
      </c>
      <c r="N23" s="1688">
        <f>SUM(N21:N22)</f>
        <v>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247841</v>
      </c>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191845</v>
      </c>
      <c r="M33" s="468"/>
      <c r="N33" s="469"/>
    </row>
    <row r="34" spans="1:14" ht="13.5" customHeight="1" thickBot="1" x14ac:dyDescent="0.25">
      <c r="A34" s="1738" t="s">
        <v>654</v>
      </c>
      <c r="B34" s="1739"/>
      <c r="C34" s="1740">
        <f>SUM(C25:C33)</f>
        <v>247841</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191845</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505658</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33923</v>
      </c>
      <c r="N40" s="497"/>
    </row>
    <row r="41" spans="1:14" ht="13.5" customHeight="1" thickBot="1" x14ac:dyDescent="0.25">
      <c r="A41" s="1736" t="s">
        <v>655</v>
      </c>
      <c r="B41" s="1706"/>
      <c r="C41" s="1688">
        <f>(SUM(C34,C37,C38,C39))</f>
        <v>753499</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191845</v>
      </c>
      <c r="M41" s="1688">
        <f>SUM(M40)</f>
        <v>33923</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3367311</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131937</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3499248</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926486</v>
      </c>
      <c r="D9" s="516"/>
      <c r="E9" s="481"/>
      <c r="F9" s="481"/>
      <c r="G9" s="517"/>
      <c r="H9" s="481"/>
      <c r="I9" s="509" t="s">
        <v>1169</v>
      </c>
      <c r="J9" s="478"/>
      <c r="K9" s="481"/>
      <c r="L9" s="347"/>
    </row>
    <row r="10" spans="1:13" s="519" customFormat="1" ht="13.5" thickBot="1" x14ac:dyDescent="0.25">
      <c r="A10" s="1736" t="s">
        <v>1173</v>
      </c>
      <c r="B10" s="1709"/>
      <c r="C10" s="1688">
        <f>SUM(C8:C9)</f>
        <v>4425734</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1936586</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1092468</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217084</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3246138</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926486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4172624</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8" t="s">
        <v>1655</v>
      </c>
      <c r="B20" s="2129"/>
      <c r="C20" s="1746">
        <f>C8-C17</f>
        <v>253110</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253110</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252548</v>
      </c>
      <c r="D79" s="535"/>
      <c r="E79" s="535"/>
      <c r="F79" s="535"/>
      <c r="G79" s="535"/>
      <c r="H79" s="535"/>
      <c r="I79" s="535"/>
      <c r="J79" s="535"/>
      <c r="K79" s="535"/>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505658</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253110</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0.50055571156789769</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21" sqref="C2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3159418</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3159418</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527</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527</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21290</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21290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48000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5740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53740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14638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14638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300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7150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110248</v>
      </c>
      <c r="D107" s="466"/>
      <c r="E107" s="466"/>
      <c r="F107" s="466"/>
      <c r="G107" s="466"/>
      <c r="H107" s="466"/>
      <c r="I107" s="466"/>
      <c r="J107" s="467"/>
      <c r="K107" s="466"/>
    </row>
    <row r="108" spans="1:12" ht="12.75" customHeight="1" thickBot="1" x14ac:dyDescent="0.25">
      <c r="A108" s="1708" t="s">
        <v>487</v>
      </c>
      <c r="B108" s="1712"/>
      <c r="C108" s="1707">
        <f>SUM(C95:C107)</f>
        <v>117698</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3367311</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v>116000</v>
      </c>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116000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15937</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15937</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131937</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3499248</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961961</v>
      </c>
      <c r="D5" s="466">
        <v>277537</v>
      </c>
      <c r="E5" s="466">
        <v>26660</v>
      </c>
      <c r="F5" s="466">
        <v>65178</v>
      </c>
      <c r="G5" s="466">
        <v>8653</v>
      </c>
      <c r="H5" s="466">
        <v>3937</v>
      </c>
      <c r="I5" s="467"/>
      <c r="J5" s="467"/>
      <c r="K5" s="1671">
        <f>SUM(C5:J5)</f>
        <v>1343926</v>
      </c>
      <c r="L5" s="466">
        <v>1290477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180381</v>
      </c>
      <c r="D8" s="466">
        <v>52912</v>
      </c>
      <c r="E8" s="466">
        <v>1261</v>
      </c>
      <c r="F8" s="466">
        <v>1163</v>
      </c>
      <c r="G8" s="466"/>
      <c r="H8" s="466"/>
      <c r="I8" s="467"/>
      <c r="J8" s="467"/>
      <c r="K8" s="1671">
        <f t="shared" si="0"/>
        <v>235717</v>
      </c>
      <c r="L8" s="466">
        <v>275333</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125048</v>
      </c>
      <c r="D13" s="466">
        <v>40552</v>
      </c>
      <c r="E13" s="466">
        <v>1541</v>
      </c>
      <c r="F13" s="466">
        <v>3565</v>
      </c>
      <c r="G13" s="466">
        <v>17339</v>
      </c>
      <c r="H13" s="466">
        <v>595</v>
      </c>
      <c r="I13" s="467"/>
      <c r="J13" s="467"/>
      <c r="K13" s="1671">
        <f t="shared" si="0"/>
        <v>188640</v>
      </c>
      <c r="L13" s="466">
        <v>199586</v>
      </c>
    </row>
    <row r="14" spans="1:14" x14ac:dyDescent="0.2">
      <c r="A14" s="1504" t="s">
        <v>963</v>
      </c>
      <c r="B14" s="614">
        <v>1500</v>
      </c>
      <c r="C14" s="466">
        <v>86927</v>
      </c>
      <c r="D14" s="466">
        <v>9378</v>
      </c>
      <c r="E14" s="466">
        <v>21439</v>
      </c>
      <c r="F14" s="466">
        <v>47006</v>
      </c>
      <c r="G14" s="466">
        <v>1890</v>
      </c>
      <c r="H14" s="466">
        <v>1663</v>
      </c>
      <c r="I14" s="467"/>
      <c r="J14" s="467"/>
      <c r="K14" s="1671">
        <f t="shared" si="0"/>
        <v>168303</v>
      </c>
      <c r="L14" s="466">
        <v>182333</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1354317</v>
      </c>
      <c r="D33" s="1670">
        <f t="shared" ref="D33:L33" si="1">SUM(D5:D32)</f>
        <v>380379</v>
      </c>
      <c r="E33" s="1670">
        <f t="shared" si="1"/>
        <v>50901</v>
      </c>
      <c r="F33" s="1670">
        <f t="shared" si="1"/>
        <v>116912</v>
      </c>
      <c r="G33" s="1670">
        <f t="shared" si="1"/>
        <v>27882</v>
      </c>
      <c r="H33" s="1670">
        <f t="shared" si="1"/>
        <v>6195</v>
      </c>
      <c r="I33" s="1670">
        <f t="shared" si="1"/>
        <v>0</v>
      </c>
      <c r="J33" s="1670">
        <f t="shared" si="1"/>
        <v>0</v>
      </c>
      <c r="K33" s="1670">
        <f t="shared" si="1"/>
        <v>1936586</v>
      </c>
      <c r="L33" s="1670">
        <f t="shared" si="1"/>
        <v>1947729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60850</v>
      </c>
      <c r="D37" s="466">
        <v>16831</v>
      </c>
      <c r="E37" s="466"/>
      <c r="F37" s="466">
        <v>452</v>
      </c>
      <c r="G37" s="466"/>
      <c r="H37" s="466">
        <v>95</v>
      </c>
      <c r="I37" s="467"/>
      <c r="J37" s="467"/>
      <c r="K37" s="1671">
        <f t="shared" si="2"/>
        <v>78228</v>
      </c>
      <c r="L37" s="466">
        <v>81836</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60850</v>
      </c>
      <c r="D42" s="1670">
        <f t="shared" ref="D42:L42" si="3">SUM(D36:D41)</f>
        <v>16831</v>
      </c>
      <c r="E42" s="1670">
        <f t="shared" si="3"/>
        <v>0</v>
      </c>
      <c r="F42" s="1670">
        <f t="shared" si="3"/>
        <v>452</v>
      </c>
      <c r="G42" s="1670">
        <f t="shared" si="3"/>
        <v>0</v>
      </c>
      <c r="H42" s="1670">
        <f t="shared" si="3"/>
        <v>95</v>
      </c>
      <c r="I42" s="1670">
        <f t="shared" si="3"/>
        <v>0</v>
      </c>
      <c r="J42" s="1670">
        <f t="shared" si="3"/>
        <v>0</v>
      </c>
      <c r="K42" s="1670">
        <f t="shared" si="3"/>
        <v>78228</v>
      </c>
      <c r="L42" s="1670">
        <f t="shared" si="3"/>
        <v>81836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row>
    <row r="45" spans="1:14" x14ac:dyDescent="0.2">
      <c r="A45" s="1504" t="s">
        <v>815</v>
      </c>
      <c r="B45" s="614">
        <v>2220</v>
      </c>
      <c r="C45" s="466">
        <v>37535</v>
      </c>
      <c r="D45" s="466">
        <v>13029</v>
      </c>
      <c r="E45" s="466"/>
      <c r="F45" s="466">
        <v>3300</v>
      </c>
      <c r="G45" s="466">
        <v>429</v>
      </c>
      <c r="H45" s="466">
        <v>959</v>
      </c>
      <c r="I45" s="467"/>
      <c r="J45" s="467"/>
      <c r="K45" s="1672">
        <f>SUM(C45:J45)</f>
        <v>55252</v>
      </c>
      <c r="L45" s="466">
        <v>78549</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37535</v>
      </c>
      <c r="D47" s="1670">
        <f t="shared" ref="D47:K47" si="4">SUM(D44:D46)</f>
        <v>13029</v>
      </c>
      <c r="E47" s="1670">
        <f t="shared" si="4"/>
        <v>0</v>
      </c>
      <c r="F47" s="1670">
        <f t="shared" si="4"/>
        <v>3300</v>
      </c>
      <c r="G47" s="1670">
        <f t="shared" si="4"/>
        <v>429</v>
      </c>
      <c r="H47" s="1670">
        <f t="shared" si="4"/>
        <v>959</v>
      </c>
      <c r="I47" s="1670">
        <f t="shared" si="4"/>
        <v>0</v>
      </c>
      <c r="J47" s="1670">
        <f t="shared" si="4"/>
        <v>0</v>
      </c>
      <c r="K47" s="1670">
        <f t="shared" si="4"/>
        <v>55252</v>
      </c>
      <c r="L47" s="1670">
        <f>SUM(L44:L46)</f>
        <v>78549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5402</v>
      </c>
      <c r="D49" s="481">
        <v>2979</v>
      </c>
      <c r="E49" s="481">
        <v>3923</v>
      </c>
      <c r="F49" s="481"/>
      <c r="G49" s="481"/>
      <c r="H49" s="481"/>
      <c r="I49" s="467"/>
      <c r="J49" s="467"/>
      <c r="K49" s="1672">
        <f>SUM(C49:J49)</f>
        <v>12304</v>
      </c>
      <c r="L49" s="481">
        <v>12511</v>
      </c>
    </row>
    <row r="50" spans="1:14" x14ac:dyDescent="0.2">
      <c r="A50" s="1504" t="s">
        <v>818</v>
      </c>
      <c r="B50" s="614">
        <v>2320</v>
      </c>
      <c r="C50" s="466"/>
      <c r="D50" s="466"/>
      <c r="E50" s="466"/>
      <c r="F50" s="466"/>
      <c r="G50" s="466"/>
      <c r="H50" s="466"/>
      <c r="I50" s="467"/>
      <c r="J50" s="467"/>
      <c r="K50" s="1672">
        <f>SUM(C50:J50)</f>
        <v>0</v>
      </c>
      <c r="L50" s="466"/>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v>38551</v>
      </c>
      <c r="F52" s="474"/>
      <c r="G52" s="474"/>
      <c r="H52" s="474"/>
      <c r="I52" s="474"/>
      <c r="J52" s="474"/>
      <c r="K52" s="1672">
        <f>SUM(C52:J52)</f>
        <v>38551</v>
      </c>
      <c r="L52" s="474">
        <v>41139</v>
      </c>
    </row>
    <row r="53" spans="1:14" ht="12.75" customHeight="1" thickBot="1" x14ac:dyDescent="0.25">
      <c r="A53" s="1668" t="s">
        <v>717</v>
      </c>
      <c r="B53" s="1669" t="s">
        <v>33</v>
      </c>
      <c r="C53" s="1670">
        <f>SUM(C49:C52)</f>
        <v>5402</v>
      </c>
      <c r="D53" s="1670">
        <f t="shared" ref="D53:L53" si="5">SUM(D49:D52)</f>
        <v>2979</v>
      </c>
      <c r="E53" s="1670">
        <f t="shared" si="5"/>
        <v>42474</v>
      </c>
      <c r="F53" s="1670">
        <f t="shared" si="5"/>
        <v>0</v>
      </c>
      <c r="G53" s="1670">
        <f t="shared" si="5"/>
        <v>0</v>
      </c>
      <c r="H53" s="1670">
        <f t="shared" si="5"/>
        <v>0</v>
      </c>
      <c r="I53" s="1670">
        <f t="shared" si="5"/>
        <v>0</v>
      </c>
      <c r="J53" s="1670">
        <f t="shared" si="5"/>
        <v>0</v>
      </c>
      <c r="K53" s="1670">
        <f t="shared" si="5"/>
        <v>50855</v>
      </c>
      <c r="L53" s="1670">
        <f t="shared" si="5"/>
        <v>53650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120034</v>
      </c>
      <c r="D55" s="481">
        <v>33168</v>
      </c>
      <c r="E55" s="481">
        <v>3557</v>
      </c>
      <c r="F55" s="481">
        <v>1475</v>
      </c>
      <c r="G55" s="481">
        <v>808</v>
      </c>
      <c r="H55" s="481">
        <v>780</v>
      </c>
      <c r="I55" s="467"/>
      <c r="J55" s="467"/>
      <c r="K55" s="1672">
        <f>SUM(C55:J55)</f>
        <v>159822</v>
      </c>
      <c r="L55" s="481">
        <v>158203</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120034</v>
      </c>
      <c r="D57" s="1674">
        <f t="shared" ref="D57:K57" si="6">SUM(D55:D56)</f>
        <v>33168</v>
      </c>
      <c r="E57" s="1674">
        <f t="shared" si="6"/>
        <v>3557</v>
      </c>
      <c r="F57" s="1674">
        <f t="shared" si="6"/>
        <v>1475</v>
      </c>
      <c r="G57" s="1674">
        <f t="shared" si="6"/>
        <v>808</v>
      </c>
      <c r="H57" s="1674">
        <f t="shared" si="6"/>
        <v>780</v>
      </c>
      <c r="I57" s="1674">
        <f t="shared" si="6"/>
        <v>0</v>
      </c>
      <c r="J57" s="1674">
        <f t="shared" si="6"/>
        <v>0</v>
      </c>
      <c r="K57" s="1674">
        <f t="shared" si="6"/>
        <v>159822</v>
      </c>
      <c r="L57" s="1670">
        <f>SUM(L55:L56)</f>
        <v>158203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36000</v>
      </c>
      <c r="D60" s="466">
        <v>14907</v>
      </c>
      <c r="E60" s="466"/>
      <c r="F60" s="466"/>
      <c r="G60" s="466"/>
      <c r="H60" s="466"/>
      <c r="I60" s="467"/>
      <c r="J60" s="467"/>
      <c r="K60" s="1672">
        <f t="shared" si="7"/>
        <v>50907</v>
      </c>
      <c r="L60" s="466">
        <v>51410</v>
      </c>
      <c r="M60" s="609"/>
      <c r="N60" s="609"/>
    </row>
    <row r="61" spans="1:14" s="343" customFormat="1" x14ac:dyDescent="0.2">
      <c r="A61" s="1504" t="s">
        <v>197</v>
      </c>
      <c r="B61" s="614">
        <v>2540</v>
      </c>
      <c r="C61" s="466">
        <v>26136</v>
      </c>
      <c r="D61" s="466">
        <v>13212</v>
      </c>
      <c r="E61" s="466">
        <v>217395</v>
      </c>
      <c r="F61" s="466">
        <v>130110</v>
      </c>
      <c r="G61" s="466"/>
      <c r="H61" s="466">
        <v>254872</v>
      </c>
      <c r="I61" s="467"/>
      <c r="J61" s="467"/>
      <c r="K61" s="1672">
        <f t="shared" si="7"/>
        <v>641725</v>
      </c>
      <c r="L61" s="466">
        <v>241486</v>
      </c>
      <c r="M61" s="609"/>
      <c r="N61" s="609"/>
    </row>
    <row r="62" spans="1:14" s="343" customFormat="1" x14ac:dyDescent="0.2">
      <c r="A62" s="1504" t="s">
        <v>953</v>
      </c>
      <c r="B62" s="614">
        <v>2550</v>
      </c>
      <c r="C62" s="466"/>
      <c r="D62" s="466"/>
      <c r="E62" s="466">
        <v>31068</v>
      </c>
      <c r="F62" s="466"/>
      <c r="G62" s="466"/>
      <c r="H62" s="466"/>
      <c r="I62" s="467"/>
      <c r="J62" s="467"/>
      <c r="K62" s="1672">
        <f t="shared" si="7"/>
        <v>31068</v>
      </c>
      <c r="L62" s="466"/>
      <c r="M62" s="609"/>
      <c r="N62" s="609"/>
    </row>
    <row r="63" spans="1:14" s="609" customFormat="1" x14ac:dyDescent="0.2">
      <c r="A63" s="1504" t="s">
        <v>100</v>
      </c>
      <c r="B63" s="614">
        <v>2560</v>
      </c>
      <c r="C63" s="466"/>
      <c r="D63" s="466"/>
      <c r="E63" s="466">
        <v>21298</v>
      </c>
      <c r="F63" s="466">
        <v>3313</v>
      </c>
      <c r="G63" s="466"/>
      <c r="H63" s="466"/>
      <c r="I63" s="467"/>
      <c r="J63" s="467"/>
      <c r="K63" s="1672">
        <f t="shared" si="7"/>
        <v>24611</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62136</v>
      </c>
      <c r="D65" s="1670">
        <f t="shared" ref="D65:L65" si="8">SUM(D59:D64)</f>
        <v>28119</v>
      </c>
      <c r="E65" s="1670">
        <f t="shared" si="8"/>
        <v>269761</v>
      </c>
      <c r="F65" s="1670">
        <f t="shared" si="8"/>
        <v>133423</v>
      </c>
      <c r="G65" s="1670">
        <f t="shared" si="8"/>
        <v>0</v>
      </c>
      <c r="H65" s="1670">
        <f t="shared" si="8"/>
        <v>254872</v>
      </c>
      <c r="I65" s="1670">
        <f t="shared" si="8"/>
        <v>0</v>
      </c>
      <c r="J65" s="1670">
        <f t="shared" si="8"/>
        <v>0</v>
      </c>
      <c r="K65" s="1670">
        <f t="shared" si="8"/>
        <v>748311</v>
      </c>
      <c r="L65" s="1670">
        <f t="shared" si="8"/>
        <v>292896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285957</v>
      </c>
      <c r="D74" s="1677">
        <f t="shared" ref="D74:K74" si="10">SUM(D42,D47,D53,D57,D65,D72,D73)</f>
        <v>94126</v>
      </c>
      <c r="E74" s="1677">
        <f t="shared" si="10"/>
        <v>315792</v>
      </c>
      <c r="F74" s="1677">
        <f t="shared" si="10"/>
        <v>138650</v>
      </c>
      <c r="G74" s="1677">
        <f t="shared" si="10"/>
        <v>1237</v>
      </c>
      <c r="H74" s="1677">
        <f t="shared" si="10"/>
        <v>256706</v>
      </c>
      <c r="I74" s="1677">
        <f t="shared" si="10"/>
        <v>0</v>
      </c>
      <c r="J74" s="1677">
        <f t="shared" si="10"/>
        <v>0</v>
      </c>
      <c r="K74" s="1677">
        <f t="shared" si="10"/>
        <v>1092468</v>
      </c>
      <c r="L74" s="1677">
        <f>SUM(L42,L47,L53,L57,L65,L72,L73)</f>
        <v>665134</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159818</v>
      </c>
      <c r="F78" s="616"/>
      <c r="G78" s="616"/>
      <c r="H78" s="634"/>
      <c r="I78" s="477"/>
      <c r="J78" s="477"/>
      <c r="K78" s="1671">
        <f t="shared" ref="K78:K83" si="11">SUM(C78:J78)</f>
        <v>159818</v>
      </c>
      <c r="L78" s="481">
        <v>550775</v>
      </c>
    </row>
    <row r="79" spans="1:14" x14ac:dyDescent="0.2">
      <c r="A79" s="1504" t="s">
        <v>304</v>
      </c>
      <c r="B79" s="614">
        <v>4120</v>
      </c>
      <c r="C79" s="616"/>
      <c r="D79" s="616"/>
      <c r="E79" s="466">
        <v>13606</v>
      </c>
      <c r="F79" s="616"/>
      <c r="G79" s="616"/>
      <c r="H79" s="466"/>
      <c r="I79" s="477"/>
      <c r="J79" s="477"/>
      <c r="K79" s="1671">
        <f t="shared" si="11"/>
        <v>13606</v>
      </c>
      <c r="L79" s="466">
        <v>42365</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43660</v>
      </c>
      <c r="F81" s="616"/>
      <c r="G81" s="616"/>
      <c r="H81" s="466"/>
      <c r="I81" s="477"/>
      <c r="J81" s="477"/>
      <c r="K81" s="1671">
        <f t="shared" si="11"/>
        <v>43660</v>
      </c>
      <c r="L81" s="466">
        <v>33000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217084</v>
      </c>
      <c r="F84" s="616"/>
      <c r="G84" s="616"/>
      <c r="H84" s="1670">
        <f>SUM(H78:H83)</f>
        <v>0</v>
      </c>
      <c r="I84" s="477"/>
      <c r="J84" s="477"/>
      <c r="K84" s="1670">
        <f>SUM(K78:K83)</f>
        <v>217084</v>
      </c>
      <c r="L84" s="1670">
        <f>SUM(L78:L83)</f>
        <v>626140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217084</v>
      </c>
      <c r="F102" s="616"/>
      <c r="G102" s="616"/>
      <c r="H102" s="1677">
        <f>SUM(H84,H92,H100,H101)</f>
        <v>0</v>
      </c>
      <c r="I102" s="477"/>
      <c r="J102" s="477"/>
      <c r="K102" s="1677">
        <f>SUM(K84,K92,K100,K101)</f>
        <v>217084</v>
      </c>
      <c r="L102" s="1677">
        <f>SUM(L84,L92,L100,L101)</f>
        <v>626140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8250</v>
      </c>
      <c r="M113" s="613"/>
      <c r="N113" s="613"/>
    </row>
    <row r="114" spans="1:14" ht="12.75" customHeight="1" thickTop="1" thickBot="1" x14ac:dyDescent="0.25">
      <c r="A114" s="1668" t="s">
        <v>48</v>
      </c>
      <c r="B114" s="1682"/>
      <c r="C114" s="1670">
        <f>SUM(C33,C74,C75,C102,C112,C113)</f>
        <v>1640274</v>
      </c>
      <c r="D114" s="1670">
        <f t="shared" ref="D114:K114" si="13">SUM(D33,D74,D75,D102,D112,D113)</f>
        <v>474505</v>
      </c>
      <c r="E114" s="1670">
        <f t="shared" si="13"/>
        <v>583777</v>
      </c>
      <c r="F114" s="1670">
        <f t="shared" si="13"/>
        <v>255562</v>
      </c>
      <c r="G114" s="1670">
        <f t="shared" si="13"/>
        <v>29119</v>
      </c>
      <c r="H114" s="1670">
        <f>SUM(H33,H74,H75,H102,H112,H113)</f>
        <v>262901</v>
      </c>
      <c r="I114" s="1670">
        <f t="shared" si="13"/>
        <v>0</v>
      </c>
      <c r="J114" s="1670">
        <f t="shared" si="13"/>
        <v>0</v>
      </c>
      <c r="K114" s="1670">
        <f t="shared" si="13"/>
        <v>3246138</v>
      </c>
      <c r="L114" s="1670">
        <f>SUM(L33,L74,L75,L102,L112,L113)</f>
        <v>3247253</v>
      </c>
    </row>
    <row r="115" spans="1:14" ht="13.5" thickTop="1" x14ac:dyDescent="0.2">
      <c r="A115" s="2158" t="s">
        <v>996</v>
      </c>
      <c r="B115" s="2159"/>
      <c r="C115" s="618"/>
      <c r="D115" s="618"/>
      <c r="E115" s="618"/>
      <c r="F115" s="618"/>
      <c r="G115" s="618"/>
      <c r="H115" s="618"/>
      <c r="I115" s="618"/>
      <c r="J115" s="618"/>
      <c r="K115" s="1684">
        <f>'Revenues 9-14'!C268-'Expenditures 15-22'!K114</f>
        <v>253110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5"/>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8" t="s">
        <v>1178</v>
      </c>
      <c r="B152" s="2179"/>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8" t="s">
        <v>996</v>
      </c>
      <c r="B175" s="2159"/>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58" t="s">
        <v>996</v>
      </c>
      <c r="B211" s="2159"/>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58" t="s">
        <v>996</v>
      </c>
      <c r="B296" s="2159"/>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71" t="s">
        <v>996</v>
      </c>
      <c r="B343" s="2172"/>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8" t="s">
        <v>996</v>
      </c>
      <c r="B368" s="2159"/>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1802</v>
      </c>
      <c r="B2" s="2213"/>
      <c r="C2" s="1884" t="s">
        <v>1954</v>
      </c>
      <c r="D2" s="723" t="s">
        <v>1955</v>
      </c>
      <c r="E2" s="723" t="s">
        <v>1956</v>
      </c>
      <c r="F2" s="1884" t="s">
        <v>1957</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1812</v>
      </c>
      <c r="K2" s="762" t="s">
        <v>138</v>
      </c>
    </row>
    <row r="3" spans="1:11" x14ac:dyDescent="0.2">
      <c r="A3" s="2238" t="s">
        <v>1962</v>
      </c>
      <c r="B3" s="2239"/>
      <c r="C3" s="2239"/>
      <c r="D3" s="2239"/>
      <c r="E3" s="2240"/>
      <c r="F3" s="763"/>
      <c r="G3" s="764"/>
      <c r="H3" s="764"/>
      <c r="I3" s="764"/>
      <c r="J3" s="765"/>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9" t="s">
        <v>1813</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7"/>
      <c r="G12" s="1758">
        <f>SUM(G5:G11)</f>
        <v>0</v>
      </c>
      <c r="H12" s="1758">
        <f>SUM(H5:H11)</f>
        <v>0</v>
      </c>
      <c r="I12" s="1758">
        <f>SUM(I5:I11)</f>
        <v>0</v>
      </c>
      <c r="J12" s="1758">
        <f>SUM(J5:J11)</f>
        <v>0</v>
      </c>
      <c r="K12" s="1758">
        <f>SUM(K5:K11)</f>
        <v>0</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c r="I14" s="771"/>
      <c r="J14" s="773"/>
      <c r="K14" s="765"/>
    </row>
    <row r="15" spans="1:11" x14ac:dyDescent="0.2">
      <c r="A15" s="2220" t="s">
        <v>4</v>
      </c>
      <c r="B15" s="2220"/>
      <c r="C15" s="2220"/>
      <c r="D15" s="2220"/>
      <c r="E15" s="2221"/>
      <c r="F15" s="789" t="s">
        <v>855</v>
      </c>
      <c r="G15" s="771"/>
      <c r="H15" s="764"/>
      <c r="I15" s="764"/>
      <c r="J15" s="765"/>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1809</v>
      </c>
      <c r="B19" s="2228"/>
      <c r="C19" s="2228"/>
      <c r="D19" s="2228"/>
      <c r="E19" s="2229"/>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0</v>
      </c>
      <c r="K21" s="793"/>
    </row>
    <row r="22" spans="1:11" ht="13.5" thickTop="1" x14ac:dyDescent="0.2">
      <c r="A22" s="2220" t="s">
        <v>1815</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61"/>
      <c r="G23" s="1758">
        <f>SUM(G14:G16,G21,G22)</f>
        <v>0</v>
      </c>
      <c r="H23" s="1758">
        <f>SUM(H14:H16,H21,H22)</f>
        <v>0</v>
      </c>
      <c r="I23" s="1758">
        <f>SUM(I14:I16,I21,I22)</f>
        <v>0</v>
      </c>
      <c r="J23" s="1758">
        <f>SUM(J14:J16,J21,J22)</f>
        <v>0</v>
      </c>
      <c r="K23" s="1758">
        <f>SUM(K14:K16,K21,K22)</f>
        <v>0</v>
      </c>
    </row>
    <row r="24" spans="1:11" ht="14.25" thickTop="1" thickBot="1" x14ac:dyDescent="0.25">
      <c r="A24" s="2250" t="s">
        <v>1963</v>
      </c>
      <c r="B24" s="2249"/>
      <c r="C24" s="2249"/>
      <c r="D24" s="2249"/>
      <c r="E24" s="2249"/>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14580</v>
      </c>
      <c r="D12" s="844">
        <v>19343</v>
      </c>
      <c r="E12" s="844"/>
      <c r="F12" s="1760">
        <f>(C12+D12)-E12</f>
        <v>33923</v>
      </c>
      <c r="G12" s="843">
        <v>10</v>
      </c>
      <c r="H12" s="765">
        <v>1458</v>
      </c>
      <c r="I12" s="765">
        <v>3392</v>
      </c>
      <c r="J12" s="765"/>
      <c r="K12" s="1769">
        <f>(H12+I12)-J12</f>
        <v>4850</v>
      </c>
      <c r="L12" s="1769">
        <f>F12-K12</f>
        <v>29073</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14580</v>
      </c>
      <c r="D16" s="1760">
        <f>SUM(D3,D5:D6,D8:D10,D12:D15)</f>
        <v>19343</v>
      </c>
      <c r="E16" s="1760">
        <f>SUM(E3,E5:E6,E8:E10,E12:E15)</f>
        <v>0</v>
      </c>
      <c r="F16" s="1760">
        <f>SUM(F3,F5:F6,F8:F10,F12:F15)</f>
        <v>33923</v>
      </c>
      <c r="G16" s="843"/>
      <c r="H16" s="1760">
        <f>SUM(H3,H6,H8:H10,H12:H14,)</f>
        <v>1458</v>
      </c>
      <c r="I16" s="1760">
        <f>SUM(I3,I6,I8:I10,I12:I14,)</f>
        <v>3392</v>
      </c>
      <c r="J16" s="1760">
        <f>SUM(J3,J6,J8:J10,J12:J14,)</f>
        <v>0</v>
      </c>
      <c r="K16" s="1760">
        <f>(H16+I16)-J16</f>
        <v>4850</v>
      </c>
      <c r="L16" s="1760">
        <f>F16-K16</f>
        <v>29073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3392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view="pageBreakPreview" colorId="8" zoomScale="60" zoomScaleNormal="10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3246138</v>
      </c>
      <c r="G8" s="865"/>
    </row>
    <row r="9" spans="1:7" x14ac:dyDescent="0.2">
      <c r="A9" s="869" t="s">
        <v>460</v>
      </c>
      <c r="B9" s="870" t="s">
        <v>1876</v>
      </c>
      <c r="C9" s="871"/>
      <c r="D9" s="869" t="s">
        <v>501</v>
      </c>
      <c r="E9" s="868"/>
      <c r="F9" s="1909">
        <f>'Expenditures 15-22'!K151</f>
        <v>0</v>
      </c>
      <c r="G9" s="872"/>
    </row>
    <row r="10" spans="1:7" x14ac:dyDescent="0.2">
      <c r="A10" s="869" t="s">
        <v>499</v>
      </c>
      <c r="B10" s="870" t="s">
        <v>1877</v>
      </c>
      <c r="C10" s="871"/>
      <c r="D10" s="869" t="s">
        <v>501</v>
      </c>
      <c r="E10" s="868"/>
      <c r="F10" s="1909">
        <f>'Expenditures 15-22'!K174</f>
        <v>0</v>
      </c>
      <c r="G10" s="872"/>
    </row>
    <row r="11" spans="1:7" x14ac:dyDescent="0.2">
      <c r="A11" s="869" t="s">
        <v>461</v>
      </c>
      <c r="B11" s="870" t="s">
        <v>1878</v>
      </c>
      <c r="C11" s="871"/>
      <c r="D11" s="869" t="s">
        <v>501</v>
      </c>
      <c r="E11" s="868"/>
      <c r="F11" s="1909">
        <f>'Expenditures 15-22'!K210</f>
        <v>0</v>
      </c>
      <c r="G11" s="872"/>
    </row>
    <row r="12" spans="1:7" x14ac:dyDescent="0.2">
      <c r="A12" s="869" t="s">
        <v>462</v>
      </c>
      <c r="B12" s="870" t="s">
        <v>1879</v>
      </c>
      <c r="C12" s="871"/>
      <c r="D12" s="869" t="s">
        <v>501</v>
      </c>
      <c r="E12" s="868"/>
      <c r="F12" s="1909">
        <f>'Expenditures 15-22'!K295</f>
        <v>0</v>
      </c>
      <c r="G12" s="872"/>
    </row>
    <row r="13" spans="1:7" x14ac:dyDescent="0.2">
      <c r="A13" s="869" t="s">
        <v>106</v>
      </c>
      <c r="B13" s="870" t="s">
        <v>1880</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3246138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217084</v>
      </c>
      <c r="G53" s="865"/>
    </row>
    <row r="54" spans="1:7" x14ac:dyDescent="0.2">
      <c r="A54" s="869" t="s">
        <v>459</v>
      </c>
      <c r="B54" s="869" t="s">
        <v>1476</v>
      </c>
      <c r="C54" s="889" t="s">
        <v>982</v>
      </c>
      <c r="D54" s="885" t="s">
        <v>1095</v>
      </c>
      <c r="E54" s="868"/>
      <c r="F54" s="1913">
        <f>'Expenditures 15-22'!G114</f>
        <v>29119</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246203</v>
      </c>
      <c r="G76" s="865"/>
    </row>
    <row r="77" spans="1:8" s="893" customFormat="1" ht="12" customHeight="1" thickTop="1" thickBot="1" x14ac:dyDescent="0.25">
      <c r="A77" s="1779"/>
      <c r="B77" s="1776"/>
      <c r="C77" s="1772"/>
      <c r="D77" s="1777" t="s">
        <v>1899</v>
      </c>
      <c r="E77" s="1774"/>
      <c r="F77" s="1780">
        <f>(F14-F76)</f>
        <v>2999935</v>
      </c>
      <c r="G77" s="869"/>
    </row>
    <row r="78" spans="1:8" s="893" customFormat="1" ht="12" customHeight="1" thickTop="1" x14ac:dyDescent="0.2">
      <c r="A78" s="1781"/>
      <c r="B78" s="1776"/>
      <c r="C78" s="1772"/>
      <c r="D78" s="1777" t="s">
        <v>2060</v>
      </c>
      <c r="E78" s="1774"/>
      <c r="F78" s="898">
        <v>0</v>
      </c>
      <c r="G78" s="899"/>
      <c r="H78" s="869"/>
    </row>
    <row r="79" spans="1:8" s="893" customFormat="1" ht="12" customHeight="1" thickBot="1" x14ac:dyDescent="0.25">
      <c r="A79" s="1782"/>
      <c r="B79" s="1776"/>
      <c r="C79" s="1772"/>
      <c r="D79" s="1777" t="s">
        <v>1900</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21290</v>
      </c>
      <c r="G94" s="912"/>
    </row>
    <row r="95" spans="1:7" x14ac:dyDescent="0.2">
      <c r="A95" s="908" t="s">
        <v>140</v>
      </c>
      <c r="B95" s="908" t="s">
        <v>175</v>
      </c>
      <c r="C95" s="910">
        <v>1700</v>
      </c>
      <c r="D95" s="918" t="str">
        <f>'Revenues 9-14'!A82</f>
        <v>Total District/School Activity Income</v>
      </c>
      <c r="E95" s="906"/>
      <c r="F95" s="1789">
        <f>SUM('Revenues 9-14'!C82,'Revenues 9-14'!D82)</f>
        <v>53740</v>
      </c>
      <c r="G95" s="912"/>
    </row>
    <row r="96" spans="1:7" x14ac:dyDescent="0.2">
      <c r="A96" s="908" t="s">
        <v>459</v>
      </c>
      <c r="B96" s="908" t="s">
        <v>176</v>
      </c>
      <c r="C96" s="910">
        <f>'Revenues 9-14'!B84</f>
        <v>1811</v>
      </c>
      <c r="D96" s="911" t="str">
        <f>'Revenues 9-14'!A84</f>
        <v>Rentals - Regular Textbooks</v>
      </c>
      <c r="E96" s="906"/>
      <c r="F96" s="1789">
        <f>'Revenues 9-14'!C84</f>
        <v>14638</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15937</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105605</v>
      </c>
    </row>
    <row r="175" spans="1:7" ht="12" customHeight="1" x14ac:dyDescent="0.2">
      <c r="A175" s="1770"/>
      <c r="B175" s="1784"/>
      <c r="C175" s="1785"/>
      <c r="D175" s="1786" t="s">
        <v>2055</v>
      </c>
      <c r="E175" s="1787"/>
      <c r="F175" s="1789">
        <f>'PCTC-OEPP 27-28'!F77-F174</f>
        <v>2894330</v>
      </c>
    </row>
    <row r="176" spans="1:7" ht="12" customHeight="1" x14ac:dyDescent="0.2">
      <c r="A176" s="1770"/>
      <c r="B176" s="1784"/>
      <c r="C176" s="1785"/>
      <c r="D176" s="1786" t="s">
        <v>1817</v>
      </c>
      <c r="E176" s="1787"/>
      <c r="F176" s="1789">
        <f>'Cap Outlay Deprec 26'!I18</f>
        <v>3392</v>
      </c>
    </row>
    <row r="177" spans="1:7" ht="12" customHeight="1" x14ac:dyDescent="0.2">
      <c r="A177" s="1770"/>
      <c r="B177" s="1784"/>
      <c r="C177" s="1785"/>
      <c r="D177" s="1786" t="s">
        <v>2056</v>
      </c>
      <c r="E177" s="1787"/>
      <c r="F177" s="1789">
        <f>F175+F176</f>
        <v>2897722</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2087</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1908704</v>
      </c>
      <c r="F19" s="1799"/>
      <c r="G19" s="1801">
        <f>'Expenditures 15-22'!K33-SUM('Expenditures 15-22'!G33,'Expenditures 15-22'!I33)+'Expenditures 15-22'!D229</f>
        <v>1908704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78228</v>
      </c>
      <c r="F21" s="1802"/>
      <c r="G21" s="1805">
        <f>'Expenditures 15-22'!K42-SUM('Expenditures 15-22'!G42,'Expenditures 15-22'!I42)+'Expenditures 15-22'!K120-SUM('Expenditures 15-22'!G120,'Expenditures 15-22'!I120)+'Expenditures 15-22'!K180-SUM('Expenditures 15-22'!G180,'Expenditures 15-22'!I180)+'Expenditures 15-22'!D238</f>
        <v>78228</v>
      </c>
      <c r="H21" s="987"/>
      <c r="I21" s="162"/>
    </row>
    <row r="22" spans="1:9" s="668" customFormat="1" ht="12" customHeight="1" x14ac:dyDescent="0.2">
      <c r="A22" s="994" t="s">
        <v>564</v>
      </c>
      <c r="B22" s="995"/>
      <c r="C22" s="993">
        <v>2200</v>
      </c>
      <c r="D22" s="1802"/>
      <c r="E22" s="1804">
        <f>'Expenditures 15-22'!K47-SUM('Expenditures 15-22'!G47,'Expenditures 15-22'!I47)+'Expenditures 15-22'!D243</f>
        <v>54823</v>
      </c>
      <c r="F22" s="1802"/>
      <c r="G22" s="1805">
        <f>'Expenditures 15-22'!K47-SUM('Expenditures 15-22'!G47,'Expenditures 15-22'!I47)+'Expenditures 15-22'!D243</f>
        <v>54823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50855</v>
      </c>
      <c r="F23" s="1802"/>
      <c r="G23" s="1804">
        <f>'Expenditures 15-22'!K53-SUM('Expenditures 15-22'!G53,'Expenditures 15-22'!I53)+'Expenditures 15-22'!D257+'Expenditures 15-22'!K330-SUM('Expenditures 15-22'!G330,'Expenditures 15-22'!I330)</f>
        <v>50855</v>
      </c>
      <c r="H23" s="987"/>
      <c r="I23" s="162"/>
    </row>
    <row r="24" spans="1:9" s="668" customFormat="1" ht="12" customHeight="1" x14ac:dyDescent="0.2">
      <c r="A24" s="994" t="s">
        <v>566</v>
      </c>
      <c r="B24" s="995"/>
      <c r="C24" s="993">
        <v>2400</v>
      </c>
      <c r="D24" s="1802"/>
      <c r="E24" s="1804">
        <f>'Expenditures 15-22'!K57-SUM('Expenditures 15-22'!G57,'Expenditures 15-22'!I57)+'Expenditures 15-22'!D261</f>
        <v>159014</v>
      </c>
      <c r="F24" s="1802"/>
      <c r="G24" s="1805">
        <f>'Expenditures 15-22'!K57-SUM('Expenditures 15-22'!G57,'Expenditures 15-22'!I57)+'Expenditures 15-22'!D261</f>
        <v>159014</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50907</v>
      </c>
      <c r="E27" s="1804">
        <f>E8</f>
        <v>0</v>
      </c>
      <c r="F27" s="1804">
        <f>'Expenditures 15-22'!K60-SUM('Expenditures 15-22'!G60,'Expenditures 15-22'!I60)+'Expenditures 15-22'!D264-E8</f>
        <v>50907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641725</v>
      </c>
      <c r="F28" s="1806">
        <f>'Expenditures 15-22'!K61-SUM('Expenditures 15-22'!G61,'Expenditures 15-22'!I61)+'Expenditures 15-22'!K124-SUM('Expenditures 15-22'!G124,'Expenditures 15-22'!I124)+'Expenditures 15-22'!D266-E9</f>
        <v>641725</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31068</v>
      </c>
      <c r="F29" s="1802"/>
      <c r="G29" s="1805">
        <f>'Expenditures 15-22'!K62-SUM('Expenditures 15-22'!G62,'Expenditures 15-22'!I62)+'Expenditures 15-22'!K125-SUM('Expenditures 15-22'!G125,'Expenditures 15-22'!I125)+'Expenditures 15-22'!K182-SUM('Expenditures 15-22'!G182,'Expenditures 15-22'!I182)+'Expenditures 15-22'!D267</f>
        <v>31068</v>
      </c>
      <c r="H29" s="985"/>
    </row>
    <row r="30" spans="1:9" ht="12" customHeight="1" x14ac:dyDescent="0.2">
      <c r="A30" s="994" t="s">
        <v>100</v>
      </c>
      <c r="B30" s="997"/>
      <c r="C30" s="993">
        <v>2560</v>
      </c>
      <c r="D30" s="1802"/>
      <c r="E30" s="1804">
        <f>'Expenditures 15-22'!K63-SUM('Expenditures 15-22'!G63,'Expenditures 15-22'!I63)+'Expenditures 15-22'!D268-E10</f>
        <v>24611</v>
      </c>
      <c r="F30" s="1802"/>
      <c r="G30" s="1804">
        <f>'Expenditures 15-22'!K63-SUM('Expenditures 15-22'!G63,'Expenditures 15-22'!I63)+'Expenditures 15-22'!D268-E10</f>
        <v>24611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50907</v>
      </c>
      <c r="E41" s="1806">
        <f>SUM(E19:E40)</f>
        <v>2949028</v>
      </c>
      <c r="F41" s="1806">
        <f>SUM(F19:F39)</f>
        <v>692632</v>
      </c>
      <c r="G41" s="1806">
        <f>SUM(G19:G40)</f>
        <v>2307303</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50907</v>
      </c>
      <c r="F43" s="1807" t="s">
        <v>473</v>
      </c>
      <c r="G43" s="1808">
        <f>F41</f>
        <v>692632</v>
      </c>
    </row>
    <row r="44" spans="1:7" ht="12" customHeight="1" x14ac:dyDescent="0.2">
      <c r="A44" s="987"/>
      <c r="B44" s="162"/>
      <c r="C44" s="1001"/>
      <c r="D44" s="1807" t="s">
        <v>474</v>
      </c>
      <c r="E44" s="1808">
        <f>E41</f>
        <v>2949028</v>
      </c>
      <c r="F44" s="1807" t="s">
        <v>474</v>
      </c>
      <c r="G44" s="1808">
        <f>G41</f>
        <v>2307303</v>
      </c>
    </row>
    <row r="45" spans="1:7" ht="12" customHeight="1" x14ac:dyDescent="0.2">
      <c r="A45" s="987"/>
      <c r="B45" s="162"/>
      <c r="C45" s="162"/>
      <c r="D45" s="1809" t="s">
        <v>1006</v>
      </c>
      <c r="E45" s="1810">
        <f>(E43/E44)</f>
        <v>1.7262297950375514E-2</v>
      </c>
      <c r="F45" s="1809" t="s">
        <v>1006</v>
      </c>
      <c r="G45" s="1810">
        <f>(G43/G44)</f>
        <v>0.30019117558465447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Bismarck Henning Rossville Alvin Coop HS</v>
      </c>
      <c r="D6" s="2310"/>
      <c r="E6" s="2310"/>
      <c r="F6" s="1852"/>
    </row>
    <row r="7" spans="1:10" ht="11.25" customHeight="1" thickBot="1" x14ac:dyDescent="0.3">
      <c r="A7" s="1850"/>
      <c r="B7" s="1851"/>
      <c r="C7" s="2311">
        <f>COVER!A13</f>
        <v>54092800080</v>
      </c>
      <c r="D7" s="2311"/>
      <c r="E7" s="231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2088</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Bismarck Henning Rossville Alvin Coop HS</v>
      </c>
      <c r="J6" s="2320"/>
      <c r="Q6" s="1664"/>
    </row>
    <row r="7" spans="1:17" x14ac:dyDescent="0.2">
      <c r="A7" s="2321" t="s">
        <v>869</v>
      </c>
      <c r="B7" s="2322"/>
      <c r="C7" s="2322"/>
      <c r="D7" s="2322"/>
      <c r="E7" s="2323"/>
      <c r="F7" s="1017"/>
      <c r="G7" s="1009"/>
      <c r="H7" s="1016" t="s">
        <v>372</v>
      </c>
      <c r="I7" s="2324">
        <f>COVER!A13</f>
        <v>54092800080</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0</v>
      </c>
      <c r="F12" s="1039"/>
      <c r="G12" s="1811">
        <f t="shared" ref="G12:G18" si="0">SUM(E12:F12)</f>
        <v>0</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0</v>
      </c>
      <c r="F19" s="1813">
        <f t="shared" si="2"/>
        <v>0</v>
      </c>
      <c r="G19" s="1813">
        <f t="shared" si="2"/>
        <v>0</v>
      </c>
      <c r="H19" s="1813">
        <f t="shared" si="2"/>
        <v>0</v>
      </c>
      <c r="I19" s="1813">
        <f t="shared" si="2"/>
        <v>0</v>
      </c>
      <c r="J19" s="1813">
        <f t="shared" si="2"/>
        <v>0</v>
      </c>
    </row>
    <row r="20" spans="1:10" ht="13.5" thickTop="1" x14ac:dyDescent="0.2">
      <c r="A20" s="1035">
        <v>9</v>
      </c>
      <c r="B20" s="2331" t="s">
        <v>1979</v>
      </c>
      <c r="C20" s="2331"/>
      <c r="D20" s="2332"/>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59"/>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2082</v>
      </c>
    </row>
    <row r="6" spans="1:2" x14ac:dyDescent="0.2">
      <c r="A6" s="1068"/>
      <c r="B6" s="329" t="s">
        <v>2083</v>
      </c>
    </row>
    <row r="7" spans="1:2" x14ac:dyDescent="0.2">
      <c r="A7" s="1068"/>
      <c r="B7" s="329" t="s">
        <v>2084</v>
      </c>
    </row>
    <row r="8" spans="1:2" x14ac:dyDescent="0.2">
      <c r="A8" s="1068"/>
      <c r="B8" s="329" t="s">
        <v>2085</v>
      </c>
    </row>
    <row r="9" spans="1:2" x14ac:dyDescent="0.2">
      <c r="A9" s="1068"/>
      <c r="B9" s="329" t="s">
        <v>2086</v>
      </c>
    </row>
    <row r="10" spans="1:2" x14ac:dyDescent="0.2">
      <c r="A10" s="1068"/>
    </row>
    <row r="11" spans="1:2" x14ac:dyDescent="0.2">
      <c r="A11" s="1068">
        <v>2</v>
      </c>
      <c r="B11" s="329" t="s">
        <v>2089</v>
      </c>
    </row>
    <row r="12" spans="1:2" x14ac:dyDescent="0.2">
      <c r="A12" s="1068"/>
      <c r="B12" s="329" t="s">
        <v>2090</v>
      </c>
    </row>
    <row r="13" spans="1:2" x14ac:dyDescent="0.2">
      <c r="A13" s="1068"/>
      <c r="B13" s="329" t="s">
        <v>2091</v>
      </c>
    </row>
    <row r="14" spans="1:2" x14ac:dyDescent="0.2">
      <c r="A14" s="1068"/>
      <c r="B14" s="329" t="s">
        <v>2092</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c r="B58" s="258" t="str">
        <f>COVER!A17</f>
        <v>Bismarck Henning Rossville Alvin Coop HS</v>
      </c>
    </row>
    <row r="59" spans="1:2" x14ac:dyDescent="0.2">
      <c r="B59" s="1070">
        <f>COVER!A13</f>
        <v>54092800080</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3499248</v>
      </c>
      <c r="C8" s="1815">
        <f>'Acct Summary 7-8'!D8</f>
        <v>0</v>
      </c>
      <c r="D8" s="1815">
        <f>'Acct Summary 7-8'!F8</f>
        <v>0</v>
      </c>
      <c r="E8" s="1815">
        <f>'Acct Summary 7-8'!I8</f>
        <v>0</v>
      </c>
      <c r="F8" s="1815">
        <f>SUM(B8:E8)</f>
        <v>3499248</v>
      </c>
    </row>
    <row r="9" spans="1:8" s="1079" customFormat="1" ht="14.25" customHeight="1" thickBot="1" x14ac:dyDescent="0.25">
      <c r="A9" s="1078" t="s">
        <v>1369</v>
      </c>
      <c r="B9" s="1816">
        <f>'Acct Summary 7-8'!C17</f>
        <v>3246138</v>
      </c>
      <c r="C9" s="1816">
        <f>'Acct Summary 7-8'!D17</f>
        <v>0</v>
      </c>
      <c r="D9" s="1816">
        <f>'Acct Summary 7-8'!F17</f>
        <v>0</v>
      </c>
      <c r="E9" s="1815"/>
      <c r="F9" s="1815">
        <f>SUM(B9:E9)</f>
        <v>3246138</v>
      </c>
    </row>
    <row r="10" spans="1:8" s="1079" customFormat="1" ht="14.25" thickTop="1" thickBot="1" x14ac:dyDescent="0.25">
      <c r="A10" s="1080" t="s">
        <v>1370</v>
      </c>
      <c r="B10" s="1817">
        <f>(B8-B9)</f>
        <v>253110</v>
      </c>
      <c r="C10" s="1817">
        <f>(C8-C9)</f>
        <v>0</v>
      </c>
      <c r="D10" s="1817">
        <f>(D8-D9)</f>
        <v>0</v>
      </c>
      <c r="E10" s="1816">
        <f>(E8-E9)</f>
        <v>0</v>
      </c>
      <c r="F10" s="1818">
        <f>SUM(F8-F9)</f>
        <v>253110</v>
      </c>
    </row>
    <row r="11" spans="1:8" s="1079" customFormat="1" ht="14.25" thickTop="1" thickBot="1" x14ac:dyDescent="0.25">
      <c r="A11" s="1081" t="s">
        <v>1983</v>
      </c>
      <c r="B11" s="1819">
        <f>'Acct Summary 7-8'!C81</f>
        <v>505658</v>
      </c>
      <c r="C11" s="1819">
        <f>'Acct Summary 7-8'!D81</f>
        <v>0</v>
      </c>
      <c r="D11" s="1819">
        <f>'Acct Summary 7-8'!F81</f>
        <v>0</v>
      </c>
      <c r="E11" s="1819">
        <f>'Acct Summary 7-8'!I81</f>
        <v>0</v>
      </c>
      <c r="F11" s="1820">
        <f>SUM(B11:E11)</f>
        <v>505658</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54092800080</v>
      </c>
    </row>
    <row r="3" spans="1:2" x14ac:dyDescent="0.2">
      <c r="A3" t="s">
        <v>956</v>
      </c>
      <c r="B3" s="138" t="str">
        <f>COVER!A15</f>
        <v>VERMILION</v>
      </c>
    </row>
    <row r="4" spans="1:2" x14ac:dyDescent="0.2">
      <c r="A4" t="s">
        <v>1007</v>
      </c>
      <c r="B4" s="138" t="str">
        <f>COVER!A17</f>
        <v>Bismarck Henning Rossville Alvin Coop HS</v>
      </c>
    </row>
    <row r="5" spans="1:2" x14ac:dyDescent="0.2">
      <c r="A5" t="s">
        <v>704</v>
      </c>
      <c r="B5" s="138" t="str">
        <f>COVER!A38</f>
        <v>Scott Watson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753499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247841</v>
      </c>
      <c r="C91" s="2" t="s">
        <v>573</v>
      </c>
      <c r="D91" s="2" t="str">
        <f t="shared" si="0"/>
        <v>Error?</v>
      </c>
    </row>
    <row r="92" spans="1:4" x14ac:dyDescent="0.2">
      <c r="A92" s="5">
        <v>31</v>
      </c>
      <c r="B92" s="138">
        <f>'Assets-Liab 5-6'!C39</f>
        <v>505658</v>
      </c>
      <c r="D92" s="2" t="str">
        <f t="shared" si="0"/>
        <v>Error?</v>
      </c>
    </row>
    <row r="93" spans="1:4" x14ac:dyDescent="0.2">
      <c r="A93" s="5">
        <v>32</v>
      </c>
      <c r="B93" s="138">
        <f>'Assets-Liab 5-6'!C41</f>
        <v>753499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33923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33923</v>
      </c>
      <c r="C279" s="2" t="s">
        <v>573</v>
      </c>
      <c r="D279" s="2" t="str">
        <f t="shared" si="3"/>
        <v>Error?</v>
      </c>
    </row>
    <row r="280" spans="1:4" x14ac:dyDescent="0.2">
      <c r="A280" s="5">
        <v>219</v>
      </c>
      <c r="B280" s="138">
        <f>'Assets-Liab 5-6'!M40</f>
        <v>33923</v>
      </c>
      <c r="D280" s="2" t="str">
        <f t="shared" si="3"/>
        <v>Error?</v>
      </c>
    </row>
    <row r="281" spans="1:4" x14ac:dyDescent="0.2">
      <c r="A281" s="5">
        <v>220</v>
      </c>
      <c r="B281" s="138">
        <f>'Assets-Liab 5-6'!M41</f>
        <v>33923</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961961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125048</v>
      </c>
      <c r="D717" s="2" t="str">
        <f t="shared" si="10"/>
        <v>Error?</v>
      </c>
    </row>
    <row r="718" spans="1:4" x14ac:dyDescent="0.2">
      <c r="A718" s="5">
        <v>657</v>
      </c>
      <c r="B718" s="138">
        <f>'Expenditures 15-22'!C14</f>
        <v>86927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1354317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60850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60850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37535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37535</v>
      </c>
      <c r="C731" s="2" t="s">
        <v>573</v>
      </c>
      <c r="D731" s="2" t="str">
        <f t="shared" si="10"/>
        <v>Error?</v>
      </c>
    </row>
    <row r="732" spans="1:4" x14ac:dyDescent="0.2">
      <c r="A732" s="5">
        <v>671</v>
      </c>
      <c r="B732" s="138">
        <f>'Expenditures 15-22'!C49</f>
        <v>5402</v>
      </c>
      <c r="D732" s="2" t="str">
        <f t="shared" si="10"/>
        <v>Error?</v>
      </c>
    </row>
    <row r="733" spans="1:4" x14ac:dyDescent="0.2">
      <c r="A733" s="5">
        <v>672</v>
      </c>
      <c r="B733" s="138">
        <f>'Expenditures 15-22'!C50</f>
        <v>0</v>
      </c>
      <c r="D733" s="2" t="str">
        <f t="shared" si="10"/>
        <v>Error?</v>
      </c>
    </row>
    <row r="734" spans="1:4" x14ac:dyDescent="0.2">
      <c r="A734" s="5">
        <v>673</v>
      </c>
      <c r="B734" s="138">
        <f>'Expenditures 15-22'!C53</f>
        <v>5402</v>
      </c>
      <c r="C734" s="2" t="s">
        <v>573</v>
      </c>
      <c r="D734" s="2" t="str">
        <f t="shared" si="10"/>
        <v>Error?</v>
      </c>
    </row>
    <row r="735" spans="1:4" x14ac:dyDescent="0.2">
      <c r="A735" s="5">
        <v>674</v>
      </c>
      <c r="B735" s="138">
        <f>'Expenditures 15-22'!C55</f>
        <v>120034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120034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36000</v>
      </c>
      <c r="D739" s="2" t="str">
        <f t="shared" si="10"/>
        <v>Error?</v>
      </c>
    </row>
    <row r="740" spans="1:4" x14ac:dyDescent="0.2">
      <c r="A740" s="5">
        <v>679</v>
      </c>
      <c r="B740" s="138">
        <f>'Expenditures 15-22'!C61</f>
        <v>26136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62136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285957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1640274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277537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40552</v>
      </c>
      <c r="D775" s="2" t="str">
        <f t="shared" si="11"/>
        <v>Error?</v>
      </c>
    </row>
    <row r="776" spans="1:4" x14ac:dyDescent="0.2">
      <c r="A776" s="5">
        <v>715</v>
      </c>
      <c r="B776" s="138">
        <f>'Expenditures 15-22'!D14</f>
        <v>9378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380379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16831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16831</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13029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13029</v>
      </c>
      <c r="C789" s="2" t="s">
        <v>573</v>
      </c>
      <c r="D789" s="2" t="str">
        <f t="shared" si="11"/>
        <v>Error?</v>
      </c>
    </row>
    <row r="790" spans="1:4" x14ac:dyDescent="0.2">
      <c r="A790" s="5">
        <v>729</v>
      </c>
      <c r="B790" s="138">
        <f>'Expenditures 15-22'!D49</f>
        <v>2979</v>
      </c>
      <c r="D790" s="2" t="str">
        <f t="shared" si="11"/>
        <v>Error?</v>
      </c>
    </row>
    <row r="791" spans="1:4" x14ac:dyDescent="0.2">
      <c r="A791" s="5">
        <v>730</v>
      </c>
      <c r="B791" s="138">
        <f>'Expenditures 15-22'!D50</f>
        <v>0</v>
      </c>
      <c r="D791" s="2" t="str">
        <f t="shared" si="11"/>
        <v>Error?</v>
      </c>
    </row>
    <row r="792" spans="1:4" x14ac:dyDescent="0.2">
      <c r="A792" s="5">
        <v>731</v>
      </c>
      <c r="B792" s="138">
        <f>'Expenditures 15-22'!D53</f>
        <v>2979</v>
      </c>
      <c r="C792" s="2" t="s">
        <v>573</v>
      </c>
      <c r="D792" s="2" t="str">
        <f t="shared" si="11"/>
        <v>Error?</v>
      </c>
    </row>
    <row r="793" spans="1:4" x14ac:dyDescent="0.2">
      <c r="A793" s="5">
        <v>732</v>
      </c>
      <c r="B793" s="138">
        <f>'Expenditures 15-22'!D55</f>
        <v>33168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33168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14907</v>
      </c>
      <c r="D797" s="2" t="str">
        <f t="shared" si="11"/>
        <v>Error?</v>
      </c>
    </row>
    <row r="798" spans="1:4" x14ac:dyDescent="0.2">
      <c r="A798" s="5">
        <v>737</v>
      </c>
      <c r="B798" s="138">
        <f>'Expenditures 15-22'!D61</f>
        <v>13212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28119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94126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474505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26660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1541</v>
      </c>
      <c r="D833" s="2" t="str">
        <f t="shared" si="12"/>
        <v>Error?</v>
      </c>
    </row>
    <row r="834" spans="1:4" x14ac:dyDescent="0.2">
      <c r="A834" s="5">
        <v>773</v>
      </c>
      <c r="B834" s="138">
        <f>'Expenditures 15-22'!E14</f>
        <v>21439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50901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3923</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42474</v>
      </c>
      <c r="C850" s="2" t="s">
        <v>573</v>
      </c>
      <c r="D850" s="2" t="str">
        <f t="shared" si="12"/>
        <v>Error?</v>
      </c>
    </row>
    <row r="851" spans="1:4" x14ac:dyDescent="0.2">
      <c r="A851" s="5">
        <v>790</v>
      </c>
      <c r="B851" s="138">
        <f>'Expenditures 15-22'!E55</f>
        <v>3557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3557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217395</v>
      </c>
      <c r="D856" s="2" t="str">
        <f t="shared" si="12"/>
        <v>Error?</v>
      </c>
    </row>
    <row r="857" spans="1:4" x14ac:dyDescent="0.2">
      <c r="A857" s="5">
        <v>796</v>
      </c>
      <c r="B857" s="138">
        <f>'Expenditures 15-22'!E62</f>
        <v>31068</v>
      </c>
      <c r="D857" s="2" t="str">
        <f t="shared" si="12"/>
        <v>Error?</v>
      </c>
    </row>
    <row r="858" spans="1:4" x14ac:dyDescent="0.2">
      <c r="A858" s="5">
        <v>797</v>
      </c>
      <c r="B858" s="138">
        <f>'Expenditures 15-22'!E63</f>
        <v>21298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269761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315792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583777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65178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3565</v>
      </c>
      <c r="D891" s="2" t="str">
        <f t="shared" si="12"/>
        <v>Error?</v>
      </c>
    </row>
    <row r="892" spans="1:4" x14ac:dyDescent="0.2">
      <c r="A892" s="5">
        <v>831</v>
      </c>
      <c r="B892" s="138">
        <f>'Expenditures 15-22'!F14</f>
        <v>47006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116912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452</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452</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3300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3300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1475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1475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130110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3313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133423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138650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255562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8653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17339</v>
      </c>
      <c r="D949" s="2" t="str">
        <f t="shared" si="13"/>
        <v>Error?</v>
      </c>
    </row>
    <row r="950" spans="1:4" x14ac:dyDescent="0.2">
      <c r="A950" s="5">
        <v>889</v>
      </c>
      <c r="B950" s="138">
        <f>'Expenditures 15-22'!G14</f>
        <v>1890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27882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429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429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808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808</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1237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29119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3937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595</v>
      </c>
      <c r="D1007" s="2" t="str">
        <f t="shared" si="14"/>
        <v>Error?</v>
      </c>
    </row>
    <row r="1008" spans="1:4" x14ac:dyDescent="0.2">
      <c r="A1008" s="5">
        <v>947</v>
      </c>
      <c r="B1008" s="138">
        <f>'Expenditures 15-22'!H14</f>
        <v>1663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6195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95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959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959</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780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780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254872</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254872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256706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262901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1343926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188640</v>
      </c>
      <c r="C1105" s="2" t="s">
        <v>573</v>
      </c>
      <c r="D1105" s="2" t="str">
        <f t="shared" si="16"/>
        <v>Error?</v>
      </c>
    </row>
    <row r="1106" spans="1:4" x14ac:dyDescent="0.2">
      <c r="A1106" s="5">
        <v>1045</v>
      </c>
      <c r="B1106" s="138">
        <f>'Expenditures 15-22'!K14</f>
        <v>168303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1936586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78228</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78228</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55252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55252</v>
      </c>
      <c r="C1119" s="2" t="s">
        <v>573</v>
      </c>
      <c r="D1119" s="2" t="str">
        <f t="shared" si="16"/>
        <v>Error?</v>
      </c>
    </row>
    <row r="1120" spans="1:4" x14ac:dyDescent="0.2">
      <c r="A1120" s="5">
        <v>1059</v>
      </c>
      <c r="B1120" s="138">
        <f>'Expenditures 15-22'!K49</f>
        <v>12304</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50855</v>
      </c>
      <c r="C1122" s="2" t="s">
        <v>573</v>
      </c>
      <c r="D1122" s="2" t="str">
        <f t="shared" si="16"/>
        <v>Error?</v>
      </c>
    </row>
    <row r="1123" spans="1:4" x14ac:dyDescent="0.2">
      <c r="A1123" s="5">
        <v>1062</v>
      </c>
      <c r="B1123" s="138">
        <f>'Expenditures 15-22'!K55</f>
        <v>159822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159822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50907</v>
      </c>
      <c r="C1127" s="2" t="s">
        <v>573</v>
      </c>
      <c r="D1127" s="2" t="str">
        <f t="shared" si="16"/>
        <v>Error?</v>
      </c>
    </row>
    <row r="1128" spans="1:4" x14ac:dyDescent="0.2">
      <c r="A1128" s="5">
        <v>1067</v>
      </c>
      <c r="B1128" s="138">
        <f>'Expenditures 15-22'!K61</f>
        <v>641725</v>
      </c>
      <c r="C1128" s="2" t="s">
        <v>573</v>
      </c>
      <c r="D1128" s="2" t="str">
        <f t="shared" si="16"/>
        <v>Error?</v>
      </c>
    </row>
    <row r="1129" spans="1:4" x14ac:dyDescent="0.2">
      <c r="A1129" s="5">
        <v>1068</v>
      </c>
      <c r="B1129" s="138">
        <f>'Expenditures 15-22'!K62</f>
        <v>31068</v>
      </c>
      <c r="C1129" s="2" t="s">
        <v>573</v>
      </c>
      <c r="D1129" s="2" t="str">
        <f t="shared" si="16"/>
        <v>Error?</v>
      </c>
    </row>
    <row r="1130" spans="1:4" x14ac:dyDescent="0.2">
      <c r="A1130" s="5">
        <v>1069</v>
      </c>
      <c r="B1130" s="138">
        <f>'Expenditures 15-22'!K63</f>
        <v>24611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748311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1092468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217084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3246138</v>
      </c>
      <c r="C1152" s="2" t="s">
        <v>573</v>
      </c>
      <c r="D1152" s="2" t="str">
        <f t="shared" si="17"/>
        <v>Error?</v>
      </c>
    </row>
    <row r="1153" spans="1:4" x14ac:dyDescent="0.2">
      <c r="A1153" s="5">
        <v>1092</v>
      </c>
      <c r="B1153" s="138">
        <f>'Expenditures 15-22'!K115</f>
        <v>253110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252548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505658</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14580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14580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19343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19343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33923</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33923</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1458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1458</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3392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3392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4850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4850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29073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29073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217084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3367311</v>
      </c>
      <c r="C2551" s="2" t="s">
        <v>573</v>
      </c>
      <c r="D2551" s="2" t="str">
        <f t="shared" si="38"/>
        <v>Error?</v>
      </c>
    </row>
    <row r="2552" spans="1:4" x14ac:dyDescent="0.2">
      <c r="A2552" s="10">
        <v>2491</v>
      </c>
      <c r="D2552" s="2" t="str">
        <f t="shared" si="38"/>
        <v>OK</v>
      </c>
    </row>
    <row r="2553" spans="1:4" x14ac:dyDescent="0.2">
      <c r="A2553" s="5">
        <v>2492</v>
      </c>
      <c r="B2553" s="138">
        <f>'Acct Summary 7-8'!C6</f>
        <v>131937</v>
      </c>
      <c r="C2553" s="2" t="s">
        <v>573</v>
      </c>
      <c r="D2553" s="2" t="str">
        <f t="shared" si="38"/>
        <v>Error?</v>
      </c>
    </row>
    <row r="2554" spans="1:4" x14ac:dyDescent="0.2">
      <c r="A2554" s="5">
        <v>2493</v>
      </c>
      <c r="B2554" s="138">
        <f>'Acct Summary 7-8'!C7</f>
        <v>0</v>
      </c>
      <c r="C2554" s="2" t="s">
        <v>573</v>
      </c>
      <c r="D2554" s="2" t="str">
        <f t="shared" si="38"/>
        <v>Error?</v>
      </c>
    </row>
    <row r="2555" spans="1:4" x14ac:dyDescent="0.2">
      <c r="A2555" s="5">
        <v>2494</v>
      </c>
      <c r="B2555" s="138">
        <f>'Acct Summary 7-8'!C8</f>
        <v>3499248</v>
      </c>
      <c r="C2555" s="2" t="s">
        <v>573</v>
      </c>
      <c r="D2555" s="2" t="str">
        <f t="shared" si="38"/>
        <v>Error?</v>
      </c>
    </row>
    <row r="2556" spans="1:4" x14ac:dyDescent="0.2">
      <c r="A2556" s="5">
        <v>2495</v>
      </c>
      <c r="B2556" s="138">
        <f>'Acct Summary 7-8'!C12</f>
        <v>1936586</v>
      </c>
      <c r="C2556" s="2" t="s">
        <v>573</v>
      </c>
      <c r="D2556" s="2" t="str">
        <f t="shared" si="38"/>
        <v>Error?</v>
      </c>
    </row>
    <row r="2557" spans="1:4" x14ac:dyDescent="0.2">
      <c r="A2557" s="5">
        <v>2496</v>
      </c>
      <c r="B2557" s="138">
        <f>'Acct Summary 7-8'!C13</f>
        <v>1092468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217084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3246138</v>
      </c>
      <c r="C2561" s="2" t="s">
        <v>573</v>
      </c>
      <c r="D2561" s="2" t="str">
        <f t="shared" si="39"/>
        <v>Error?</v>
      </c>
    </row>
    <row r="2562" spans="1:4" x14ac:dyDescent="0.2">
      <c r="A2562" s="5">
        <v>2501</v>
      </c>
      <c r="B2562" s="138">
        <f>'Acct Summary 7-8'!C20</f>
        <v>253110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217084</v>
      </c>
      <c r="C2789" s="2" t="s">
        <v>573</v>
      </c>
      <c r="D2789" s="2" t="str">
        <f t="shared" si="42"/>
        <v>Error?</v>
      </c>
    </row>
    <row r="2790" spans="1:4" x14ac:dyDescent="0.2">
      <c r="A2790" s="5">
        <v>2729</v>
      </c>
      <c r="B2790" s="138">
        <f>'Expenditures 15-22'!E102</f>
        <v>217084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191845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191845</v>
      </c>
      <c r="D2914" s="2" t="str">
        <f t="shared" si="44"/>
        <v>Error?</v>
      </c>
    </row>
    <row r="2915" spans="1:4" x14ac:dyDescent="0.2">
      <c r="A2915" s="10">
        <v>2854</v>
      </c>
      <c r="D2915" s="2" t="str">
        <f t="shared" si="44"/>
        <v>OK</v>
      </c>
    </row>
    <row r="2916" spans="1:4" x14ac:dyDescent="0.2">
      <c r="A2916" s="5">
        <v>2855</v>
      </c>
      <c r="B2916" s="138">
        <f>'Assets-Liab 5-6'!L34</f>
        <v>191845</v>
      </c>
      <c r="C2916" s="2" t="s">
        <v>573</v>
      </c>
      <c r="D2916" s="2" t="str">
        <f t="shared" si="44"/>
        <v>Error?</v>
      </c>
    </row>
    <row r="2917" spans="1:4" x14ac:dyDescent="0.2">
      <c r="A2917" s="5">
        <v>2856</v>
      </c>
      <c r="B2917" s="138">
        <f>'Assets-Liab 5-6'!L41</f>
        <v>191845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159818</v>
      </c>
      <c r="D2949" s="2" t="str">
        <f t="shared" si="45"/>
        <v>Error?</v>
      </c>
    </row>
    <row r="2950" spans="1:4" x14ac:dyDescent="0.2">
      <c r="A2950" s="5">
        <v>2889</v>
      </c>
      <c r="B2950" s="138">
        <f>'Expenditures 15-22'!E79</f>
        <v>13606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43660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159818</v>
      </c>
      <c r="C2973" s="2" t="s">
        <v>573</v>
      </c>
      <c r="D2973" s="2" t="str">
        <f t="shared" si="45"/>
        <v>Error?</v>
      </c>
    </row>
    <row r="2974" spans="1:4" x14ac:dyDescent="0.2">
      <c r="A2974" s="5">
        <v>2913</v>
      </c>
      <c r="B2974" s="138">
        <f>'Expenditures 15-22'!K79</f>
        <v>13606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43660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253110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180381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52912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1261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235717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753499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191845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926486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4425734</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926486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4172624</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505658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3159418</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3159418</v>
      </c>
      <c r="C5087" s="2" t="s">
        <v>573</v>
      </c>
      <c r="D5087" s="2" t="str">
        <f t="shared" si="78"/>
        <v>Error?</v>
      </c>
    </row>
    <row r="5088" spans="1:4" x14ac:dyDescent="0.2">
      <c r="A5088" s="5">
        <v>5027</v>
      </c>
      <c r="B5088" s="138">
        <f>'Revenues 9-14'!C65</f>
        <v>527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527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21290</v>
      </c>
      <c r="C5096" s="2" t="s">
        <v>573</v>
      </c>
      <c r="D5096" s="2" t="str">
        <f t="shared" si="78"/>
        <v>Error?</v>
      </c>
    </row>
    <row r="5097" spans="1:4" x14ac:dyDescent="0.2">
      <c r="A5097" s="5">
        <v>5036</v>
      </c>
      <c r="B5097" s="138">
        <f>'Revenues 9-14'!C77</f>
        <v>48000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5740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53740</v>
      </c>
      <c r="C5102" s="2" t="s">
        <v>573</v>
      </c>
      <c r="D5102" s="2" t="str">
        <f t="shared" si="78"/>
        <v>Error?</v>
      </c>
    </row>
    <row r="5103" spans="1:4" x14ac:dyDescent="0.2">
      <c r="A5103" s="5">
        <v>5042</v>
      </c>
      <c r="B5103" s="138">
        <f>'Revenues 9-14'!C84</f>
        <v>14638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14638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110248</v>
      </c>
      <c r="D5119" s="2" t="str">
        <f t="shared" ref="D5119:D5182" si="79">IF(ISBLANK(B5119),"OK",IF(A5119-B5119=0,"OK","Error?"))</f>
        <v>Error?</v>
      </c>
    </row>
    <row r="5120" spans="1:4" x14ac:dyDescent="0.2">
      <c r="A5120" s="5">
        <v>5059</v>
      </c>
      <c r="B5120" s="138">
        <f>'Revenues 9-14'!C108</f>
        <v>117698</v>
      </c>
      <c r="C5120" s="2" t="s">
        <v>573</v>
      </c>
      <c r="D5120" s="2" t="str">
        <f t="shared" si="79"/>
        <v>Error?</v>
      </c>
    </row>
    <row r="5121" spans="1:4" x14ac:dyDescent="0.2">
      <c r="A5121" s="5">
        <v>5060</v>
      </c>
      <c r="B5121" s="138">
        <f>'Revenues 9-14'!C109</f>
        <v>3367311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116000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116000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15937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15937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131937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0</v>
      </c>
      <c r="C5326" s="2" t="s">
        <v>573</v>
      </c>
      <c r="D5326" s="2" t="str">
        <f t="shared" si="82"/>
        <v>Error?</v>
      </c>
    </row>
    <row r="5327" spans="1:5" x14ac:dyDescent="0.2">
      <c r="A5327" s="5">
        <v>5266</v>
      </c>
      <c r="B5327" s="138">
        <f>'Revenues 9-14'!C268</f>
        <v>3499248</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21290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247841</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253110</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0.50055571156789769</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7150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38551</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38551</v>
      </c>
      <c r="D6940" s="2" t="str">
        <f t="shared" si="107"/>
        <v>Error?</v>
      </c>
    </row>
    <row r="6941" spans="1:4" x14ac:dyDescent="0.2">
      <c r="A6941">
        <v>6880</v>
      </c>
      <c r="B6941" s="138">
        <f>'Expenditures 15-22'!L52</f>
        <v>41139</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3392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1987</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Bismarck Henning Rossville Alvin Coop HS</v>
      </c>
      <c r="B7" s="2387"/>
      <c r="C7" s="2387"/>
      <c r="D7" s="2424"/>
      <c r="E7" s="2425">
        <f>COVER!A13</f>
        <v>54092800080</v>
      </c>
      <c r="F7" s="2426"/>
      <c r="G7" s="2393" t="str">
        <f>COVER!T23</f>
        <v>065.018319</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RUSSELL LEIGH &amp; ASSOCIATES LLC</v>
      </c>
      <c r="H9" s="2400"/>
      <c r="I9" s="2400"/>
      <c r="J9" s="2400"/>
      <c r="K9" s="2400"/>
      <c r="L9" s="2401"/>
    </row>
    <row r="10" spans="1:29" ht="13.5" customHeight="1" x14ac:dyDescent="0.2">
      <c r="A10" s="2383" t="str">
        <f>COVER!A38</f>
        <v>Scott Watson</v>
      </c>
      <c r="B10" s="2384"/>
      <c r="C10" s="2384"/>
      <c r="D10" s="2384"/>
      <c r="E10" s="2384"/>
      <c r="F10" s="2385"/>
      <c r="G10" s="2399" t="str">
        <f>COVER!T17</f>
        <v>228 E MAIN ST</v>
      </c>
      <c r="H10" s="2412"/>
      <c r="I10" s="2412"/>
      <c r="J10" s="2412"/>
      <c r="K10" s="2412"/>
      <c r="L10" s="2413"/>
    </row>
    <row r="11" spans="1:29" ht="13.5" customHeight="1" x14ac:dyDescent="0.2">
      <c r="A11" s="1184" t="s">
        <v>1519</v>
      </c>
      <c r="B11" s="1185"/>
      <c r="C11" s="1186"/>
      <c r="D11" s="1191"/>
      <c r="E11" s="1186"/>
      <c r="F11" s="1190"/>
      <c r="G11" s="2399" t="str">
        <f>COVER!T19</f>
        <v>HOOPESTON</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admin@russleigh.com</v>
      </c>
      <c r="J13" s="2421"/>
      <c r="K13" s="2421"/>
      <c r="L13" s="2422"/>
    </row>
    <row r="14" spans="1:29" ht="13.5" customHeight="1" x14ac:dyDescent="0.2">
      <c r="A14" s="2399" t="str">
        <f>COVER!A19</f>
        <v>17268 E 2750 NORTH RD</v>
      </c>
      <c r="B14" s="2412"/>
      <c r="C14" s="2412"/>
      <c r="D14" s="2412"/>
      <c r="E14" s="2412"/>
      <c r="F14" s="2413"/>
      <c r="G14" s="1195" t="s">
        <v>1185</v>
      </c>
      <c r="H14" s="1193"/>
      <c r="I14" s="1193"/>
      <c r="J14" s="1193"/>
      <c r="K14" s="1193"/>
      <c r="L14" s="1194"/>
    </row>
    <row r="15" spans="1:29" ht="13.5" customHeight="1" x14ac:dyDescent="0.2">
      <c r="A15" s="2399" t="str">
        <f>COVER!A21</f>
        <v>BISMARCK</v>
      </c>
      <c r="B15" s="2412"/>
      <c r="C15" s="2412"/>
      <c r="D15" s="2412"/>
      <c r="E15" s="2412"/>
      <c r="F15" s="2413"/>
      <c r="G15" s="2409" t="str">
        <f>COVER!T15</f>
        <v>RUSS LEIGH</v>
      </c>
      <c r="H15" s="2410"/>
      <c r="I15" s="2410"/>
      <c r="J15" s="2410"/>
      <c r="K15" s="2410"/>
      <c r="L15" s="2411"/>
    </row>
    <row r="16" spans="1:29" ht="12.2" customHeight="1" x14ac:dyDescent="0.2">
      <c r="A16" s="2389">
        <f>COVER!A25</f>
        <v>61814</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217-283-9336</v>
      </c>
      <c r="H18" s="2387"/>
      <c r="I18" s="2387"/>
      <c r="J18" s="2387"/>
      <c r="K18" s="2386" t="str">
        <f>COVER!X21</f>
        <v>217-283-9736</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Bismarck Henning Rossville Alvin Coop HS</v>
      </c>
      <c r="B1" s="2423"/>
      <c r="C1" s="2423"/>
      <c r="D1" s="2423"/>
    </row>
    <row r="2" spans="1:11" s="1212" customFormat="1" ht="12.75" x14ac:dyDescent="0.2">
      <c r="A2" s="2428">
        <f>'Single Audit Cover'!E7</f>
        <v>54092800080</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Bismarck Henning Rossville Alvin Coop HS</v>
      </c>
      <c r="B1" s="2431"/>
      <c r="C1" s="2431"/>
      <c r="D1" s="2431"/>
      <c r="E1" s="2431"/>
    </row>
    <row r="2" spans="1:5" x14ac:dyDescent="0.2">
      <c r="A2" s="2432">
        <f>'Single Audit Cover'!E7</f>
        <v>54092800080</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0</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Bismarck Henning Rossville Alvin Coop HS</v>
      </c>
      <c r="C1" s="2435"/>
      <c r="D1" s="2435"/>
      <c r="E1" s="2435"/>
      <c r="F1" s="2435"/>
      <c r="G1" s="2435"/>
      <c r="H1" s="2435"/>
      <c r="I1" s="2435"/>
      <c r="J1" s="2435"/>
      <c r="K1" s="2435"/>
      <c r="L1" s="2435"/>
      <c r="M1" s="2435"/>
    </row>
    <row r="2" spans="2:14" ht="15" x14ac:dyDescent="0.2">
      <c r="B2" s="2436">
        <f>'Single Audit Cover'!E7</f>
        <v>54092800080</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Bismarck Henning Rossville Alvin Coop HS</v>
      </c>
      <c r="B1" s="2440"/>
      <c r="C1" s="2440"/>
      <c r="D1" s="2440"/>
      <c r="E1" s="2440"/>
      <c r="F1" s="2440"/>
    </row>
    <row r="2" spans="1:7" ht="13.5" customHeight="1" x14ac:dyDescent="0.2">
      <c r="A2" s="2436">
        <f>'Single Audit Cover'!E7</f>
        <v>54092800080</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1731</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1732</v>
      </c>
      <c r="B32" s="2447"/>
      <c r="C32" s="2447"/>
      <c r="D32" s="2447"/>
      <c r="E32" s="2447"/>
      <c r="F32" s="244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8">
        <f>+C33+C34</f>
        <v>0</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Bismarck Henning Rossville Alvin Coop HS</v>
      </c>
      <c r="C1" s="2456"/>
      <c r="D1" s="2456"/>
      <c r="E1" s="2456"/>
      <c r="F1" s="2456"/>
      <c r="G1" s="2456"/>
      <c r="H1" s="2456"/>
      <c r="I1" s="2456"/>
      <c r="J1" s="1406"/>
    </row>
    <row r="2" spans="2:10" s="317" customFormat="1" ht="12.75" customHeight="1" x14ac:dyDescent="0.2">
      <c r="B2" s="2457">
        <f>'Single Audit Cover'!E7</f>
        <v>54092800080</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c r="E29" s="2462"/>
      <c r="F29" s="2462"/>
      <c r="G29" s="2462"/>
      <c r="H29" s="2462"/>
      <c r="I29" s="2462"/>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3" t="s">
        <v>1751</v>
      </c>
      <c r="D37" s="2464"/>
      <c r="E37" s="2464"/>
      <c r="F37" s="2465"/>
      <c r="G37" s="2463" t="s">
        <v>1592</v>
      </c>
      <c r="H37" s="2464"/>
      <c r="I37" s="2465"/>
    </row>
    <row r="38" spans="2:9" ht="16.5" customHeight="1" x14ac:dyDescent="0.2">
      <c r="B38" s="1428"/>
      <c r="C38" s="2451"/>
      <c r="D38" s="2452"/>
      <c r="E38" s="2452"/>
      <c r="F38" s="2453"/>
      <c r="G38" s="2466"/>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0</v>
      </c>
      <c r="H43" s="2472"/>
      <c r="I43" s="2472"/>
    </row>
    <row r="44" spans="2:9" ht="12.75" customHeight="1" x14ac:dyDescent="0.2"/>
    <row r="45" spans="2:9" ht="12.75" customHeight="1" x14ac:dyDescent="0.2">
      <c r="B45" s="1419" t="s">
        <v>2062</v>
      </c>
      <c r="D45" s="2473">
        <v>0</v>
      </c>
      <c r="E45" s="247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5"/>
      <c r="F49" s="2475"/>
      <c r="G49" s="247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Bismarck Henning Rossville Alvin Coop HS</v>
      </c>
      <c r="C1" s="2455"/>
      <c r="D1" s="2455"/>
      <c r="E1" s="2455"/>
      <c r="F1" s="2455"/>
      <c r="G1" s="2455"/>
      <c r="H1" s="2455"/>
      <c r="I1" s="2455"/>
      <c r="J1" s="2455"/>
      <c r="K1" s="2455"/>
      <c r="L1" s="1371"/>
      <c r="M1" s="1371"/>
    </row>
    <row r="2" spans="1:13" ht="12" customHeight="1" x14ac:dyDescent="0.2">
      <c r="B2" s="2457">
        <f>'Single Audit Cover'!E7</f>
        <v>54092800080</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Bismarck Henning Rossville Alvin Coop HS</v>
      </c>
      <c r="C1" s="2482"/>
      <c r="D1" s="2482"/>
      <c r="E1" s="2482"/>
      <c r="F1" s="2482"/>
      <c r="G1" s="2482"/>
      <c r="H1" s="2482"/>
      <c r="I1" s="2482"/>
      <c r="J1" s="2482"/>
      <c r="K1" s="2482"/>
      <c r="L1" s="1449"/>
    </row>
    <row r="2" spans="1:12" ht="12.75" customHeight="1" x14ac:dyDescent="0.2">
      <c r="B2" s="2483">
        <f>'Single Audit Cover'!E7</f>
        <v>54092800080</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Bismarck Henning Rossville Alvin Coop HS</v>
      </c>
      <c r="C1" s="2455"/>
      <c r="D1" s="2455"/>
      <c r="E1" s="1469"/>
    </row>
    <row r="2" spans="2:5" s="1279" customFormat="1" ht="12.75" customHeight="1" x14ac:dyDescent="0.2">
      <c r="B2" s="2457">
        <f>'Single Audit Cover'!E7</f>
        <v>54092800080</v>
      </c>
      <c r="C2" s="2457"/>
      <c r="D2" s="2457"/>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openxmlformats.org/package/2006/metadata/core-properties"/>
    <ds:schemaRef ds:uri="http://purl.org/dc/dcmitype/"/>
    <ds:schemaRef ds:uri="http://schemas.microsoft.com/sharepoint/v3"/>
    <ds:schemaRef ds:uri="d21dc803-237d-4c68-8692-8d731fd29118"/>
    <ds:schemaRef ds:uri="http://purl.org/dc/terms/"/>
    <ds:schemaRef ds:uri="http://purl.org/dc/elements/1.1/"/>
    <ds:schemaRef ds:uri="4d435f69-8686-490b-bd6d-b153bf22ab50"/>
    <ds:schemaRef ds:uri="http://schemas.microsoft.com/office/2006/metadata/properties"/>
    <ds:schemaRef ds:uri="6ce3111e-7420-4802-b50a-75d4e9a0b980"/>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2019-10-04T01:38:09Z</cp:lastPrinted>
  <dcterms:created xsi:type="dcterms:W3CDTF">2003-10-29T19:06:34Z</dcterms:created>
  <dcterms:modified xsi:type="dcterms:W3CDTF">2019-12-23T21:04:04Z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