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Joint Agreements 19\"/>
    </mc:Choice>
  </mc:AlternateContent>
  <xr:revisionPtr revIDLastSave="0" documentId="8_{8310BCCF-7E0C-4875-8A61-A07F2996C398}" xr6:coauthVersionLast="36" xr6:coauthVersionMax="36" xr10:uidLastSave="{00000000-0000-0000-0000-000000000000}"/>
  <bookViews>
    <workbookView xWindow="-1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J24" i="24" l="1"/>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82" i="36"/>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B6997" i="106" s="1"/>
  <c r="D6997" i="106" s="1"/>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64" i="127"/>
  <c r="B65" i="127"/>
  <c r="E26" i="108"/>
  <c r="G26" i="108"/>
  <c r="E27" i="108"/>
  <c r="F27" i="108"/>
  <c r="G27" i="108"/>
  <c r="F31" i="108"/>
  <c r="F36" i="108"/>
  <c r="G28"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F52" i="34"/>
  <c r="C53" i="34"/>
  <c r="D53" i="34"/>
  <c r="C56" i="34"/>
  <c r="F56" i="34"/>
  <c r="C57" i="34"/>
  <c r="D57" i="34"/>
  <c r="C61" i="34"/>
  <c r="C62" i="34"/>
  <c r="C63" i="34"/>
  <c r="D63" i="34"/>
  <c r="C64" i="34"/>
  <c r="F64" i="34"/>
  <c r="F65" i="34"/>
  <c r="C67" i="34"/>
  <c r="D67" i="34"/>
  <c r="F67" i="34"/>
  <c r="C68" i="34"/>
  <c r="D68" i="34"/>
  <c r="F68" i="34"/>
  <c r="C69" i="34"/>
  <c r="D69" i="34"/>
  <c r="F69" i="34"/>
  <c r="C70" i="34"/>
  <c r="D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B3647" i="106" l="1"/>
  <c r="D3647" i="106" s="1"/>
  <c r="H342" i="29"/>
  <c r="H28" i="118"/>
  <c r="F46" i="34"/>
  <c r="F42" i="34"/>
  <c r="F70" i="34"/>
  <c r="L342" i="29"/>
  <c r="F19" i="7"/>
  <c r="B1807" i="106" s="1"/>
  <c r="D1807" i="106" s="1"/>
  <c r="G29" i="108"/>
  <c r="F77" i="4"/>
  <c r="B3255" i="106" s="1"/>
  <c r="D3255" i="106" s="1"/>
  <c r="C129" i="29"/>
  <c r="F28" i="108"/>
  <c r="J77" i="4"/>
  <c r="B6262" i="106" s="1"/>
  <c r="D6262" i="106" s="1"/>
  <c r="J41" i="3"/>
  <c r="B6216" i="106" s="1"/>
  <c r="D6216" i="106" s="1"/>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B5527" i="106"/>
  <c r="D5527" i="106" s="1"/>
  <c r="L279" i="29"/>
  <c r="L295" i="29" s="1"/>
  <c r="L74" i="29"/>
  <c r="K33" i="29"/>
  <c r="B720" i="106"/>
  <c r="D720" i="106" s="1"/>
  <c r="B2031" i="106"/>
  <c r="D2031" i="106" s="1"/>
  <c r="L16" i="11"/>
  <c r="B2061" i="106" s="1"/>
  <c r="D2061" i="106" s="1"/>
  <c r="B7618" i="106"/>
  <c r="L14" i="11"/>
  <c r="B7623" i="106" s="1"/>
  <c r="B7230" i="106"/>
  <c r="D7230" i="106" s="1"/>
  <c r="I352" i="29"/>
  <c r="I367" i="29"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8" i="106"/>
  <c r="D1318"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66" i="5"/>
  <c r="J24" i="12"/>
  <c r="B7730" i="106"/>
  <c r="D7730" i="106" s="1"/>
  <c r="B3447" i="106"/>
  <c r="D3447" i="106" s="1"/>
  <c r="B7270" i="106"/>
  <c r="D7251" i="106" l="1"/>
  <c r="B1381" i="106"/>
  <c r="D1381" i="106" s="1"/>
  <c r="D7256" i="106"/>
  <c r="D7254" i="106"/>
  <c r="D7250" i="106"/>
  <c r="D51" i="36"/>
  <c r="D44" i="36"/>
  <c r="C114" i="29"/>
  <c r="B757" i="106" s="1"/>
  <c r="D757"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7224" i="106" l="1"/>
  <c r="D7224" i="106" s="1"/>
  <c r="D268" i="5"/>
  <c r="B5508" i="106" s="1"/>
  <c r="D5508" i="106" s="1"/>
  <c r="E41" i="108"/>
  <c r="E44" i="108" s="1"/>
  <c r="E45" i="108" s="1"/>
  <c r="J17" i="4"/>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6223" i="106"/>
  <c r="D6223" i="106" s="1"/>
  <c r="B2567" i="106"/>
  <c r="D2567" i="106" s="1"/>
  <c r="J20" i="4" l="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l="1"/>
  <c r="D81" i="4"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<sst xmlns="http://schemas.openxmlformats.org/spreadsheetml/2006/main" count="5057" uniqueCount="2091">
  <si>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</si>
  <si>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</si>
  <si>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</si>
  <si>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</si>
  <si>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</si>
  <si>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</si>
  <si>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</si>
  <si>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</si>
  <si>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</si>
  <si>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</si>
  <si>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</si>
  <si>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</si>
  <si>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</si>
  <si>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</si>
  <si>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</si>
  <si>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</si>
  <si>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</si>
  <si>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</si>
  <si>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</si>
  <si>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</si>
  <si>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</si>
  <si>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</si>
  <si>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</si>
  <si>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</si>
  <si>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</si>
  <si>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</si>
  <si>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</si>
  <si>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</si>
  <si>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</si>
  <si>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</si>
  <si>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</si>
  <si>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</si>
  <si>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</si>
  <si>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</si>
  <si>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</si>
  <si>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</si>
  <si>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</si>
  <si>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</si>
  <si>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</si>
  <si>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</si>
  <si>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</si>
  <si>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</si>
  <si>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</si>
  <si>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</si>
  <si>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</si>
  <si>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</si>
  <si>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</si>
  <si>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</si>
  <si>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</si>
  <si>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</si>
  <si>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</si>
  <si>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</si>
  <si>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</si>
  <si>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</si>
  <si>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</si>
  <si>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</si>
  <si>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</si>
  <si>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</si>
  <si>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</si>
  <si>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</si>
  <si>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</si>
  <si>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</si>
  <si>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</si>
  <si>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</si>
  <si>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</si>
  <si>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</si>
  <si>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</si>
  <si>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</si>
  <si>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</si>
  <si>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</si>
  <si>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</si>
  <si>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</si>
  <si>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</si>
  <si>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</si>
  <si>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</si>
  <si>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</si>
  <si>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</si>
  <si>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</si>
  <si>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</si>
  <si>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</si>
  <si>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</si>
  <si>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</si>
  <si>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</si>
  <si>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</si>
  <si>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</si>
  <si>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</si>
  <si>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</si>
  <si>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</si>
  <si>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</si>
  <si>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</si>
  <si>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</si>
  <si>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</si>
  <si>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</si>
  <si>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</si>
  <si>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</si>
  <si>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</si>
  <si>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</si>
  <si>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</si>
  <si>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</si>
  <si>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</si>
  <si>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</si>
  <si>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</si>
  <si>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</si>
  <si>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</si>
  <si>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</si>
  <si>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</si>
  <si>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</si>
  <si>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</si>
  <si>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</si>
  <si>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</si>
  <si>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</si>
  <si>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</si>
  <si>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</si>
  <si>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</si>
  <si>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</si>
  <si>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</si>
  <si>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</si>
  <si>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</si>
  <si>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</si>
  <si>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</si>
  <si>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</si>
  <si>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</si>
  <si>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</si>
  <si>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</si>
  <si>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</si>
  <si>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</si>
  <si>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</si>
  <si>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</si>
  <si>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</si>
  <si>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</si>
  <si>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</si>
  <si>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</si>
  <si>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</si>
  <si>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</si>
  <si>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</si>
  <si>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</si>
  <si>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</si>
  <si>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</si>
  <si>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</si>
  <si>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</si>
  <si>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</si>
  <si>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</si>
  <si>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</si>
  <si>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</si>
  <si>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</si>
  <si>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</si>
  <si>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</si>
  <si>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</si>
  <si>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</si>
  <si>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</si>
  <si>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</si>
  <si>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</si>
  <si>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</si>
  <si>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</si>
  <si>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</si>
  <si>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</si>
  <si>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</si>
  <si>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</si>
  <si>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</si>
  <si>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</si>
  <si>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</si>
  <si>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</si>
  <si>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</si>
  <si>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</si>
  <si>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</si>
  <si>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</si>
  <si>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</si>
  <si>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</si>
  <si>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</si>
  <si>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</si>
  <si>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</si>
  <si>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</si>
  <si>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</si>
  <si>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</si>
  <si>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</si>
  <si>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</si>
  <si>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</si>
  <si>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</si>
  <si>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</si>
  <si>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</si>
  <si>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</si>
  <si>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</si>
  <si>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</si>
  <si>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</si>
  <si>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</si>
  <si>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</si>
  <si>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</si>
  <si>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</si>
  <si>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</si>
  <si>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</si>
  <si>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</si>
  <si>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</si>
  <si>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</si>
  <si>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</si>
  <si>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</si>
  <si>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</si>
  <si>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</si>
  <si>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</si>
  <si>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</si>
  <si>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</si>
  <si>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</si>
  <si>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</si>
  <si>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</si>
  <si>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</si>
  <si>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</si>
  <si>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</si>
  <si>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</si>
  <si>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</si>
  <si>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</si>
  <si>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</si>
  <si>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</si>
  <si>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</si>
  <si>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</si>
  <si>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</si>
  <si>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</si>
  <si>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</si>
  <si>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</si>
  <si>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</si>
  <si>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</si>
  <si>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</si>
  <si>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</si>
  <si>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</si>
  <si>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</si>
  <si>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</si>
  <si>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</si>
  <si>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</si>
  <si>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</si>
  <si>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</si>
  <si>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</si>
  <si>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</si>
  <si>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</si>
  <si>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</si>
  <si>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</si>
  <si>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</si>
  <si>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</si>
  <si>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</si>
  <si>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</si>
  <si>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</si>
  <si>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</si>
  <si>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</si>
  <si>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</si>
  <si>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</si>
  <si>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</si>
  <si>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</si>
  <si>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</si>
  <si>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</si>
  <si>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</si>
  <si>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</si>
  <si>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</si>
  <si>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</si>
  <si>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</si>
  <si>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</si>
  <si>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</si>
  <si>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</si>
  <si>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</si>
  <si>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</si>
  <si>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</si>
  <si>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</si>
  <si>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</si>
  <si>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</si>
  <si>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</si>
  <si>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</si>
  <si>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</si>
  <si>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</si>
  <si>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</si>
  <si>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</si>
  <si>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</si>
  <si>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</si>
  <si>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</si>
  <si>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</si>
  <si>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</si>
  <si>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</si>
  <si>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</si>
  <si>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</si>
  <si>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</si>
  <si>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</si>
  <si>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</si>
  <si>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</si>
  <si>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</si>
  <si>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</si>
  <si>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</si>
  <si>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</si>
  <si>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</si>
  <si>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</si>
  <si>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</si>
  <si>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</si>
  <si>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</si>
  <si>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</si>
  <si>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</si>
  <si>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</si>
  <si>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</si>
  <si>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</si>
  <si>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</si>
  <si>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</si>
  <si>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</si>
  <si>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</si>
  <si>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</si>
  <si>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</si>
  <si>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</si>
  <si>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</si>
  <si>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</si>
  <si>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</si>
  <si>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</si>
  <si>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</si>
  <si>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</si>
  <si>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</si>
  <si>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</si>
  <si>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</si>
  <si>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</si>
  <si>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</si>
  <si>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</si>
  <si>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</si>
  <si>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</si>
  <si>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</si>
  <si>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</si>
  <si>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</si>
  <si>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</si>
  <si>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</si>
  <si>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</si>
  <si>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</si>
  <si>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</si>
  <si>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</si>
  <si>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</si>
  <si>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</si>
  <si>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</si>
  <si>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</si>
  <si>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</si>
  <si>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</si>
  <si>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</si>
  <si>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</si>
  <si>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</si>
  <si>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</si>
  <si>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</si>
  <si>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</si>
  <si>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</si>
  <si>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</si>
  <si>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</si>
  <si>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</si>
  <si>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</si>
  <si>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</si>
  <si>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</si>
  <si>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</si>
  <si>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</si>
  <si>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</si>
  <si>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</si>
  <si>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</si>
  <si>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</si>
  <si>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</si>
  <si>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</si>
  <si>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</si>
  <si>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</si>
  <si>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</si>
  <si>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</si>
  <si>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</si>
  <si>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</si>
  <si>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</si>
  <si>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</si>
  <si>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</si>
  <si>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</si>
  <si>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</si>
  <si>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</si>
  <si>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</si>
  <si>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</si>
  <si>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</si>
  <si>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</si>
  <si>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</si>
  <si>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</si>
  <si>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</si>
  <si>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</si>
  <si>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</si>
  <si>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</si>
  <si>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</si>
  <si>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</si>
  <si>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</si>
  <si>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</si>
  <si>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</si>
  <si>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</si>
  <si>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</si>
  <si>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</si>
  <si>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</si>
  <si>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</si>
  <si>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</si>
  <si>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</si>
  <si>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</si>
  <si>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</si>
  <si>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</si>
  <si>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</si>
  <si>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</si>
  <si>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</si>
  <si>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</si>
  <si>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</si>
  <si>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</si>
  <si>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</si>
  <si>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</si>
  <si>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</si>
  <si>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</si>
  <si>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</si>
  <si>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</si>
  <si>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</si>
  <si>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</si>
  <si>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</si>
  <si>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</si>
  <si>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</si>
  <si>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</si>
  <si>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</si>
  <si>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</si>
  <si>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</si>
  <si>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</si>
  <si>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</si>
  <si>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</si>
  <si>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</si>
  <si>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</si>
  <si>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</si>
  <si>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</si>
  <si>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</si>
  <si>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</si>
  <si>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</si>
  <si>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</si>
  <si>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</si>
  <si>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</si>
  <si>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</si>
  <si>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</si>
  <si>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</si>
  <si>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</si>
  <si>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</si>
  <si>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</si>
  <si>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</si>
  <si>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</si>
  <si>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</si>
  <si>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</si>
  <si>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</si>
  <si>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</si>
  <si>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</si>
  <si>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</si>
  <si>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</si>
  <si>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</si>
  <si>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</si>
  <si>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</si>
  <si>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</si>
  <si>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</si>
  <si>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</si>
  <si>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</si>
  <si>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</si>
  <si>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</si>
  <si>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</si>
  <si>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</si>
  <si>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</si>
  <si>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</si>
  <si>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</si>
  <si>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</si>
  <si>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</si>
  <si>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</si>
  <si>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</si>
  <si>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</si>
  <si>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</si>
  <si>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</si>
  <si>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</si>
  <si>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</si>
  <si>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</si>
  <si>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</si>
  <si>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</si>
  <si>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</si>
  <si>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</si>
  <si>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</si>
  <si>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</si>
  <si>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</si>
  <si>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</si>
  <si>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</si>
  <si>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</si>
  <si>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</si>
  <si>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</si>
  <si>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</si>
  <si>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</si>
  <si>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</si>
  <si>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</si>
  <si>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</si>
  <si>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</si>
  <si>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</si>
  <si>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</si>
  <si>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</si>
  <si>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</si>
  <si>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</si>
  <si>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</si>
  <si>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</si>
  <si>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</si>
  <si>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</si>
  <si>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</si>
  <si>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</si>
  <si>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</si>
  <si>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</si>
  <si>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</si>
  <si>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</si>
  <si>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</si>
  <si>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</si>
  <si>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</si>
  <si>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</si>
  <si>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</si>
  <si>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</si>
  <si>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</si>
  <si>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</si>
  <si>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</si>
  <si>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</si>
  <si>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</si>
  <si>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</si>
  <si>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</si>
  <si>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</si>
  <si>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</si>
  <si>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</si>
  <si>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</si>
  <si>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</si>
  <si>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</si>
  <si>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</si>
  <si>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</si>
  <si>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</si>
  <si>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</si>
  <si>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</si>
  <si>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</si>
  <si>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</si>
  <si>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</si>
  <si>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</si>
  <si>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</si>
  <si>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</si>
  <si>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</si>
  <si>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</si>
  <si>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</si>
  <si>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</si>
  <si>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</si>
  <si>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</si>
  <si>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</si>
  <si>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</si>
  <si>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</si>
  <si>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</si>
  <si>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</si>
  <si>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</si>
  <si>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</si>
  <si>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</si>
  <si>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</si>
  <si>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</si>
  <si>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</si>
  <si>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</si>
  <si>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</si>
  <si>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</si>
  <si>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</si>
  <si>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</si>
  <si>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</si>
  <si>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</si>
  <si>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</si>
  <si>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</si>
  <si>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</si>
  <si>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</si>
  <si>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</si>
  <si>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</si>
  <si>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</si>
  <si>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</si>
  <si>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</si>
  <si>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</si>
  <si>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</si>
  <si>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</si>
  <si>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</si>
  <si>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</si>
  <si>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</si>
  <si>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</si>
  <si>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</si>
  <si>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</si>
  <si>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</si>
  <si>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</si>
  <si>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</si>
  <si>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</si>
  <si>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</si>
  <si>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</si>
  <si>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</si>
  <si>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</si>
  <si>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</si>
  <si>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</si>
  <si>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</si>
  <si>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</si>
  <si>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</si>
  <si>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</si>
  <si>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</si>
  <si>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</si>
  <si>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</si>
  <si>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</si>
  <si>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</si>
  <si>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</si>
  <si>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</si>
  <si>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</si>
  <si>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</si>
  <si>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</si>
  <si>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</si>
  <si>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</si>
  <si>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</si>
  <si>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</si>
  <si>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</si>
  <si>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</si>
  <si>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</si>
  <si>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</si>
  <si>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</si>
  <si>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</si>
  <si>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</si>
  <si>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</si>
  <si>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</si>
  <si>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</si>
  <si>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</si>
  <si>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</si>
  <si>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</si>
  <si>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</si>
  <si>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</si>
  <si>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</si>
  <si>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</si>
  <si>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</si>
  <si>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</si>
  <si>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</si>
  <si>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</si>
  <si>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</si>
  <si>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</si>
  <si>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</si>
  <si>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</si>
  <si>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</si>
  <si>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</si>
  <si>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</si>
  <si>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</si>
  <si>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</si>
  <si>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</si>
  <si>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</si>
  <si>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</si>
  <si>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</si>
  <si>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</si>
  <si>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</si>
  <si>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</si>
  <si>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</si>
  <si>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</si>
  <si>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</si>
  <si>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</si>
  <si>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</si>
  <si>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</si>
  <si>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</si>
  <si>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</si>
  <si>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</si>
  <si>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</si>
  <si>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</si>
  <si>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</si>
  <si>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</si>
  <si>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</si>
  <si>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</si>
  <si>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</si>
  <si>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</si>
  <si>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</si>
  <si>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</si>
  <si>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</si>
  <si>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</si>
  <si>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</si>
  <si>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</si>
  <si>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</si>
  <si>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</si>
  <si>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</si>
  <si>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</si>
  <si>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</si>
  <si>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</si>
  <si>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</si>
  <si>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</si>
  <si>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</si>
  <si>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</si>
  <si>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</si>
  <si>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</si>
  <si>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</si>
  <si>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</si>
  <si>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</si>
  <si>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</si>
  <si>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</si>
  <si>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</si>
  <si>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</si>
  <si>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</si>
  <si>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</si>
  <si>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</si>
  <si>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</si>
  <si>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</si>
  <si>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</si>
  <si>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</si>
  <si>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</si>
  <si>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</si>
  <si>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</si>
  <si>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</si>
  <si>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</si>
  <si>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</si>
  <si>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</si>
  <si>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</si>
  <si>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</si>
  <si>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</si>
  <si>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</si>
  <si>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</si>
  <si>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</si>
  <si>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</si>
  <si>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</si>
  <si>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</si>
  <si>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</si>
  <si>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</si>
  <si>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</si>
  <si>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</si>
  <si>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</si>
  <si>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</si>
  <si>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</si>
  <si>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</si>
  <si>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</si>
  <si>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</si>
  <si>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</si>
  <si>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</si>
  <si>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</si>
  <si>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</si>
  <si>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</si>
  <si>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</si>
  <si>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</si>
  <si>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</si>
  <si>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</si>
  <si>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</si>
  <si>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</si>
  <si>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</si>
  <si>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</si>
  <si>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</si>
  <si>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</si>
  <si>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</si>
  <si>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</si>
  <si>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</si>
  <si>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</si>
  <si>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</si>
  <si>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</si>
  <si>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</si>
  <si>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</si>
  <si>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</si>
  <si>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</si>
  <si>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</si>
  <si>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</si>
  <si>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</si>
  <si>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</si>
  <si>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</si>
  <si>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</si>
  <si>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</si>
  <si>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</si>
  <si>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</si>
  <si>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</si>
  <si>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</si>
  <si>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</si>
  <si>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</si>
  <si>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</si>
  <si>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</si>
  <si>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</si>
  <si>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</si>
  <si>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</si>
  <si>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</si>
  <si>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</si>
  <si>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</si>
  <si>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</si>
  <si>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</si>
  <si>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</si>
  <si>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</si>
  <si>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</si>
  <si>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</si>
  <si>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</si>
  <si>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</si>
  <si>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</si>
  <si>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</si>
  <si>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</si>
  <si>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</si>
  <si>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</si>
  <si>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</si>
  <si>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</si>
  <si>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</si>
  <si>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</si>
  <si>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</si>
  <si>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</si>
  <si>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</si>
  <si>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</si>
  <si>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</si>
  <si>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</si>
  <si>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</si>
  <si>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</si>
  <si>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</si>
  <si>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</si>
  <si>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</si>
  <si>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</si>
  <si>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</si>
  <si>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</si>
  <si>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</si>
  <si>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</si>
  <si>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</si>
  <si>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</si>
  <si>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</si>
  <si>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</si>
  <si>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</si>
  <si>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</si>
  <si>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</si>
  <si>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</si>
  <si>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</si>
  <si>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</si>
  <si>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</si>
  <si>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</si>
  <si>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</si>
  <si>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</si>
  <si>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</si>
  <si>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</si>
  <si>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</si>
  <si>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</si>
  <si>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</si>
  <si>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</si>
  <si>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</si>
  <si>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</si>
  <si>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</si>
  <si>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</si>
  <si>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</si>
  <si>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</si>
  <si>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</si>
  <si>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</si>
  <si>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</si>
  <si>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</si>
  <si>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</si>
  <si>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</si>
  <si>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</si>
  <si>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</si>
  <si>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</si>
  <si>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</si>
  <si>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</si>
  <si>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</si>
  <si>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</si>
  <si>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</si>
  <si>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</si>
  <si>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</si>
  <si>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</si>
  <si>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</si>
  <si>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</si>
  <si>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</si>
  <si>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</si>
  <si>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</si>
  <si>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</si>
  <si>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</si>
  <si>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</si>
  <si>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</si>
  <si>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</si>
  <si>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</si>
  <si>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</si>
  <si>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</si>
  <si>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</si>
  <si>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</si>
  <si>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</si>
  <si>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</si>
  <si>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</si>
  <si>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</si>
  <si>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</si>
  <si>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</si>
  <si>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</si>
  <si>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</si>
  <si>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</si>
  <si>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</si>
  <si>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</si>
  <si>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</si>
  <si>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</si>
  <si>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</si>
  <si>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</si>
  <si>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</si>
  <si>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</si>
  <si>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</si>
  <si>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</si>
  <si>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</si>
  <si>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</si>
  <si>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</si>
  <si>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</si>
  <si>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</si>
  <si>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</si>
  <si>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</si>
  <si>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</si>
  <si>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</si>
  <si>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</si>
  <si>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</si>
  <si>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</si>
  <si>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</si>
  <si>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</si>
  <si>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</si>
  <si>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</si>
  <si>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</si>
  <si>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</si>
  <si>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</si>
  <si>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</si>
  <si>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</si>
  <si>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</si>
  <si>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</si>
  <si>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</si>
  <si>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</si>
  <si>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</si>
  <si>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</si>
  <si>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</si>
  <si>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</si>
  <si>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</si>
  <si>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</si>
  <si>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</si>
  <si>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</si>
  <si>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</si>
  <si>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</si>
  <si>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</si>
  <si>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</si>
  <si>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</si>
  <si>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</si>
  <si>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</si>
  <si>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</si>
  <si>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</si>
  <si>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</si>
  <si>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</si>
  <si>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</si>
  <si>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</si>
  <si>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</si>
  <si>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</si>
  <si>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</si>
  <si>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</si>
  <si>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</si>
  <si>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</si>
  <si>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</si>
  <si>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</si>
  <si>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</si>
  <si>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</si>
  <si>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</si>
  <si>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</si>
  <si>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</si>
  <si>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</si>
  <si>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</si>
  <si>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</si>
  <si>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</si>
  <si>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</si>
  <si>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</si>
  <si>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</si>
  <si>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</si>
  <si>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</si>
  <si>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</si>
  <si>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</si>
  <si>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</si>
  <si>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</si>
  <si>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</si>
  <si>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</si>
  <si>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</si>
  <si>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</si>
  <si>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</si>
  <si>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</si>
  <si>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</si>
  <si>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</si>
  <si>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</si>
  <si>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</si>
  <si>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</si>
  <si>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</si>
  <si>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</si>
  <si>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</si>
  <si>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</si>
  <si>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</si>
  <si>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</si>
  <si>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</si>
  <si>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</si>
  <si>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</si>
  <si>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</si>
  <si>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</si>
  <si>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</si>
  <si>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</si>
  <si>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</si>
  <si>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</si>
  <si>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</si>
  <si>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</si>
  <si>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</si>
  <si>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</si>
  <si>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</si>
  <si>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</si>
  <si>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</si>
  <si>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</si>
  <si>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</si>
  <si>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</si>
  <si>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</si>
  <si>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</si>
  <si>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</si>
  <si>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</si>
  <si>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</si>
  <si>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</si>
  <si>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</si>
  <si>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</si>
  <si>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</si>
  <si>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</si>
  <si>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</si>
  <si>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</si>
  <si>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</si>
  <si>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</si>
  <si>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</si>
  <si>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</si>
  <si>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</si>
  <si>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</si>
  <si>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</si>
  <si>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</si>
  <si>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</si>
  <si>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</si>
  <si>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</si>
  <si>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</si>
  <si>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</si>
  <si>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</si>
  <si>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</si>
  <si>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</si>
  <si>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</si>
  <si>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</si>
  <si>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</si>
  <si>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</si>
  <si>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</si>
  <si>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</si>
  <si>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</si>
  <si>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</si>
  <si>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</si>
  <si>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</si>
  <si>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</si>
  <si>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</si>
  <si>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</si>
  <si>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</si>
  <si>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</si>
  <si>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</si>
  <si>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</si>
  <si>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</si>
  <si>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</si>
  <si>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</si>
  <si>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</si>
  <si>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</si>
  <si>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</si>
  <si>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</si>
  <si>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</si>
  <si>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</si>
  <si>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</si>
  <si>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</si>
  <si>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</si>
  <si>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</si>
  <si>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</si>
  <si>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</si>
  <si>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</si>
  <si>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</si>
  <si>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</si>
  <si>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</si>
  <si>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</si>
  <si>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</si>
  <si>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</si>
  <si>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</si>
  <si>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</si>
  <si>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</si>
  <si>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</si>
  <si>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</si>
  <si>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</si>
  <si>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</si>
  <si>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</si>
  <si>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</si>
  <si>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</si>
  <si>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</si>
  <si>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</si>
  <si>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</si>
  <si>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</si>
  <si>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</si>
  <si>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</si>
  <si>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</si>
  <si>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</si>
  <si>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</si>
  <si>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</si>
  <si>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</si>
  <si>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</si>
  <si>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</si>
  <si>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</si>
  <si>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</si>
  <si>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</si>
  <si>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</si>
  <si>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</si>
  <si>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</si>
  <si>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</si>
  <si>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</si>
  <si>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</si>
  <si>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</si>
  <si>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</si>
  <si>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</si>
  <si>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</si>
  <si>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</si>
  <si>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</si>
  <si>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</si>
  <si>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</si>
  <si>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</si>
  <si>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</si>
  <si>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</si>
  <si>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</si>
  <si>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</si>
  <si>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</si>
  <si>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</si>
  <si>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</si>
  <si>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</si>
  <si>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</si>
  <si>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</si>
  <si>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</si>
  <si>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</si>
  <si>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</si>
  <si>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</si>
  <si>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</si>
  <si>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</si>
  <si>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</si>
  <si>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</si>
  <si>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</si>
  <si>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</si>
  <si>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</si>
  <si>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</si>
  <si>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</si>
  <si>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</si>
  <si>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</si>
  <si>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</si>
  <si>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</si>
  <si>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</si>
  <si>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</si>
  <si>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</si>
  <si>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</si>
  <si>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</si>
  <si>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</si>
  <si>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</si>
  <si>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</si>
  <si>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</si>
  <si>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</si>
  <si>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</si>
  <si>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</si>
  <si>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</si>
  <si>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</si>
  <si>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</si>
  <si>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</si>
  <si>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</si>
  <si>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</si>
  <si>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</si>
  <si>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</si>
  <si>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</si>
  <si>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</si>
  <si>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</si>
  <si>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</si>
  <si>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</si>
  <si>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</si>
  <si>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</si>
  <si>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</si>
  <si>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</si>
  <si>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</si>
  <si>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</si>
  <si>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</si>
  <si>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</si>
  <si>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</si>
  <si>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</si>
  <si>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</si>
  <si>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</si>
  <si>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</si>
  <si>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</si>
  <si>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</si>
  <si>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</si>
  <si>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</si>
  <si>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</si>
  <si>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</si>
  <si>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</si>
  <si>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</si>
  <si>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</si>
  <si>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</si>
  <si>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</si>
  <si>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</si>
  <si>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</si>
  <si>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</si>
  <si>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</si>
  <si>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</si>
  <si>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</si>
  <si>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</si>
  <si>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</si>
  <si>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</si>
  <si>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</si>
  <si>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</si>
  <si>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</si>
  <si>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</si>
  <si>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</si>
  <si>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</si>
  <si>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</si>
  <si>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</si>
  <si>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</si>
  <si>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</si>
  <si>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</si>
  <si>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</si>
  <si>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</si>
  <si>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</si>
  <si>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</si>
  <si>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</si>
  <si>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</si>
  <si>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</si>
  <si>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</si>
  <si>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</si>
  <si>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</si>
  <si>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</si>
  <si>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</si>
  <si>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</si>
  <si>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</si>
  <si>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</si>
  <si>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</si>
  <si>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</si>
  <si>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</si>
  <si>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</si>
  <si>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</si>
  <si>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</si>
  <si>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</si>
  <si>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</si>
  <si>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</si>
  <si>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</si>
  <si>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</si>
  <si>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</si>
  <si>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</si>
  <si>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</si>
  <si>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</si>
  <si>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</si>
  <si>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</si>
  <si>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</si>
  <si>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</si>
  <si>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</si>
  <si>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</si>
  <si>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</si>
  <si>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</si>
  <si>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</si>
  <si>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</si>
  <si>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</si>
  <si>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</si>
  <si>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</si>
  <si>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</si>
  <si>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</si>
  <si>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</si>
  <si>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</si>
  <si>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</si>
  <si>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</si>
  <si>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</si>
  <si>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</si>
  <si>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</si>
  <si>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</si>
  <si>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</si>
  <si>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</si>
  <si>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</si>
  <si>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</si>
  <si>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</si>
  <si>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</si>
  <si>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</si>
  <si>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</si>
  <si>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</si>
  <si>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</si>
  <si>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</si>
  <si>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</si>
  <si>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</si>
  <si>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</si>
  <si>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</si>
  <si>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</si>
  <si>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</si>
  <si>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</si>
  <si>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</si>
  <si>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</si>
  <si>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</si>
  <si>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</si>
  <si>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</si>
  <si>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</si>
  <si>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</si>
  <si>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</si>
  <si>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</si>
  <si>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</si>
  <si>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</si>
  <si>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</si>
  <si>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</si>
  <si>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</si>
  <si>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</si>
  <si>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</si>
  <si>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</si>
  <si>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</si>
  <si>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</si>
  <si>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</si>
  <si>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</si>
  <si>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</si>
  <si>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</si>
  <si>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</si>
  <si>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</si>
  <si>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</si>
  <si>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</si>
  <si>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</si>
  <si>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</si>
  <si>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</si>
  <si>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</si>
  <si>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</si>
  <si>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</si>
  <si>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</si>
  <si>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</si>
  <si>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</si>
  <si>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</si>
  <si>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</si>
  <si>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</si>
  <si>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</si>
  <si>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</si>
  <si>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</si>
  <si>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</si>
  <si>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</si>
  <si>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</si>
  <si>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</si>
  <si>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</si>
  <si>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</si>
  <si>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</si>
  <si>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</si>
  <si>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</si>
  <si>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</si>
  <si>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</si>
  <si>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</si>
  <si>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</si>
  <si>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</si>
  <si>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</si>
  <si>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</si>
  <si>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</si>
  <si>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</si>
  <si>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</si>
  <si>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</si>
  <si>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</si>
  <si>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</si>
  <si>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</si>
  <si>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</si>
  <si>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</si>
  <si>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</si>
  <si>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</si>
  <si>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</si>
  <si>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</si>
  <si>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</si>
  <si>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</si>
  <si>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</si>
  <si>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</si>
  <si>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</si>
  <si>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</si>
  <si>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</si>
  <si>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</si>
  <si>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</si>
  <si>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</si>
  <si>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</si>
  <si>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</si>
  <si>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</si>
  <si>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</si>
  <si>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</si>
  <si>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</si>
  <si>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</si>
  <si>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</si>
  <si>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</si>
  <si>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</si>
  <si>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</si>
  <si>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</si>
  <si>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</si>
  <si>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</si>
  <si>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</si>
  <si>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</si>
  <si>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</si>
  <si>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</si>
  <si>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</si>
  <si>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</si>
  <si>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</si>
  <si>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</si>
  <si>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</si>
  <si>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</si>
  <si>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</si>
  <si>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</si>
  <si>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</si>
  <si>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</si>
  <si>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</si>
  <si>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</si>
  <si>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</si>
  <si>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</si>
  <si>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</si>
  <si>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</si>
  <si>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</si>
  <si>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</si>
  <si>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</si>
  <si>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</si>
  <si>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</si>
  <si>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</si>
  <si>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</si>
  <si>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</si>
  <si>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</si>
  <si>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</si>
  <si>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</si>
  <si>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</si>
  <si>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</si>
  <si>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</si>
  <si>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</si>
  <si>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</si>
  <si>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</si>
  <si>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</si>
  <si>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</si>
  <si>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</si>
  <si>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</si>
  <si>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</si>
  <si>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</si>
  <si>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</si>
  <si>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</si>
  <si>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</si>
  <si>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</si>
  <si>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</si>
  <si>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</si>
  <si>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</si>
  <si>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</si>
  <si>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</si>
  <si>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</si>
  <si>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</si>
  <si>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</si>
  <si>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</si>
  <si>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</si>
  <si>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</si>
  <si>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</si>
  <si>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</si>
  <si>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</si>
  <si>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</si>
  <si>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</si>
  <si>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</si>
  <si>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</si>
  <si>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</si>
  <si>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</si>
  <si>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</si>
  <si>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</si>
  <si>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</si>
  <si>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</si>
  <si>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</si>
  <si>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</si>
  <si>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</si>
  <si>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</si>
  <si>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</si>
  <si>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</si>
  <si>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</si>
  <si>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</si>
  <si>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</si>
  <si>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</si>
  <si>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</si>
  <si>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</si>
  <si>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</si>
  <si>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</si>
  <si>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</si>
  <si>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</si>
  <si>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</si>
  <si>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</si>
  <si>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</si>
  <si>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</si>
  <si>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</si>
  <si>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</si>
  <si>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</si>
  <si>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</si>
  <si>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</si>
  <si>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</si>
  <si>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</si>
  <si>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</si>
  <si>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</si>
  <si>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</si>
  <si>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</si>
  <si>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</si>
  <si>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</si>
  <si>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</si>
  <si>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</si>
  <si>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</si>
  <si>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</si>
  <si>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</si>
  <si>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</si>
  <si>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</si>
  <si>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</si>
  <si>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</si>
  <si>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</si>
  <si>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</si>
  <si>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</si>
  <si>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</si>
  <si>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</si>
  <si>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</si>
  <si>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</si>
  <si>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</si>
  <si>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</si>
  <si>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</si>
  <si>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</si>
  <si>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</si>
  <si>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</si>
  <si>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</si>
  <si>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</si>
  <si>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</si>
  <si>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</si>
  <si>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</si>
  <si>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</si>
  <si>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</si>
  <si>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</si>
  <si>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</si>
  <si>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</si>
  <si>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</si>
  <si>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</si>
  <si>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</si>
  <si>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</si>
  <si>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</si>
  <si>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</si>
  <si>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</si>
  <si>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</si>
  <si>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</si>
  <si>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</si>
  <si>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</si>
  <si>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</si>
  <si>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</si>
  <si>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</si>
  <si>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</si>
  <si>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</si>
  <si>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</si>
  <si>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</si>
  <si>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</si>
  <si>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</si>
  <si>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</si>
  <si>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</si>
  <si>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</si>
  <si>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</si>
  <si>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</si>
  <si>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</si>
  <si>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</si>
  <si>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</si>
  <si>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</si>
  <si>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</si>
  <si>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</si>
  <si>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</si>
  <si>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</si>
  <si>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</si>
  <si>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</si>
  <si>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</si>
  <si>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</si>
  <si>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</si>
  <si>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</si>
  <si>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</si>
  <si>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</si>
  <si>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</si>
  <si>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</si>
  <si>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</si>
  <si>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</si>
  <si>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</si>
  <si>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</si>
  <si>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</si>
  <si>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</si>
  <si>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</si>
  <si>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</si>
  <si>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</si>
  <si>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</si>
  <si>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</si>
  <si>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</si>
  <si>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</si>
  <si>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</si>
  <si>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</si>
  <si>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</si>
  <si>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</si>
  <si>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</si>
  <si>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</si>
  <si>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</si>
  <si>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</si>
  <si>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</si>
  <si>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</si>
  <si>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</si>
  <si>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</si>
  <si>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</si>
  <si>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</si>
  <si>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</si>
  <si>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</si>
  <si>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</si>
  <si>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</si>
  <si>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</si>
  <si>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</si>
  <si>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</si>
  <si>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</si>
  <si>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</si>
  <si>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</si>
  <si>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</si>
  <si>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</si>
  <si>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</si>
  <si>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</si>
  <si>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</si>
  <si>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</si>
  <si>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</si>
  <si>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</si>
  <si>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</si>
  <si>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</si>
  <si>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</si>
  <si>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</si>
  <si>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</si>
  <si>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</si>
  <si>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</si>
  <si>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</si>
  <si>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</si>
  <si>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</si>
  <si>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</si>
  <si>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</si>
  <si>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</si>
  <si>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</si>
  <si>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</si>
  <si>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</si>
  <si>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</si>
  <si>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</si>
  <si>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</si>
  <si>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</si>
  <si>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</si>
  <si>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</si>
  <si>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</si>
  <si>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</si>
  <si>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</si>
  <si>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</si>
  <si>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</si>
  <si>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</si>
  <si>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</si>
  <si>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</si>
  <si>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</si>
  <si>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</si>
  <si>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</si>
  <si>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</si>
  <si>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</si>
  <si>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</si>
  <si>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</si>
  <si>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</si>
  <si>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</si>
  <si>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</si>
  <si>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</si>
  <si>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</si>
  <si>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</si>
  <si>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</si>
  <si>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</si>
  <si>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</si>
  <si>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</si>
  <si>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</si>
  <si>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</si>
  <si>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</si>
  <si>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</si>
  <si>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</si>
  <si>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</si>
  <si>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</si>
  <si>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</si>
  <si>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</si>
  <si>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</si>
  <si>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</si>
  <si>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</si>
  <si>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</si>
  <si>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</si>
  <si>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</si>
  <si>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</si>
  <si>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</si>
  <si>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</si>
  <si>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</si>
  <si>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</si>
  <si>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</si>
  <si>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</si>
  <si>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</si>
  <si>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</si>
  <si>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</si>
  <si>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</si>
  <si>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</si>
  <si>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</si>
  <si>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</si>
  <si>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</si>
  <si>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</si>
  <si>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</si>
  <si>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</si>
  <si>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</si>
  <si>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</si>
  <si>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</si>
  <si>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</si>
  <si>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</si>
  <si>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</si>
  <si>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</si>
  <si>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</si>
  <si>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</si>
  <si>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</si>
  <si>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</si>
  <si>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</si>
  <si>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</si>
  <si>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</si>
  <si>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</si>
  <si>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</si>
  <si>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</si>
  <si>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</si>
  <si>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</si>
  <si>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</si>
  <si>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</si>
  <si>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</si>
  <si>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</si>
  <si>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</si>
  <si>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</si>
  <si>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</si>
  <si>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</si>
  <si>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</si>
  <si>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</si>
  <si>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</si>
  <si>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</si>
  <si>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</si>
  <si>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</si>
  <si>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</si>
  <si>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</si>
  <si>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</si>
  <si>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</si>
  <si>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</si>
  <si>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</si>
  <si>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</si>
  <si>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</si>
  <si>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</si>
  <si>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</si>
  <si>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</si>
  <si>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</si>
  <si>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</si>
  <si>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</si>
  <si>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</si>
  <si>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</si>
  <si>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</si>
  <si>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</si>
  <si>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</si>
  <si>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</si>
  <si>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</si>
  <si>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</si>
  <si>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</si>
  <si>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</si>
  <si>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</si>
  <si>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</si>
  <si>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</si>
  <si>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</si>
  <si>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</si>
  <si>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</si>
  <si>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</si>
  <si>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</si>
  <si>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</si>
  <si>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</si>
  <si>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</si>
  <si>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</si>
  <si>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</si>
  <si>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</si>
  <si>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</si>
  <si>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</si>
  <si>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</si>
  <si>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</si>
  <si>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</si>
  <si>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</si>
  <si>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</si>
  <si>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</si>
  <si>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</si>
  <si>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</si>
  <si>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</si>
  <si>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</si>
  <si>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</si>
  <si>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</si>
  <si>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</si>
  <si>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</si>
  <si>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</si>
  <si>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</si>
  <si>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</si>
  <si>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</si>
  <si>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</si>
  <si>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</si>
  <si>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</si>
  <si>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</si>
  <si>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</si>
  <si>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</si>
  <si>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</si>
  <si>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</si>
  <si>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</si>
  <si>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</si>
  <si>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</si>
  <si>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</si>
  <si>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</si>
  <si>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</si>
  <si>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</si>
  <si>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</si>
  <si>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</si>
  <si>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</si>
  <si>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</si>
  <si>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</si>
  <si>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</si>
  <si>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</si>
  <si>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</si>
  <si>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</si>
  <si>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</si>
  <si>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</si>
  <si>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</si>
  <si>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</si>
  <si>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</si>
  <si>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</si>
  <si>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</si>
  <si>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</si>
  <si>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</si>
  <si>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</si>
  <si>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</si>
  <si>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</si>
  <si>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</si>
  <si>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</si>
  <si>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</si>
  <si>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</si>
  <si>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</si>
  <si>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</si>
  <si>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</si>
  <si>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</si>
  <si>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</si>
  <si>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</si>
  <si>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</si>
  <si>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</si>
  <si>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</si>
  <si>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</si>
  <si>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</si>
  <si>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</si>
  <si>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</si>
  <si>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</si>
  <si>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</si>
  <si>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</si>
  <si>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</si>
  <si>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</si>
  <si>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</si>
  <si>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</si>
  <si>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</si>
  <si>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</si>
  <si>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</si>
  <si>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</si>
  <si>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</si>
  <si>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</si>
  <si>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</si>
  <si>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</si>
  <si>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</si>
  <si>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</si>
  <si>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</si>
  <si>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</si>
  <si>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</si>
  <si>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</si>
  <si>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</si>
  <si>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</si>
  <si>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</si>
  <si>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</si>
  <si>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</si>
  <si>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</si>
  <si>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</si>
  <si>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</si>
  <si>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</si>
  <si>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</si>
  <si>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</si>
  <si>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</si>
  <si>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</si>
  <si>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</si>
  <si>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</si>
  <si>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</si>
  <si>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</si>
  <si>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</si>
  <si>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</si>
  <si>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</si>
  <si>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</si>
  <si>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</si>
  <si>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</si>
  <si>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</si>
  <si>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</si>
  <si>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</si>
  <si>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</si>
  <si>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</si>
  <si>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</si>
  <si>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</si>
  <si>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</si>
  <si>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</si>
  <si>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</si>
  <si>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</si>
  <si>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</si>
  <si>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</si>
  <si>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</si>
  <si>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</si>
  <si>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</si>
  <si>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</si>
  <si>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</si>
  <si>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</si>
  <si>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</si>
  <si>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</si>
  <si>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</si>
  <si>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</si>
  <si>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</si>
  <si>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</si>
  <si>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</si>
  <si>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</si>
  <si>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</si>
  <si>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</si>
  <si>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</si>
  <si>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</si>
  <si>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</si>
  <si>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</si>
  <si>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</si>
  <si>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</si>
  <si>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</si>
  <si>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</si>
  <si>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</si>
  <si>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</si>
  <si>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</si>
  <si>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</si>
  <si>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</si>
  <si>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</si>
  <si>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</si>
  <si>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</si>
  <si>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</si>
  <si>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</si>
  <si>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</si>
  <si>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</si>
  <si>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</si>
  <si>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</si>
  <si>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</si>
  <si>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</si>
  <si>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</si>
  <si>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</si>
  <si>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</si>
  <si>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</si>
  <si>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</si>
  <si>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</si>
  <si>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</si>
  <si>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</si>
  <si>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</si>
  <si>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</si>
  <si>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</si>
  <si>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</si>
  <si>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</si>
  <si>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</si>
  <si>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</si>
  <si>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</si>
  <si>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</si>
  <si>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</si>
  <si>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</si>
  <si>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</si>
  <si>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</si>
  <si>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</si>
  <si>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</si>
  <si>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</si>
  <si>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</si>
  <si>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</si>
  <si>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</si>
  <si>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</si>
  <si>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</si>
  <si>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</si>
  <si>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</si>
  <si>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</si>
  <si>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</si>
  <si>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</si>
  <si>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</si>
  <si>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</si>
  <si>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</si>
  <si>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</si>
  <si>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</si>
  <si>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</si>
  <si>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</si>
  <si>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</si>
  <si>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</si>
  <si>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</si>
  <si>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</si>
  <si>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</si>
  <si>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</si>
  <si>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</si>
  <si>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</si>
  <si>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</si>
  <si>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</si>
  <si>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</si>
  <si>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</si>
  <si>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</si>
  <si>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</si>
  <si>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</si>
  <si>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</si>
  <si>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</si>
  <si>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</si>
  <si>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</si>
  <si>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</si>
  <si>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</si>
  <si>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</si>
  <si>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</si>
  <si>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</si>
  <si>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</si>
  <si>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</si>
  <si>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</si>
  <si>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</si>
  <si>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</si>
  <si>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</si>
  <si>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</si>
  <si>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</si>
  <si>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</si>
  <si>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</si>
  <si>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</si>
  <si>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</si>
  <si>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</si>
  <si>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</si>
  <si>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</si>
  <si>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</si>
  <si>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</si>
  <si>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</si>
  <si>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</si>
  <si>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</si>
  <si>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</si>
  <si>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</si>
  <si>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</si>
  <si>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</si>
  <si>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</si>
  <si>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</si>
  <si>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</si>
  <si>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</si>
  <si>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</si>
  <si>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</si>
  <si>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</si>
  <si>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</si>
  <si>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</si>
  <si>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</si>
  <si>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</si>
  <si>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</si>
  <si>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</si>
  <si>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</si>
  <si>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</si>
  <si>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</si>
  <si>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</si>
  <si>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</si>
  <si>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</si>
  <si>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</si>
  <si>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</si>
  <si>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</si>
  <si>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</si>
  <si>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</si>
  <si>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</si>
  <si>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</si>
  <si>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</si>
  <si>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</si>
  <si>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</si>
  <si>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</si>
  <si>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</si>
  <si>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</si>
  <si>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</si>
  <si>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</si>
  <si>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</si>
  <si>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</si>
  <si>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</si>
  <si>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</si>
  <si>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</si>
  <si>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</si>
  <si>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</si>
  <si>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</si>
  <si>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</si>
  <si>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</si>
  <si>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</si>
  <si>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</si>
  <si>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</si>
  <si>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</si>
  <si>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</si>
  <si>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</si>
  <si>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</si>
  <si>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</si>
  <si>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</si>
  <si>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</si>
  <si>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</si>
  <si>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</si>
  <si>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</si>
  <si>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</si>
  <si>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</si>
  <si>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</si>
  <si>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</si>
  <si>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</si>
  <si>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</si>
  <si>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</si>
  <si>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</si>
  <si>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</si>
  <si>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</si>
  <si>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</si>
  <si>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</si>
  <si>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</si>
  <si>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</si>
  <si>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</si>
  <si>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</si>
  <si>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</si>
  <si>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</si>
  <si>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</si>
  <si>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</si>
  <si>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</si>
  <si>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</si>
  <si>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</si>
  <si>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</si>
  <si>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</si>
  <si>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</si>
  <si>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</si>
  <si>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</si>
  <si>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</si>
  <si>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</si>
  <si>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</si>
  <si>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</si>
  <si>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</si>
  <si>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</si>
  <si>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</si>
  <si>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</si>
  <si>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</si>
  <si>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</si>
  <si>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</si>
  <si>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</si>
  <si>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</si>
  <si>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</si>
  <si>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</si>
  <si>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</si>
  <si>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</si>
  <si>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</si>
  <si>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</si>
  <si>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VERMILION</t>
  </si>
  <si>
    <t>2000 EAST MAIN ST. LINCOLN HALL ROOM 110</t>
  </si>
  <si>
    <t>DANVILLE</t>
  </si>
  <si>
    <t>Nick Chatterton</t>
  </si>
  <si>
    <t>nchatterton@votec.k12.il.us</t>
  </si>
  <si>
    <t>217-443-8742</t>
  </si>
  <si>
    <t>No applicable contracts paid.</t>
  </si>
  <si>
    <t>Page 10 - Acct 1999 - Other Local Revenue</t>
  </si>
  <si>
    <t>Col 10 - Educational</t>
  </si>
  <si>
    <t>Girls Amped Up Camp Proceeds - $1,903</t>
  </si>
  <si>
    <t>Page 13 - Acct 4799 - CTE - Other</t>
  </si>
  <si>
    <t>CTE Perkins - Secondary - $216,030</t>
  </si>
  <si>
    <t>AUDITCHECK Tab - #13 Contracts Paid Error</t>
  </si>
  <si>
    <t>No applicable contracts paid in current year.</t>
  </si>
  <si>
    <t>Vermillion Voc Ed Deliver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</si>
</sst>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89">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415637</xdr:colOff>
          <xdr:row>2</xdr:row>
          <xdr:rowOff>103910</xdr:rowOff>
        </xdr:from>
        <xdr:to>
          <xdr:col>1</xdr:col>
          <xdr:colOff>1327439</xdr:colOff>
          <xdr:row>6</xdr:row>
          <xdr:rowOff>142010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18" t="s">
        <v>405</v>
      </c>
      <c r="J1" s="2019"/>
      <c r="K1" s="2019"/>
      <c r="L1" s="2019"/>
      <c r="M1" s="2019"/>
      <c r="N1" s="2019"/>
      <c r="O1" s="2019"/>
      <c r="P1" s="2019"/>
      <c r="Q1" s="2019"/>
      <c r="R1" s="2019"/>
      <c r="S1" s="2019"/>
    </row>
    <row r="2" spans="1:28" ht="12" customHeight="1" x14ac:dyDescent="0.2">
      <c r="A2" s="47" t="s">
        <v>1991</v>
      </c>
      <c r="D2" s="48"/>
      <c r="I2" s="2020" t="s">
        <v>979</v>
      </c>
      <c r="J2" s="2019"/>
      <c r="K2" s="2019"/>
      <c r="L2" s="2019"/>
      <c r="M2" s="2019"/>
      <c r="N2" s="2019"/>
      <c r="O2" s="2019"/>
      <c r="P2" s="2019"/>
      <c r="Q2" s="2019"/>
      <c r="R2" s="2019"/>
      <c r="S2" s="2019"/>
    </row>
    <row r="3" spans="1:28" ht="12" customHeight="1" x14ac:dyDescent="0.2">
      <c r="A3" s="155" t="s">
        <v>1943</v>
      </c>
      <c r="B3" s="156"/>
      <c r="C3" s="156"/>
      <c r="D3" s="157"/>
      <c r="I3" s="2020" t="s">
        <v>52</v>
      </c>
      <c r="J3" s="2019"/>
      <c r="K3" s="2019"/>
      <c r="L3" s="2019"/>
      <c r="M3" s="2019"/>
      <c r="N3" s="2019"/>
      <c r="O3" s="2019"/>
      <c r="P3" s="2019"/>
      <c r="Q3" s="2019"/>
      <c r="R3" s="2019"/>
      <c r="S3" s="2019"/>
    </row>
    <row r="4" spans="1:28" ht="12" customHeight="1" x14ac:dyDescent="0.2">
      <c r="A4" s="37"/>
      <c r="I4" s="2020" t="s">
        <v>524</v>
      </c>
      <c r="J4" s="2019"/>
      <c r="K4" s="2019"/>
      <c r="L4" s="2019"/>
      <c r="M4" s="2019"/>
      <c r="N4" s="2019"/>
      <c r="O4" s="2019"/>
      <c r="P4" s="2019"/>
      <c r="Q4" s="2019"/>
      <c r="R4" s="2019"/>
      <c r="S4" s="2019"/>
    </row>
    <row r="5" spans="1:28" ht="14.1" customHeight="1" x14ac:dyDescent="0.2">
      <c r="B5" s="104"/>
      <c r="C5" s="26" t="s">
        <v>910</v>
      </c>
      <c r="D5" s="84"/>
      <c r="E5" s="84"/>
      <c r="H5" s="38"/>
      <c r="I5" s="2027" t="s">
        <v>680</v>
      </c>
      <c r="J5" s="1971"/>
      <c r="K5" s="1971"/>
      <c r="L5" s="1971"/>
      <c r="M5" s="1971"/>
      <c r="N5" s="1971"/>
      <c r="O5" s="1971"/>
      <c r="P5" s="1971"/>
      <c r="Q5" s="1971"/>
      <c r="R5" s="1971"/>
      <c r="S5" s="1971"/>
    </row>
    <row r="6" spans="1:28" ht="14.1" customHeight="1" x14ac:dyDescent="0.2">
      <c r="B6" s="104" t="s">
        <v>2073</v>
      </c>
      <c r="C6" s="26" t="s">
        <v>911</v>
      </c>
      <c r="D6" s="84"/>
      <c r="E6" s="84"/>
      <c r="I6" s="2026" t="s">
        <v>883</v>
      </c>
      <c r="J6" s="1971"/>
      <c r="K6" s="1971"/>
      <c r="L6" s="1971"/>
      <c r="M6" s="1971"/>
      <c r="N6" s="1971"/>
      <c r="O6" s="1971"/>
      <c r="P6" s="1971"/>
      <c r="Q6" s="1971"/>
      <c r="R6" s="1971"/>
      <c r="S6" s="1971"/>
    </row>
    <row r="7" spans="1:28" ht="12.2" customHeight="1" x14ac:dyDescent="0.2">
      <c r="I7" s="2021">
        <v>43646</v>
      </c>
      <c r="J7" s="2022"/>
      <c r="K7" s="2022"/>
      <c r="L7" s="2022"/>
      <c r="M7" s="2022"/>
      <c r="N7" s="2022"/>
      <c r="O7" s="2022"/>
      <c r="P7" s="2022"/>
      <c r="Q7" s="2022"/>
      <c r="R7" s="2022"/>
      <c r="S7" s="202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3" t="s">
        <v>674</v>
      </c>
      <c r="J9" s="2024"/>
      <c r="K9" s="2024"/>
      <c r="L9" s="2024"/>
      <c r="M9" s="2024"/>
      <c r="N9" s="2024"/>
      <c r="O9" s="2024"/>
      <c r="P9" s="2024"/>
      <c r="Q9" s="2024"/>
      <c r="R9" s="2024"/>
      <c r="S9" s="2025"/>
      <c r="T9" s="1967" t="s">
        <v>533</v>
      </c>
      <c r="U9" s="1968"/>
      <c r="V9" s="1968"/>
      <c r="W9" s="1968"/>
      <c r="X9" s="1968"/>
      <c r="Y9" s="1968"/>
      <c r="Z9" s="1968"/>
      <c r="AA9" s="1969"/>
    </row>
    <row r="10" spans="1:28" ht="13.5" customHeight="1" x14ac:dyDescent="0.2">
      <c r="A10" s="1976" t="s">
        <v>675</v>
      </c>
      <c r="B10" s="1977"/>
      <c r="C10" s="1977"/>
      <c r="D10" s="1977"/>
      <c r="E10" s="1977"/>
      <c r="F10" s="1977"/>
      <c r="G10" s="1977"/>
      <c r="H10" s="1978"/>
      <c r="I10" s="29"/>
      <c r="J10" s="30"/>
      <c r="K10" s="28"/>
      <c r="R10" s="30"/>
      <c r="S10" s="30"/>
      <c r="T10" s="1970"/>
      <c r="U10" s="1971"/>
      <c r="V10" s="1971"/>
      <c r="W10" s="1971"/>
      <c r="X10" s="1971"/>
      <c r="Y10" s="1971"/>
      <c r="Z10" s="1971"/>
      <c r="AA10" s="1972"/>
    </row>
    <row r="11" spans="1:28" ht="14.25" customHeight="1" x14ac:dyDescent="0.2">
      <c r="A11" s="1979" t="s">
        <v>955</v>
      </c>
      <c r="B11" s="1980"/>
      <c r="C11" s="1980"/>
      <c r="D11" s="1980"/>
      <c r="E11" s="1980"/>
      <c r="F11" s="1980"/>
      <c r="G11" s="1980"/>
      <c r="H11" s="1981"/>
      <c r="I11" s="27"/>
      <c r="J11" s="74"/>
      <c r="K11" s="27"/>
      <c r="O11" s="148" t="s">
        <v>2073</v>
      </c>
      <c r="P11" s="100" t="s">
        <v>201</v>
      </c>
      <c r="Q11" s="30"/>
      <c r="R11" s="28"/>
      <c r="S11" s="27"/>
      <c r="T11" s="1973"/>
      <c r="U11" s="1974"/>
      <c r="V11" s="1974"/>
      <c r="W11" s="1974"/>
      <c r="X11" s="1974"/>
      <c r="Y11" s="1974"/>
      <c r="Z11" s="1974"/>
      <c r="AA11" s="1975"/>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7">
        <v>54092740045</v>
      </c>
      <c r="B13" s="1988"/>
      <c r="C13" s="1988"/>
      <c r="D13" s="1988"/>
      <c r="E13" s="1988"/>
      <c r="F13" s="1988"/>
      <c r="G13" s="1988"/>
      <c r="H13" s="1989"/>
      <c r="I13" s="31"/>
      <c r="J13" s="30"/>
      <c r="K13" s="28"/>
      <c r="L13" s="30"/>
      <c r="M13" s="30"/>
      <c r="N13" s="30"/>
      <c r="O13" s="30"/>
      <c r="P13" s="30"/>
      <c r="Q13" s="30"/>
      <c r="R13" s="30"/>
      <c r="S13" s="30"/>
      <c r="T13" s="1992" t="s">
        <v>2065</v>
      </c>
      <c r="U13" s="1993"/>
      <c r="V13" s="1993"/>
      <c r="W13" s="1993"/>
      <c r="X13" s="1993"/>
      <c r="Y13" s="1994"/>
      <c r="Z13" s="1994"/>
      <c r="AA13" s="1995"/>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5" t="s">
        <v>2076</v>
      </c>
      <c r="B15" s="1990"/>
      <c r="C15" s="1990"/>
      <c r="D15" s="1990"/>
      <c r="E15" s="1990"/>
      <c r="F15" s="1990"/>
      <c r="G15" s="1990"/>
      <c r="H15" s="1991"/>
      <c r="T15" s="1953" t="s">
        <v>2066</v>
      </c>
      <c r="U15" s="1954"/>
      <c r="V15" s="1954"/>
      <c r="W15" s="1954"/>
      <c r="X15" s="1954"/>
      <c r="Y15" s="1996"/>
      <c r="Z15" s="1996"/>
      <c r="AA15" s="1997"/>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2015" t="s">
        <v>2090</v>
      </c>
      <c r="B17" s="2016"/>
      <c r="C17" s="2016"/>
      <c r="D17" s="2016"/>
      <c r="E17" s="2016"/>
      <c r="F17" s="2016"/>
      <c r="G17" s="2016"/>
      <c r="H17" s="2017"/>
      <c r="T17" s="2002" t="s">
        <v>2067</v>
      </c>
      <c r="U17" s="2003"/>
      <c r="V17" s="2003"/>
      <c r="W17" s="2003"/>
      <c r="X17" s="2003"/>
      <c r="Y17" s="2003"/>
      <c r="Z17" s="2003"/>
      <c r="AA17" s="2004"/>
    </row>
    <row r="18" spans="1:27" ht="13.5" customHeight="1" x14ac:dyDescent="0.2">
      <c r="A18" s="85" t="s">
        <v>530</v>
      </c>
      <c r="B18" s="76"/>
      <c r="C18" s="72"/>
      <c r="D18" s="76"/>
      <c r="E18" s="76"/>
      <c r="F18" s="76"/>
      <c r="G18" s="76"/>
      <c r="H18" s="56"/>
      <c r="I18" s="2012" t="s">
        <v>676</v>
      </c>
      <c r="J18" s="2013"/>
      <c r="K18" s="2013"/>
      <c r="L18" s="2013"/>
      <c r="M18" s="2013"/>
      <c r="N18" s="2013"/>
      <c r="O18" s="2013"/>
      <c r="P18" s="2013"/>
      <c r="Q18" s="2013"/>
      <c r="R18" s="2013"/>
      <c r="S18" s="2014"/>
      <c r="T18" s="85" t="s">
        <v>711</v>
      </c>
      <c r="U18" s="51"/>
      <c r="V18" s="72"/>
      <c r="W18" s="50"/>
      <c r="X18" s="85" t="s">
        <v>266</v>
      </c>
      <c r="Y18" s="81"/>
      <c r="Z18" s="159" t="s">
        <v>677</v>
      </c>
      <c r="AA18" s="46"/>
    </row>
    <row r="19" spans="1:27" ht="13.5" customHeight="1" x14ac:dyDescent="0.2">
      <c r="A19" s="1985" t="s">
        <v>2077</v>
      </c>
      <c r="B19" s="1986"/>
      <c r="C19" s="1986"/>
      <c r="D19" s="1986"/>
      <c r="E19" s="1986"/>
      <c r="F19" s="1986"/>
      <c r="G19" s="1986"/>
      <c r="H19" s="1984"/>
      <c r="I19" s="30"/>
      <c r="J19" s="99"/>
      <c r="K19" s="40"/>
      <c r="L19" s="38"/>
      <c r="M19" s="112" t="s">
        <v>315</v>
      </c>
      <c r="P19" s="27"/>
      <c r="Q19" s="27"/>
      <c r="R19" s="27"/>
      <c r="S19" s="31"/>
      <c r="T19" s="1985" t="s">
        <v>2068</v>
      </c>
      <c r="U19" s="1983"/>
      <c r="V19" s="1983"/>
      <c r="W19" s="1984"/>
      <c r="X19" s="2000" t="s">
        <v>2069</v>
      </c>
      <c r="Y19" s="2001"/>
      <c r="Z19" s="1998">
        <v>60942</v>
      </c>
      <c r="AA19" s="1999"/>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2" t="s">
        <v>2078</v>
      </c>
      <c r="B21" s="1983"/>
      <c r="C21" s="1983"/>
      <c r="D21" s="1983"/>
      <c r="E21" s="1983"/>
      <c r="F21" s="1983"/>
      <c r="G21" s="1983"/>
      <c r="H21" s="1984"/>
      <c r="I21" s="2008" t="s">
        <v>678</v>
      </c>
      <c r="J21" s="1971"/>
      <c r="K21" s="1971"/>
      <c r="L21" s="1971"/>
      <c r="M21" s="1971"/>
      <c r="N21" s="1971"/>
      <c r="O21" s="1971"/>
      <c r="P21" s="1971"/>
      <c r="Q21" s="1971"/>
      <c r="R21" s="1971"/>
      <c r="S21" s="1972"/>
      <c r="T21" s="1950" t="s">
        <v>2070</v>
      </c>
      <c r="U21" s="1951"/>
      <c r="V21" s="1951"/>
      <c r="W21" s="1951"/>
      <c r="X21" s="1964" t="s">
        <v>2071</v>
      </c>
      <c r="Y21" s="1965"/>
      <c r="Z21" s="1965"/>
      <c r="AA21" s="1966"/>
    </row>
    <row r="22" spans="1:27" ht="13.5" customHeight="1" x14ac:dyDescent="0.2">
      <c r="A22" s="87" t="s">
        <v>531</v>
      </c>
      <c r="B22" s="59"/>
      <c r="C22" s="59"/>
      <c r="D22" s="59"/>
      <c r="E22" s="59"/>
      <c r="F22" s="59"/>
      <c r="G22" s="59"/>
      <c r="H22" s="60"/>
      <c r="I22" s="2009" t="s">
        <v>1429</v>
      </c>
      <c r="J22" s="2010"/>
      <c r="K22" s="2010"/>
      <c r="L22" s="2010"/>
      <c r="M22" s="2010"/>
      <c r="N22" s="2010"/>
      <c r="O22" s="2010"/>
      <c r="P22" s="2010"/>
      <c r="Q22" s="2010"/>
      <c r="R22" s="2010"/>
      <c r="S22" s="2011"/>
      <c r="T22" s="85" t="s">
        <v>1516</v>
      </c>
      <c r="U22" s="51"/>
      <c r="V22" s="72"/>
      <c r="W22" s="51"/>
      <c r="X22" s="160" t="s">
        <v>1318</v>
      </c>
      <c r="Z22" s="45"/>
      <c r="AA22" s="46"/>
    </row>
    <row r="23" spans="1:27" ht="13.5" customHeight="1" x14ac:dyDescent="0.2">
      <c r="A23" s="2005"/>
      <c r="B23" s="2006"/>
      <c r="C23" s="2006"/>
      <c r="D23" s="2006"/>
      <c r="E23" s="2006"/>
      <c r="F23" s="2006"/>
      <c r="G23" s="2006"/>
      <c r="H23" s="2007"/>
      <c r="T23" s="1945" t="s">
        <v>2074</v>
      </c>
      <c r="U23" s="1946"/>
      <c r="V23" s="1946"/>
      <c r="W23" s="1946"/>
      <c r="X23" s="1961">
        <v>44469</v>
      </c>
      <c r="Y23" s="1962"/>
      <c r="Z23" s="1962"/>
      <c r="AA23" s="1963"/>
    </row>
    <row r="24" spans="1:27" ht="14.1" customHeight="1" x14ac:dyDescent="0.2">
      <c r="A24" s="88" t="s">
        <v>677</v>
      </c>
      <c r="B24" s="49"/>
      <c r="C24" s="49"/>
      <c r="D24" s="49"/>
      <c r="E24" s="49"/>
      <c r="F24" s="49"/>
      <c r="G24" s="49"/>
      <c r="H24" s="61"/>
      <c r="J24" s="2048" t="str">
        <f>IF(B5="x",IF(AUDITCHECK!D29="AFR form Incomplete.","",IF(AUDITCHECK!D29="Deficit reduction plan is required.","School District must complete a deficit reduction plan in the 2019-2020 Budget",)),"")</f>
        <v/>
      </c>
      <c r="K24" s="2048"/>
      <c r="L24" s="2048"/>
      <c r="M24" s="2048"/>
      <c r="N24" s="2048"/>
      <c r="O24" s="2048"/>
      <c r="P24" s="2048"/>
      <c r="Q24" s="2048"/>
      <c r="R24" s="2048"/>
      <c r="S24" s="2049"/>
      <c r="T24" s="105" t="s">
        <v>531</v>
      </c>
      <c r="U24" s="106"/>
      <c r="V24" s="106"/>
      <c r="W24" s="106"/>
      <c r="X24" s="107"/>
      <c r="Y24" s="107"/>
      <c r="Z24" s="107"/>
      <c r="AA24" s="108"/>
    </row>
    <row r="25" spans="1:27" ht="14.1" customHeight="1" x14ac:dyDescent="0.2">
      <c r="A25" s="1982">
        <v>61862</v>
      </c>
      <c r="B25" s="1983"/>
      <c r="C25" s="1983"/>
      <c r="D25" s="1983"/>
      <c r="E25" s="1983"/>
      <c r="F25" s="1983"/>
      <c r="G25" s="1983"/>
      <c r="H25" s="1984"/>
      <c r="I25" s="113"/>
      <c r="J25" s="2050"/>
      <c r="K25" s="2050"/>
      <c r="L25" s="2050"/>
      <c r="M25" s="2050"/>
      <c r="N25" s="2050"/>
      <c r="O25" s="2050"/>
      <c r="P25" s="2050"/>
      <c r="Q25" s="2050"/>
      <c r="R25" s="2050"/>
      <c r="S25" s="2051"/>
      <c r="T25" s="1942" t="s">
        <v>2072</v>
      </c>
      <c r="U25" s="1943"/>
      <c r="V25" s="1943"/>
      <c r="W25" s="1943"/>
      <c r="X25" s="1943"/>
      <c r="Y25" s="1943"/>
      <c r="Z25" s="1943"/>
      <c r="AA25" s="1944"/>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1" t="s">
        <v>1511</v>
      </c>
      <c r="J27" s="2013"/>
      <c r="K27" s="2013"/>
      <c r="L27" s="2013"/>
      <c r="M27" s="2013"/>
      <c r="N27" s="2013"/>
      <c r="O27" s="2013"/>
      <c r="P27" s="2013"/>
      <c r="Q27" s="2013"/>
      <c r="R27" s="2013"/>
      <c r="S27" s="2014"/>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48" t="s">
        <v>2073</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2073</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6"/>
      <c r="Q35" s="1983"/>
      <c r="R35" s="1983"/>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2015" t="s">
        <v>2079</v>
      </c>
      <c r="B38" s="2016"/>
      <c r="C38" s="2016"/>
      <c r="D38" s="2016"/>
      <c r="E38" s="2016"/>
      <c r="F38" s="1983"/>
      <c r="G38" s="1983"/>
      <c r="H38" s="1984"/>
      <c r="I38" s="2035"/>
      <c r="J38" s="1954"/>
      <c r="K38" s="1954"/>
      <c r="L38" s="1954"/>
      <c r="M38" s="1954"/>
      <c r="N38" s="1954"/>
      <c r="O38" s="1954"/>
      <c r="P38" s="1955"/>
      <c r="Q38" s="1955"/>
      <c r="R38" s="1955"/>
      <c r="S38" s="1956"/>
      <c r="T38" s="1953"/>
      <c r="U38" s="1954"/>
      <c r="V38" s="1954"/>
      <c r="W38" s="1954"/>
      <c r="X38" s="1955"/>
      <c r="Y38" s="1955"/>
      <c r="Z38" s="1955"/>
      <c r="AA38" s="1956"/>
    </row>
    <row r="39" spans="1:27" ht="12" customHeight="1" x14ac:dyDescent="0.2">
      <c r="A39" s="2039" t="s">
        <v>531</v>
      </c>
      <c r="B39" s="2040"/>
      <c r="C39" s="72"/>
      <c r="D39" s="69"/>
      <c r="E39" s="69"/>
      <c r="F39" s="79"/>
      <c r="G39" s="69"/>
      <c r="H39" s="56"/>
      <c r="I39" s="2039" t="s">
        <v>531</v>
      </c>
      <c r="J39" s="2040"/>
      <c r="K39" s="2040"/>
      <c r="L39" s="2040"/>
      <c r="M39" s="2040"/>
      <c r="N39" s="67"/>
      <c r="O39" s="72"/>
      <c r="P39" s="72"/>
      <c r="Q39" s="78"/>
      <c r="R39" s="72"/>
      <c r="S39" s="56"/>
      <c r="T39" s="72" t="s">
        <v>531</v>
      </c>
      <c r="U39" s="51"/>
      <c r="V39" s="72"/>
      <c r="W39" s="50"/>
      <c r="X39" s="78"/>
      <c r="Y39" s="45"/>
      <c r="Z39" s="45"/>
      <c r="AA39" s="46"/>
    </row>
    <row r="40" spans="1:27" ht="13.5" customHeight="1" x14ac:dyDescent="0.2">
      <c r="A40" s="2042" t="s">
        <v>2080</v>
      </c>
      <c r="B40" s="2043"/>
      <c r="C40" s="2044"/>
      <c r="D40" s="2044"/>
      <c r="E40" s="2044"/>
      <c r="F40" s="2045"/>
      <c r="G40" s="2045"/>
      <c r="H40" s="2046"/>
      <c r="I40" s="1957"/>
      <c r="J40" s="1959"/>
      <c r="K40" s="1959"/>
      <c r="L40" s="1959"/>
      <c r="M40" s="1959"/>
      <c r="N40" s="1959"/>
      <c r="O40" s="1959"/>
      <c r="P40" s="1959"/>
      <c r="Q40" s="1959"/>
      <c r="R40" s="1959"/>
      <c r="S40" s="1960"/>
      <c r="T40" s="1957"/>
      <c r="U40" s="1958"/>
      <c r="V40" s="1959"/>
      <c r="W40" s="1959"/>
      <c r="X40" s="1959"/>
      <c r="Y40" s="1959"/>
      <c r="Z40" s="1959"/>
      <c r="AA40" s="1960"/>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32" t="s">
        <v>2081</v>
      </c>
      <c r="B42" s="2033"/>
      <c r="C42" s="2034"/>
      <c r="D42" s="2047"/>
      <c r="E42" s="2033"/>
      <c r="F42" s="2033"/>
      <c r="G42" s="2033"/>
      <c r="H42" s="2034"/>
      <c r="I42" s="1952"/>
      <c r="J42" s="1948"/>
      <c r="K42" s="1948"/>
      <c r="L42" s="1948"/>
      <c r="M42" s="1948"/>
      <c r="N42" s="1948"/>
      <c r="O42" s="1949"/>
      <c r="P42" s="1947"/>
      <c r="Q42" s="1948"/>
      <c r="R42" s="1948"/>
      <c r="S42" s="1949"/>
      <c r="T42" s="1952"/>
      <c r="U42" s="1948"/>
      <c r="V42" s="1948"/>
      <c r="W42" s="1949"/>
      <c r="X42" s="1947"/>
      <c r="Y42" s="1948"/>
      <c r="Z42" s="1948"/>
      <c r="AA42" s="1949"/>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6"/>
      <c r="B44" s="2037"/>
      <c r="C44" s="2037"/>
      <c r="D44" s="2037"/>
      <c r="E44" s="2037"/>
      <c r="F44" s="2037"/>
      <c r="G44" s="2037"/>
      <c r="H44" s="2038"/>
      <c r="I44" s="2028"/>
      <c r="J44" s="2030"/>
      <c r="K44" s="2030"/>
      <c r="L44" s="2030"/>
      <c r="M44" s="2030"/>
      <c r="N44" s="2030"/>
      <c r="O44" s="2030"/>
      <c r="P44" s="2030"/>
      <c r="Q44" s="2030"/>
      <c r="R44" s="2030"/>
      <c r="S44" s="2031"/>
      <c r="T44" s="2028"/>
      <c r="U44" s="2029"/>
      <c r="V44" s="2029"/>
      <c r="W44" s="2029"/>
      <c r="X44" s="2029"/>
      <c r="Y44" s="2029"/>
      <c r="Z44" s="2030"/>
      <c r="AA44" s="2031"/>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5" t="s">
        <v>1802</v>
      </c>
      <c r="B2" s="1528" t="s">
        <v>1949</v>
      </c>
      <c r="C2" s="714" t="s">
        <v>1950</v>
      </c>
      <c r="D2" s="714" t="s">
        <v>1951</v>
      </c>
      <c r="E2" s="714" t="s">
        <v>1952</v>
      </c>
      <c r="F2" s="714" t="s">
        <v>1953</v>
      </c>
    </row>
    <row r="3" spans="1:6" ht="12" customHeight="1" x14ac:dyDescent="0.2">
      <c r="A3" s="2186"/>
      <c r="B3" s="1525"/>
      <c r="C3" s="1526"/>
      <c r="D3" s="1527" t="s">
        <v>256</v>
      </c>
      <c r="E3" s="1526"/>
      <c r="F3" s="1527" t="s">
        <v>257</v>
      </c>
    </row>
    <row r="4" spans="1:6" ht="13.7" customHeight="1" x14ac:dyDescent="0.2">
      <c r="A4" s="715" t="s">
        <v>1155</v>
      </c>
      <c r="B4" s="1749">
        <f>'Revenues 9-14'!C5</f>
        <v>0</v>
      </c>
      <c r="C4" s="1524"/>
      <c r="D4" s="1752">
        <f>B4-C4</f>
        <v>0</v>
      </c>
      <c r="E4" s="1524"/>
      <c r="F4" s="1752">
        <f>E4-C4</f>
        <v>0</v>
      </c>
    </row>
    <row r="5" spans="1:6" ht="13.7" customHeight="1" x14ac:dyDescent="0.2">
      <c r="A5" s="715" t="s">
        <v>870</v>
      </c>
      <c r="B5" s="1750">
        <f>'Revenues 9-14'!D5</f>
        <v>0</v>
      </c>
      <c r="C5" s="585"/>
      <c r="D5" s="1753">
        <f t="shared" ref="D5:D18" si="0">B5-C5</f>
        <v>0</v>
      </c>
      <c r="E5" s="585"/>
      <c r="F5" s="1753">
        <f>E5-C5</f>
        <v>0</v>
      </c>
    </row>
    <row r="6" spans="1:6" ht="13.7" customHeight="1" x14ac:dyDescent="0.2">
      <c r="A6" s="715" t="s">
        <v>411</v>
      </c>
      <c r="B6" s="1750">
        <f>'Revenues 9-14'!E5</f>
        <v>0</v>
      </c>
      <c r="C6" s="585"/>
      <c r="D6" s="1753">
        <f t="shared" si="0"/>
        <v>0</v>
      </c>
      <c r="E6" s="585"/>
      <c r="F6" s="1753">
        <f t="shared" ref="F6:F18" si="1">E6-C6</f>
        <v>0</v>
      </c>
    </row>
    <row r="7" spans="1:6" ht="13.7" customHeight="1" x14ac:dyDescent="0.2">
      <c r="A7" s="715" t="s">
        <v>155</v>
      </c>
      <c r="B7" s="1750">
        <f>'Revenues 9-14'!F5</f>
        <v>0</v>
      </c>
      <c r="C7" s="585"/>
      <c r="D7" s="1753">
        <f t="shared" si="0"/>
        <v>0</v>
      </c>
      <c r="E7" s="585"/>
      <c r="F7" s="1753">
        <f t="shared" si="1"/>
        <v>0</v>
      </c>
    </row>
    <row r="8" spans="1:6" ht="13.7" customHeight="1" x14ac:dyDescent="0.2">
      <c r="A8" s="715" t="s">
        <v>1179</v>
      </c>
      <c r="B8" s="1750">
        <f>'Revenues 9-14'!G5</f>
        <v>0</v>
      </c>
      <c r="C8" s="585"/>
      <c r="D8" s="1753">
        <f t="shared" si="0"/>
        <v>0</v>
      </c>
      <c r="E8" s="585"/>
      <c r="F8" s="1753">
        <f t="shared" si="1"/>
        <v>0</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0</v>
      </c>
      <c r="C10" s="585"/>
      <c r="D10" s="1753">
        <f t="shared" si="0"/>
        <v>0</v>
      </c>
      <c r="E10" s="585"/>
      <c r="F10" s="1753">
        <f t="shared" si="1"/>
        <v>0</v>
      </c>
    </row>
    <row r="11" spans="1:6" x14ac:dyDescent="0.2">
      <c r="A11" s="715" t="s">
        <v>409</v>
      </c>
      <c r="B11" s="1750">
        <f>'Revenues 9-14'!J5</f>
        <v>0</v>
      </c>
      <c r="C11" s="585"/>
      <c r="D11" s="1753">
        <f t="shared" si="0"/>
        <v>0</v>
      </c>
      <c r="E11" s="585"/>
      <c r="F11" s="1753">
        <f t="shared" si="1"/>
        <v>0</v>
      </c>
    </row>
    <row r="12" spans="1:6" ht="13.7" customHeight="1" x14ac:dyDescent="0.2">
      <c r="A12" s="715" t="s">
        <v>157</v>
      </c>
      <c r="B12" s="1750">
        <f>'Revenues 9-14'!K5</f>
        <v>0</v>
      </c>
      <c r="C12" s="585"/>
      <c r="D12" s="1753">
        <f t="shared" si="0"/>
        <v>0</v>
      </c>
      <c r="E12" s="585"/>
      <c r="F12" s="1753">
        <f t="shared" si="1"/>
        <v>0</v>
      </c>
    </row>
    <row r="13" spans="1:6" ht="13.7" customHeight="1" x14ac:dyDescent="0.2">
      <c r="A13" s="715" t="s">
        <v>936</v>
      </c>
      <c r="B13" s="1750">
        <f>SUM('Revenues 9-14'!C6:D6)</f>
        <v>0</v>
      </c>
      <c r="C13" s="585"/>
      <c r="D13" s="1753">
        <f t="shared" si="0"/>
        <v>0</v>
      </c>
      <c r="E13" s="585"/>
      <c r="F13" s="1753">
        <f t="shared" si="1"/>
        <v>0</v>
      </c>
    </row>
    <row r="14" spans="1:6" ht="13.7" customHeight="1" x14ac:dyDescent="0.2">
      <c r="A14" s="715" t="s">
        <v>410</v>
      </c>
      <c r="B14" s="1750">
        <f>SUM('Revenues 9-14'!C7:D7,'Revenues 9-14'!F7:H7)</f>
        <v>0</v>
      </c>
      <c r="C14" s="585"/>
      <c r="D14" s="1753">
        <f t="shared" si="0"/>
        <v>0</v>
      </c>
      <c r="E14" s="585"/>
      <c r="F14" s="1753">
        <f t="shared" si="1"/>
        <v>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0</v>
      </c>
      <c r="C16" s="585"/>
      <c r="D16" s="1753">
        <f t="shared" si="0"/>
        <v>0</v>
      </c>
      <c r="E16" s="585"/>
      <c r="F16" s="1753">
        <f t="shared" si="1"/>
        <v>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0</v>
      </c>
      <c r="C19" s="1751">
        <f>SUM(C4:C18)</f>
        <v>0</v>
      </c>
      <c r="D19" s="1751">
        <f>SUM(D4:D18)</f>
        <v>0</v>
      </c>
      <c r="E19" s="1751">
        <f>SUM(E4:E18)</f>
        <v>0</v>
      </c>
      <c r="F19" s="1751">
        <f>SUM(F4:F18)</f>
        <v>0</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1" t="s">
        <v>629</v>
      </c>
      <c r="B1" s="2192"/>
      <c r="C1" s="721"/>
    </row>
    <row r="2" spans="1:7" ht="33.75" x14ac:dyDescent="0.2">
      <c r="A2" s="2200" t="s">
        <v>1802</v>
      </c>
      <c r="B2" s="2201"/>
      <c r="C2" s="1884" t="s">
        <v>1954</v>
      </c>
      <c r="D2" s="723" t="s">
        <v>1955</v>
      </c>
      <c r="E2" s="723" t="s">
        <v>1956</v>
      </c>
      <c r="F2" s="1884" t="s">
        <v>1957</v>
      </c>
    </row>
    <row r="3" spans="1:7" ht="15.75" customHeight="1" x14ac:dyDescent="0.2">
      <c r="A3" s="2204" t="s">
        <v>1114</v>
      </c>
      <c r="B3" s="2205"/>
      <c r="C3" s="2193"/>
      <c r="D3" s="2194"/>
      <c r="E3" s="2194"/>
      <c r="F3" s="2195"/>
    </row>
    <row r="4" spans="1:7" ht="12.75" customHeight="1" thickBot="1" x14ac:dyDescent="0.25">
      <c r="A4" s="2202" t="s">
        <v>630</v>
      </c>
      <c r="B4" s="2203"/>
      <c r="C4" s="581"/>
      <c r="D4" s="581"/>
      <c r="E4" s="581"/>
      <c r="F4" s="1755">
        <f>SUM(C4+D4)-E4</f>
        <v>0</v>
      </c>
    </row>
    <row r="5" spans="1:7" ht="15.75" customHeight="1" thickTop="1" x14ac:dyDescent="0.2">
      <c r="A5" s="2187" t="s">
        <v>1110</v>
      </c>
      <c r="B5" s="2188"/>
      <c r="C5" s="2196"/>
      <c r="D5" s="2197"/>
      <c r="E5" s="2197"/>
      <c r="F5" s="2198"/>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89" t="s">
        <v>631</v>
      </c>
      <c r="B15" s="2190"/>
      <c r="C15" s="1755">
        <f>SUM(C6:C14)</f>
        <v>0</v>
      </c>
      <c r="D15" s="1755">
        <f>SUM(D6:D14)</f>
        <v>0</v>
      </c>
      <c r="E15" s="1755">
        <f>SUM(E6:E14)</f>
        <v>0</v>
      </c>
      <c r="F15" s="1755">
        <f>SUM(F6:F14)</f>
        <v>0</v>
      </c>
      <c r="G15" s="552"/>
    </row>
    <row r="16" spans="1:7" s="202" customFormat="1" ht="15.75" customHeight="1" thickTop="1" x14ac:dyDescent="0.2">
      <c r="A16" s="2199" t="s">
        <v>1111</v>
      </c>
      <c r="B16" s="2188"/>
      <c r="C16" s="2196"/>
      <c r="D16" s="2197"/>
      <c r="E16" s="2197"/>
      <c r="F16" s="2198"/>
    </row>
    <row r="17" spans="1:11" ht="12.75" customHeight="1" thickBot="1" x14ac:dyDescent="0.25">
      <c r="A17" s="2212" t="s">
        <v>64</v>
      </c>
      <c r="B17" s="2213"/>
      <c r="C17" s="726"/>
      <c r="D17" s="585"/>
      <c r="E17" s="726"/>
      <c r="F17" s="1755">
        <f>SUM(C17+D17)-E17</f>
        <v>0</v>
      </c>
    </row>
    <row r="18" spans="1:11" ht="12.75" customHeight="1" thickTop="1" thickBot="1" x14ac:dyDescent="0.25">
      <c r="A18" s="2212" t="s">
        <v>6</v>
      </c>
      <c r="B18" s="2213"/>
      <c r="C18" s="726"/>
      <c r="D18" s="585"/>
      <c r="E18" s="726"/>
      <c r="F18" s="1755">
        <f>SUM(C18+D18)-E18</f>
        <v>0</v>
      </c>
    </row>
    <row r="19" spans="1:11" ht="12.75" customHeight="1" thickTop="1" thickBot="1" x14ac:dyDescent="0.25">
      <c r="A19" s="2212" t="s">
        <v>388</v>
      </c>
      <c r="B19" s="2213"/>
      <c r="C19" s="726"/>
      <c r="D19" s="585"/>
      <c r="E19" s="726"/>
      <c r="F19" s="1755">
        <f>SUM(C19+D19)-E19</f>
        <v>0</v>
      </c>
    </row>
    <row r="20" spans="1:11" ht="12.75" customHeight="1" thickTop="1" thickBot="1" x14ac:dyDescent="0.25">
      <c r="A20" s="2212" t="s">
        <v>448</v>
      </c>
      <c r="B20" s="2213"/>
      <c r="C20" s="726"/>
      <c r="D20" s="585"/>
      <c r="E20" s="726"/>
      <c r="F20" s="1755">
        <f>SUM(C20+D20)-E20</f>
        <v>0</v>
      </c>
    </row>
    <row r="21" spans="1:11" ht="14.25" thickTop="1" thickBot="1" x14ac:dyDescent="0.25">
      <c r="A21" s="2189" t="s">
        <v>632</v>
      </c>
      <c r="B21" s="2190"/>
      <c r="C21" s="1755">
        <f>SUM(C17:C20)</f>
        <v>0</v>
      </c>
      <c r="D21" s="1755">
        <f>SUM(D17:D20)</f>
        <v>0</v>
      </c>
      <c r="E21" s="1755">
        <f>SUM(E17:E20)</f>
        <v>0</v>
      </c>
      <c r="F21" s="1755">
        <f>SUM(F17:F20)</f>
        <v>0</v>
      </c>
      <c r="G21" s="552"/>
    </row>
    <row r="22" spans="1:11" ht="15.75" customHeight="1" thickTop="1" x14ac:dyDescent="0.2">
      <c r="A22" s="2214" t="s">
        <v>1112</v>
      </c>
      <c r="B22" s="2188"/>
      <c r="C22" s="2196"/>
      <c r="D22" s="2197"/>
      <c r="E22" s="2197"/>
      <c r="F22" s="2198"/>
    </row>
    <row r="23" spans="1:11" ht="13.5" thickBot="1" x14ac:dyDescent="0.25">
      <c r="A23" s="2202" t="s">
        <v>633</v>
      </c>
      <c r="B23" s="2203"/>
      <c r="C23" s="581"/>
      <c r="D23" s="581"/>
      <c r="E23" s="581"/>
      <c r="F23" s="1755">
        <f>SUM(C23+D23)-E23</f>
        <v>0</v>
      </c>
      <c r="G23" s="552"/>
    </row>
    <row r="24" spans="1:11" ht="15.75" customHeight="1" thickTop="1" x14ac:dyDescent="0.2">
      <c r="A24" s="2214" t="s">
        <v>1113</v>
      </c>
      <c r="B24" s="2188"/>
      <c r="C24" s="2196"/>
      <c r="D24" s="2197"/>
      <c r="E24" s="2197"/>
      <c r="F24" s="2198"/>
    </row>
    <row r="25" spans="1:11" ht="13.5" thickBot="1" x14ac:dyDescent="0.25">
      <c r="A25" s="2202" t="s">
        <v>634</v>
      </c>
      <c r="B25" s="2203"/>
      <c r="C25" s="581"/>
      <c r="D25" s="581"/>
      <c r="E25" s="581"/>
      <c r="F25" s="1755">
        <f>SUM(C25+D25)-E25</f>
        <v>0</v>
      </c>
      <c r="G25" s="552"/>
    </row>
    <row r="26" spans="1:11" ht="15.75" customHeight="1" thickTop="1" x14ac:dyDescent="0.2">
      <c r="A26" s="2187" t="s">
        <v>657</v>
      </c>
      <c r="B26" s="2188"/>
      <c r="C26" s="727"/>
      <c r="D26" s="727"/>
      <c r="E26" s="727"/>
      <c r="F26" s="728"/>
    </row>
    <row r="27" spans="1:11" ht="13.5" thickBot="1" x14ac:dyDescent="0.25">
      <c r="A27" s="2189" t="s">
        <v>1070</v>
      </c>
      <c r="B27" s="2190"/>
      <c r="C27" s="585"/>
      <c r="D27" s="585"/>
      <c r="E27" s="585"/>
      <c r="F27" s="1755">
        <f>SUM(C27+D27)-E27</f>
        <v>0</v>
      </c>
      <c r="G27" s="552"/>
    </row>
    <row r="28" spans="1:11" ht="7.5" customHeight="1" thickTop="1" x14ac:dyDescent="0.2">
      <c r="A28" s="593"/>
    </row>
    <row r="29" spans="1:11" ht="23.25" customHeight="1" x14ac:dyDescent="0.2">
      <c r="A29" s="2215" t="s">
        <v>582</v>
      </c>
      <c r="B29" s="2192"/>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c r="B31" s="733"/>
      <c r="C31" s="734"/>
      <c r="D31" s="735"/>
      <c r="E31" s="734"/>
      <c r="F31" s="734"/>
      <c r="G31" s="734"/>
      <c r="H31" s="734"/>
      <c r="I31" s="1756">
        <f>((E31+F31)-H31)+G31</f>
        <v>0</v>
      </c>
      <c r="J31" s="734"/>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0</v>
      </c>
      <c r="D49" s="745"/>
      <c r="E49" s="1756">
        <f t="shared" ref="E49:J49" si="2">SUM(E31:E48)</f>
        <v>0</v>
      </c>
      <c r="F49" s="1756">
        <f t="shared" si="2"/>
        <v>0</v>
      </c>
      <c r="G49" s="1756">
        <f t="shared" si="2"/>
        <v>0</v>
      </c>
      <c r="H49" s="1756">
        <f t="shared" si="2"/>
        <v>0</v>
      </c>
      <c r="I49" s="1756">
        <f t="shared" si="2"/>
        <v>0</v>
      </c>
      <c r="J49" s="1756">
        <f t="shared" si="2"/>
        <v>0</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206" t="s">
        <v>584</v>
      </c>
      <c r="C52" s="2207"/>
      <c r="D52" s="2207"/>
      <c r="E52" s="749" t="s">
        <v>845</v>
      </c>
      <c r="F52" s="2208"/>
      <c r="G52" s="2209"/>
      <c r="H52" s="736"/>
      <c r="I52" s="736"/>
      <c r="J52" s="746"/>
    </row>
    <row r="53" spans="1:11" ht="11.25" customHeight="1" x14ac:dyDescent="0.2">
      <c r="A53" s="750" t="s">
        <v>913</v>
      </c>
      <c r="B53" s="751" t="s">
        <v>951</v>
      </c>
      <c r="C53" s="746"/>
      <c r="D53" s="737"/>
      <c r="E53" s="749" t="s">
        <v>497</v>
      </c>
      <c r="F53" s="2210"/>
      <c r="G53" s="2211"/>
      <c r="H53" s="736"/>
      <c r="I53" s="736"/>
      <c r="J53" s="746"/>
    </row>
    <row r="54" spans="1:11" ht="11.25" customHeight="1" x14ac:dyDescent="0.2">
      <c r="A54" s="752" t="s">
        <v>914</v>
      </c>
      <c r="B54" s="747" t="s">
        <v>952</v>
      </c>
      <c r="C54" s="746"/>
      <c r="D54" s="737"/>
      <c r="E54" s="749" t="s">
        <v>498</v>
      </c>
      <c r="F54" s="2210"/>
      <c r="G54" s="2211"/>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0" t="s">
        <v>856</v>
      </c>
      <c r="B1" s="2241"/>
      <c r="C1" s="2241"/>
      <c r="D1" s="2241"/>
      <c r="E1" s="2241"/>
      <c r="F1" s="2241"/>
      <c r="G1" s="2242"/>
      <c r="H1" s="1530"/>
      <c r="I1" s="760"/>
      <c r="J1" s="433"/>
    </row>
    <row r="2" spans="1:11" ht="26.25" x14ac:dyDescent="0.2">
      <c r="A2" s="2219" t="s">
        <v>1677</v>
      </c>
      <c r="B2" s="2220"/>
      <c r="C2" s="2220"/>
      <c r="D2" s="2220"/>
      <c r="E2" s="2221"/>
      <c r="F2" s="761" t="s">
        <v>904</v>
      </c>
      <c r="G2" s="762" t="s">
        <v>1674</v>
      </c>
      <c r="H2" s="762" t="s">
        <v>410</v>
      </c>
      <c r="I2" s="762" t="s">
        <v>1158</v>
      </c>
      <c r="J2" s="762" t="s">
        <v>1812</v>
      </c>
      <c r="K2" s="762" t="s">
        <v>138</v>
      </c>
    </row>
    <row r="3" spans="1:11" x14ac:dyDescent="0.2">
      <c r="A3" s="2222" t="s">
        <v>1962</v>
      </c>
      <c r="B3" s="2223"/>
      <c r="C3" s="2223"/>
      <c r="D3" s="2223"/>
      <c r="E3" s="2224"/>
      <c r="F3" s="763"/>
      <c r="G3" s="764"/>
      <c r="H3" s="764"/>
      <c r="I3" s="764"/>
      <c r="J3" s="765"/>
      <c r="K3" s="765"/>
    </row>
    <row r="4" spans="1:11" x14ac:dyDescent="0.2">
      <c r="A4" s="2225" t="s">
        <v>369</v>
      </c>
      <c r="B4" s="2226"/>
      <c r="C4" s="2226"/>
      <c r="D4" s="2226"/>
      <c r="E4" s="2207"/>
      <c r="F4" s="766"/>
      <c r="G4" s="767"/>
      <c r="H4" s="768"/>
      <c r="I4" s="767"/>
      <c r="J4" s="769"/>
      <c r="K4" s="769"/>
    </row>
    <row r="5" spans="1:11" x14ac:dyDescent="0.2">
      <c r="A5" s="2243" t="s">
        <v>1069</v>
      </c>
      <c r="B5" s="2216"/>
      <c r="C5" s="2216"/>
      <c r="D5" s="2216"/>
      <c r="E5" s="2244"/>
      <c r="F5" s="770" t="s">
        <v>848</v>
      </c>
      <c r="G5" s="771"/>
      <c r="H5" s="764"/>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43" t="s">
        <v>1813</v>
      </c>
      <c r="B10" s="2216"/>
      <c r="C10" s="2216"/>
      <c r="D10" s="2216"/>
      <c r="E10" s="2245"/>
      <c r="F10" s="783" t="s">
        <v>862</v>
      </c>
      <c r="G10" s="782"/>
      <c r="H10" s="784"/>
      <c r="I10" s="764"/>
      <c r="J10" s="765"/>
      <c r="K10" s="765"/>
    </row>
    <row r="11" spans="1:11" x14ac:dyDescent="0.2">
      <c r="A11" s="2243" t="s">
        <v>160</v>
      </c>
      <c r="B11" s="2216"/>
      <c r="C11" s="2216"/>
      <c r="D11" s="2216"/>
      <c r="E11" s="2244"/>
      <c r="F11" s="770" t="s">
        <v>852</v>
      </c>
      <c r="G11" s="771"/>
      <c r="H11" s="764"/>
      <c r="I11" s="764"/>
      <c r="J11" s="765"/>
      <c r="K11" s="773"/>
    </row>
    <row r="12" spans="1:11" ht="13.5" thickBot="1" x14ac:dyDescent="0.25">
      <c r="A12" s="2233" t="s">
        <v>905</v>
      </c>
      <c r="B12" s="2234"/>
      <c r="C12" s="2234"/>
      <c r="D12" s="2234"/>
      <c r="E12" s="2235"/>
      <c r="F12" s="1757"/>
      <c r="G12" s="1758">
        <f>SUM(G5:G11)</f>
        <v>0</v>
      </c>
      <c r="H12" s="1758">
        <f>SUM(H5:H11)</f>
        <v>0</v>
      </c>
      <c r="I12" s="1758">
        <f>SUM(I5:I11)</f>
        <v>0</v>
      </c>
      <c r="J12" s="1758">
        <f>SUM(J5:J11)</f>
        <v>0</v>
      </c>
      <c r="K12" s="1758">
        <f>SUM(K5:K11)</f>
        <v>0</v>
      </c>
    </row>
    <row r="13" spans="1:11" ht="13.5" thickTop="1" x14ac:dyDescent="0.2">
      <c r="A13" s="2227" t="s">
        <v>370</v>
      </c>
      <c r="B13" s="2228"/>
      <c r="C13" s="2228"/>
      <c r="D13" s="2228"/>
      <c r="E13" s="2229"/>
      <c r="F13" s="785"/>
      <c r="G13" s="786"/>
      <c r="H13" s="787"/>
      <c r="I13" s="788"/>
      <c r="J13" s="788"/>
      <c r="K13" s="788"/>
    </row>
    <row r="14" spans="1:11" x14ac:dyDescent="0.2">
      <c r="A14" s="2249" t="s">
        <v>456</v>
      </c>
      <c r="B14" s="2249"/>
      <c r="C14" s="2249"/>
      <c r="D14" s="2249"/>
      <c r="E14" s="2250"/>
      <c r="F14" s="789" t="s">
        <v>854</v>
      </c>
      <c r="G14" s="782"/>
      <c r="H14" s="764"/>
      <c r="I14" s="771"/>
      <c r="J14" s="773"/>
      <c r="K14" s="765"/>
    </row>
    <row r="15" spans="1:11" x14ac:dyDescent="0.2">
      <c r="A15" s="2216" t="s">
        <v>4</v>
      </c>
      <c r="B15" s="2216"/>
      <c r="C15" s="2216"/>
      <c r="D15" s="2216"/>
      <c r="E15" s="2244"/>
      <c r="F15" s="789" t="s">
        <v>855</v>
      </c>
      <c r="G15" s="771"/>
      <c r="H15" s="764"/>
      <c r="I15" s="764"/>
      <c r="J15" s="765"/>
      <c r="K15" s="765"/>
    </row>
    <row r="16" spans="1:11" x14ac:dyDescent="0.2">
      <c r="A16" s="2216" t="s">
        <v>298</v>
      </c>
      <c r="B16" s="2216"/>
      <c r="C16" s="2216"/>
      <c r="D16" s="2216"/>
      <c r="E16" s="2244"/>
      <c r="F16" s="789" t="s">
        <v>923</v>
      </c>
      <c r="G16" s="772"/>
      <c r="H16" s="767"/>
      <c r="I16" s="767"/>
      <c r="J16" s="769"/>
      <c r="K16" s="769"/>
    </row>
    <row r="17" spans="1:11" x14ac:dyDescent="0.2">
      <c r="A17" s="2238" t="s">
        <v>935</v>
      </c>
      <c r="B17" s="2238"/>
      <c r="C17" s="2238"/>
      <c r="D17" s="2238"/>
      <c r="E17" s="2239"/>
      <c r="F17" s="790"/>
      <c r="G17" s="791"/>
      <c r="H17" s="792"/>
      <c r="I17" s="792"/>
      <c r="J17" s="793"/>
      <c r="K17" s="794"/>
    </row>
    <row r="18" spans="1:11" x14ac:dyDescent="0.2">
      <c r="A18" s="2230" t="s">
        <v>368</v>
      </c>
      <c r="B18" s="2231"/>
      <c r="C18" s="2231"/>
      <c r="D18" s="2231"/>
      <c r="E18" s="2232"/>
      <c r="F18" s="789" t="s">
        <v>932</v>
      </c>
      <c r="G18" s="782"/>
      <c r="H18" s="782"/>
      <c r="I18" s="782"/>
      <c r="J18" s="765"/>
      <c r="K18" s="795"/>
    </row>
    <row r="19" spans="1:11" ht="21.75" customHeight="1" x14ac:dyDescent="0.2">
      <c r="A19" s="2251" t="s">
        <v>1809</v>
      </c>
      <c r="B19" s="2251"/>
      <c r="C19" s="2251"/>
      <c r="D19" s="2251"/>
      <c r="E19" s="2252"/>
      <c r="F19" s="789" t="s">
        <v>933</v>
      </c>
      <c r="G19" s="782"/>
      <c r="H19" s="782"/>
      <c r="I19" s="782"/>
      <c r="J19" s="765"/>
      <c r="K19" s="795"/>
    </row>
    <row r="20" spans="1:11" x14ac:dyDescent="0.2">
      <c r="A20" s="2230" t="s">
        <v>1814</v>
      </c>
      <c r="B20" s="2231"/>
      <c r="C20" s="2231"/>
      <c r="D20" s="2231"/>
      <c r="E20" s="2232"/>
      <c r="F20" s="789" t="s">
        <v>934</v>
      </c>
      <c r="G20" s="782"/>
      <c r="H20" s="782"/>
      <c r="I20" s="782"/>
      <c r="J20" s="765"/>
      <c r="K20" s="795"/>
    </row>
    <row r="21" spans="1:11" ht="13.5" thickBot="1" x14ac:dyDescent="0.25">
      <c r="A21" s="2236" t="s">
        <v>638</v>
      </c>
      <c r="B21" s="2236"/>
      <c r="C21" s="2236"/>
      <c r="D21" s="2236"/>
      <c r="E21" s="2236"/>
      <c r="F21" s="1759"/>
      <c r="G21" s="792"/>
      <c r="H21" s="796"/>
      <c r="I21" s="796"/>
      <c r="J21" s="1760">
        <f>SUM(J18:J20)</f>
        <v>0</v>
      </c>
      <c r="K21" s="793"/>
    </row>
    <row r="22" spans="1:11" ht="13.5" thickTop="1" x14ac:dyDescent="0.2">
      <c r="A22" s="2216" t="s">
        <v>1815</v>
      </c>
      <c r="B22" s="2216"/>
      <c r="C22" s="2216"/>
      <c r="D22" s="2216"/>
      <c r="E22" s="2244"/>
      <c r="F22" s="789" t="s">
        <v>862</v>
      </c>
      <c r="G22" s="782"/>
      <c r="H22" s="764"/>
      <c r="I22" s="764"/>
      <c r="J22" s="797"/>
      <c r="K22" s="765"/>
    </row>
    <row r="23" spans="1:11" ht="13.5" thickBot="1" x14ac:dyDescent="0.25">
      <c r="A23" s="2237" t="s">
        <v>906</v>
      </c>
      <c r="B23" s="2236"/>
      <c r="C23" s="2236"/>
      <c r="D23" s="2236"/>
      <c r="E23" s="2236"/>
      <c r="F23" s="1761"/>
      <c r="G23" s="1758">
        <f>SUM(G14:G16,G21,G22)</f>
        <v>0</v>
      </c>
      <c r="H23" s="1758">
        <f>SUM(H14:H16,H21,H22)</f>
        <v>0</v>
      </c>
      <c r="I23" s="1758">
        <f>SUM(I14:I16,I21,I22)</f>
        <v>0</v>
      </c>
      <c r="J23" s="1758">
        <f>SUM(J14:J16,J21,J22)</f>
        <v>0</v>
      </c>
      <c r="K23" s="1758">
        <f>SUM(K14:K16,K21,K22)</f>
        <v>0</v>
      </c>
    </row>
    <row r="24" spans="1:11" ht="14.25" thickTop="1" thickBot="1" x14ac:dyDescent="0.25">
      <c r="A24" s="2237" t="s">
        <v>1963</v>
      </c>
      <c r="B24" s="2236"/>
      <c r="C24" s="2236"/>
      <c r="D24" s="2236"/>
      <c r="E24" s="2236"/>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46"/>
      <c r="I31" s="2247"/>
      <c r="J31" s="2247"/>
      <c r="K31" s="2247"/>
    </row>
    <row r="32" spans="1:11" x14ac:dyDescent="0.2">
      <c r="A32" s="809"/>
      <c r="B32" s="237"/>
      <c r="C32" s="237"/>
      <c r="D32" s="237"/>
      <c r="E32" s="805"/>
      <c r="F32" s="811" t="s">
        <v>540</v>
      </c>
      <c r="G32" s="764"/>
      <c r="H32" s="2248"/>
      <c r="I32" s="2247"/>
      <c r="J32" s="2247"/>
      <c r="K32" s="2247"/>
    </row>
    <row r="33" spans="1:11" ht="1.5" customHeight="1" x14ac:dyDescent="0.2">
      <c r="A33" s="812" t="s">
        <v>1169</v>
      </c>
      <c r="B33" s="364"/>
      <c r="C33" s="364"/>
      <c r="D33" s="364"/>
      <c r="E33" s="364"/>
      <c r="F33" s="364"/>
      <c r="G33" s="813"/>
      <c r="H33" s="2248"/>
      <c r="I33" s="2247"/>
      <c r="J33" s="2247"/>
      <c r="K33" s="2247"/>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6" t="s">
        <v>541</v>
      </c>
      <c r="B41" s="2217"/>
      <c r="C41" s="2217"/>
      <c r="D41" s="2217"/>
      <c r="E41" s="2217"/>
      <c r="F41" s="2218"/>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sqref="A1:C1"/>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5" t="s">
        <v>1908</v>
      </c>
      <c r="B1" s="2256"/>
      <c r="C1" s="2257"/>
      <c r="D1" s="826"/>
      <c r="E1" s="827"/>
      <c r="F1" s="827"/>
      <c r="G1" s="828"/>
      <c r="H1" s="829"/>
      <c r="I1" s="830"/>
      <c r="J1" s="2253"/>
      <c r="K1" s="2254"/>
      <c r="L1" s="2254"/>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c r="D5" s="841"/>
      <c r="E5" s="841"/>
      <c r="F5" s="1760">
        <f>(C5+D5)-E5</f>
        <v>0</v>
      </c>
      <c r="G5" s="837"/>
      <c r="H5" s="842"/>
      <c r="I5" s="842"/>
      <c r="J5" s="842"/>
      <c r="K5" s="793"/>
      <c r="L5" s="1769">
        <f>F5-K5</f>
        <v>0</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c r="D8" s="844"/>
      <c r="E8" s="844"/>
      <c r="F8" s="1760">
        <f>(C8+D8)-E8</f>
        <v>0</v>
      </c>
      <c r="G8" s="843">
        <v>50</v>
      </c>
      <c r="H8" s="765"/>
      <c r="I8" s="765"/>
      <c r="J8" s="765"/>
      <c r="K8" s="1769">
        <f>(H8+I8)-J8</f>
        <v>0</v>
      </c>
      <c r="L8" s="1769">
        <f>F8-K8</f>
        <v>0</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c r="D10" s="846"/>
      <c r="E10" s="846"/>
      <c r="F10" s="1764">
        <f>(C10+D10)-E10</f>
        <v>0</v>
      </c>
      <c r="G10" s="843">
        <v>20</v>
      </c>
      <c r="H10" s="847"/>
      <c r="I10" s="847"/>
      <c r="J10" s="847"/>
      <c r="K10" s="1769">
        <f>(H10+I10)-J10</f>
        <v>0</v>
      </c>
      <c r="L10" s="1769">
        <f>F10-K10</f>
        <v>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c r="D12" s="844"/>
      <c r="E12" s="844"/>
      <c r="F12" s="1760">
        <f>(C12+D12)-E12</f>
        <v>0</v>
      </c>
      <c r="G12" s="843">
        <v>10</v>
      </c>
      <c r="H12" s="765"/>
      <c r="I12" s="765"/>
      <c r="J12" s="765"/>
      <c r="K12" s="1769">
        <f>(H12+I12)-J12</f>
        <v>0</v>
      </c>
      <c r="L12" s="1769">
        <f>F12-K12</f>
        <v>0</v>
      </c>
    </row>
    <row r="13" spans="1:14" ht="14.25" thickTop="1" thickBot="1" x14ac:dyDescent="0.25">
      <c r="A13" s="848" t="s">
        <v>1122</v>
      </c>
      <c r="B13" s="840">
        <v>252</v>
      </c>
      <c r="C13" s="844"/>
      <c r="D13" s="844"/>
      <c r="E13" s="844"/>
      <c r="F13" s="1760">
        <f>(C13+D13)-E13</f>
        <v>0</v>
      </c>
      <c r="G13" s="843">
        <v>5</v>
      </c>
      <c r="H13" s="765"/>
      <c r="I13" s="765"/>
      <c r="J13" s="765"/>
      <c r="K13" s="1769">
        <f>(H13+I13)-J13</f>
        <v>0</v>
      </c>
      <c r="L13" s="1769">
        <f>F13-K13</f>
        <v>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0</v>
      </c>
      <c r="D16" s="1760">
        <f>SUM(D3,D5:D6,D8:D10,D12:D15)</f>
        <v>0</v>
      </c>
      <c r="E16" s="1760">
        <f>SUM(E3,E5:E6,E8:E10,E12:E15)</f>
        <v>0</v>
      </c>
      <c r="F16" s="1760">
        <f>SUM(F3,F5:F6,F8:F10,F12:F15)</f>
        <v>0</v>
      </c>
      <c r="G16" s="843"/>
      <c r="H16" s="1760">
        <f>SUM(H3,H6,H8:H10,H12:H14,)</f>
        <v>0</v>
      </c>
      <c r="I16" s="1760">
        <f>SUM(I3,I6,I8:I10,I12:I14,)</f>
        <v>0</v>
      </c>
      <c r="J16" s="1760">
        <f>SUM(J3,J6,J8:J10,J12:J14,)</f>
        <v>0</v>
      </c>
      <c r="K16" s="1760">
        <f>(H16+I16)-J16</f>
        <v>0</v>
      </c>
      <c r="L16" s="1760">
        <f>F16-K16</f>
        <v>0</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90736</v>
      </c>
      <c r="G17" s="837">
        <v>10</v>
      </c>
      <c r="H17" s="769"/>
      <c r="I17" s="1769">
        <f>F17/G17</f>
        <v>9073.6</v>
      </c>
      <c r="J17" s="769"/>
      <c r="K17" s="795"/>
      <c r="L17" s="795"/>
    </row>
    <row r="18" spans="1:12" ht="14.25" thickTop="1" thickBot="1" x14ac:dyDescent="0.25">
      <c r="A18" s="1767" t="s">
        <v>685</v>
      </c>
      <c r="B18" s="1768"/>
      <c r="C18" s="771"/>
      <c r="D18" s="771"/>
      <c r="E18" s="771"/>
      <c r="F18" s="850"/>
      <c r="G18" s="851"/>
      <c r="H18" s="773"/>
      <c r="I18" s="1760">
        <f>SUM(I16,I17)</f>
        <v>9073.6</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activeCell="A47" sqref="A47"/>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1" t="s">
        <v>1973</v>
      </c>
      <c r="B1" s="2262"/>
      <c r="C1" s="2262"/>
      <c r="D1" s="2262"/>
      <c r="E1" s="2262"/>
      <c r="F1" s="2263"/>
      <c r="G1" s="855"/>
    </row>
    <row r="2" spans="1:7" ht="15" customHeight="1" thickBot="1" x14ac:dyDescent="0.25">
      <c r="A2" s="2264" t="s">
        <v>477</v>
      </c>
      <c r="B2" s="2265"/>
      <c r="C2" s="2265"/>
      <c r="D2" s="2265"/>
      <c r="E2" s="2265"/>
      <c r="F2" s="2266"/>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7"/>
      <c r="B5" s="2268"/>
      <c r="C5" s="2268"/>
      <c r="D5" s="2268"/>
      <c r="E5" s="2268"/>
      <c r="F5" s="2268"/>
    </row>
    <row r="6" spans="1:7" ht="13.5" customHeight="1" thickBot="1" x14ac:dyDescent="0.25">
      <c r="A6" s="2258" t="s">
        <v>1104</v>
      </c>
      <c r="B6" s="2259"/>
      <c r="C6" s="2259"/>
      <c r="D6" s="2259"/>
      <c r="E6" s="2259"/>
      <c r="F6" s="2260"/>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763359</v>
      </c>
      <c r="G8" s="865"/>
    </row>
    <row r="9" spans="1:7" x14ac:dyDescent="0.2">
      <c r="A9" s="869" t="s">
        <v>460</v>
      </c>
      <c r="B9" s="870" t="s">
        <v>1876</v>
      </c>
      <c r="C9" s="871"/>
      <c r="D9" s="869" t="s">
        <v>501</v>
      </c>
      <c r="E9" s="868"/>
      <c r="F9" s="1909">
        <f>'Expenditures 15-22'!K151</f>
        <v>5198</v>
      </c>
      <c r="G9" s="872"/>
    </row>
    <row r="10" spans="1:7" x14ac:dyDescent="0.2">
      <c r="A10" s="869" t="s">
        <v>499</v>
      </c>
      <c r="B10" s="870" t="s">
        <v>1877</v>
      </c>
      <c r="C10" s="871"/>
      <c r="D10" s="869" t="s">
        <v>501</v>
      </c>
      <c r="E10" s="868"/>
      <c r="F10" s="1909">
        <f>'Expenditures 15-22'!K174</f>
        <v>0</v>
      </c>
      <c r="G10" s="872"/>
    </row>
    <row r="11" spans="1:7" x14ac:dyDescent="0.2">
      <c r="A11" s="869" t="s">
        <v>461</v>
      </c>
      <c r="B11" s="870" t="s">
        <v>1878</v>
      </c>
      <c r="C11" s="871"/>
      <c r="D11" s="869" t="s">
        <v>501</v>
      </c>
      <c r="E11" s="868"/>
      <c r="F11" s="1909">
        <f>'Expenditures 15-22'!K210</f>
        <v>0</v>
      </c>
      <c r="G11" s="872"/>
    </row>
    <row r="12" spans="1:7" x14ac:dyDescent="0.2">
      <c r="A12" s="869" t="s">
        <v>462</v>
      </c>
      <c r="B12" s="870" t="s">
        <v>1879</v>
      </c>
      <c r="C12" s="871"/>
      <c r="D12" s="869" t="s">
        <v>501</v>
      </c>
      <c r="E12" s="868"/>
      <c r="F12" s="1909">
        <f>'Expenditures 15-22'!K295</f>
        <v>0</v>
      </c>
      <c r="G12" s="872"/>
    </row>
    <row r="13" spans="1:7" x14ac:dyDescent="0.2">
      <c r="A13" s="869" t="s">
        <v>106</v>
      </c>
      <c r="B13" s="870" t="s">
        <v>1880</v>
      </c>
      <c r="C13" s="871"/>
      <c r="D13" s="869" t="s">
        <v>501</v>
      </c>
      <c r="E13" s="868"/>
      <c r="F13" s="1909">
        <f>'Expenditures 15-22'!K342</f>
        <v>0</v>
      </c>
      <c r="G13" s="873"/>
    </row>
    <row r="14" spans="1:7" ht="12" customHeight="1" thickBot="1" x14ac:dyDescent="0.25">
      <c r="A14" s="1770"/>
      <c r="B14" s="1771"/>
      <c r="C14" s="1772"/>
      <c r="D14" s="1773" t="s">
        <v>501</v>
      </c>
      <c r="E14" s="1774" t="s">
        <v>958</v>
      </c>
      <c r="F14" s="1775">
        <f>SUM(F8:F13)</f>
        <v>768557</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99410</v>
      </c>
      <c r="G53" s="865"/>
    </row>
    <row r="54" spans="1:7" x14ac:dyDescent="0.2">
      <c r="A54" s="869" t="s">
        <v>459</v>
      </c>
      <c r="B54" s="869" t="s">
        <v>1476</v>
      </c>
      <c r="C54" s="889" t="s">
        <v>982</v>
      </c>
      <c r="D54" s="885" t="s">
        <v>1095</v>
      </c>
      <c r="E54" s="868"/>
      <c r="F54" s="1913">
        <f>'Expenditures 15-22'!G114</f>
        <v>0</v>
      </c>
      <c r="G54" s="865"/>
    </row>
    <row r="55" spans="1:7" x14ac:dyDescent="0.2">
      <c r="A55" s="869" t="s">
        <v>459</v>
      </c>
      <c r="B55" s="869" t="s">
        <v>1477</v>
      </c>
      <c r="C55" s="889" t="s">
        <v>982</v>
      </c>
      <c r="D55" s="885" t="s">
        <v>291</v>
      </c>
      <c r="E55" s="868"/>
      <c r="F55" s="1913">
        <f>'Expenditures 15-22'!I114</f>
        <v>90736</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0</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190146</v>
      </c>
      <c r="G76" s="865"/>
    </row>
    <row r="77" spans="1:8" s="893" customFormat="1" ht="12" customHeight="1" thickTop="1" thickBot="1" x14ac:dyDescent="0.25">
      <c r="A77" s="1779"/>
      <c r="B77" s="1776"/>
      <c r="C77" s="1772"/>
      <c r="D77" s="1777" t="s">
        <v>1899</v>
      </c>
      <c r="E77" s="1774"/>
      <c r="F77" s="1780">
        <f>(F14-F76)</f>
        <v>578411</v>
      </c>
      <c r="G77" s="869"/>
    </row>
    <row r="78" spans="1:8" s="893" customFormat="1" ht="12" customHeight="1" thickTop="1" x14ac:dyDescent="0.2">
      <c r="A78" s="1781"/>
      <c r="B78" s="1776"/>
      <c r="C78" s="1772"/>
      <c r="D78" s="1777" t="s">
        <v>2060</v>
      </c>
      <c r="E78" s="1774"/>
      <c r="F78" s="898">
        <v>0</v>
      </c>
      <c r="G78" s="899"/>
      <c r="H78" s="869"/>
    </row>
    <row r="79" spans="1:8" s="893" customFormat="1" ht="12" customHeight="1" thickBot="1" x14ac:dyDescent="0.25">
      <c r="A79" s="1782"/>
      <c r="B79" s="1776"/>
      <c r="C79" s="1772"/>
      <c r="D79" s="1777" t="s">
        <v>1900</v>
      </c>
      <c r="E79" s="1774" t="s">
        <v>958</v>
      </c>
      <c r="F79" s="1783"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58" t="s">
        <v>1105</v>
      </c>
      <c r="B81" s="2259"/>
      <c r="C81" s="2259"/>
      <c r="D81" s="2259"/>
      <c r="E81" s="2259"/>
      <c r="F81" s="2260"/>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0</v>
      </c>
      <c r="G94" s="912"/>
    </row>
    <row r="95" spans="1:7" x14ac:dyDescent="0.2">
      <c r="A95" s="908" t="s">
        <v>140</v>
      </c>
      <c r="B95" s="908" t="s">
        <v>175</v>
      </c>
      <c r="C95" s="910">
        <v>1700</v>
      </c>
      <c r="D95" s="918" t="str">
        <f>'Revenues 9-14'!A82</f>
        <v>Total District/School Activity Income</v>
      </c>
      <c r="E95" s="906"/>
      <c r="F95" s="1789">
        <f>SUM('Revenues 9-14'!C82,'Revenues 9-14'!D82)</f>
        <v>0</v>
      </c>
      <c r="G95" s="912"/>
    </row>
    <row r="96" spans="1:7" x14ac:dyDescent="0.2">
      <c r="A96" s="908" t="s">
        <v>459</v>
      </c>
      <c r="B96" s="908" t="s">
        <v>176</v>
      </c>
      <c r="C96" s="910">
        <f>'Revenues 9-14'!B84</f>
        <v>1811</v>
      </c>
      <c r="D96" s="911" t="str">
        <f>'Revenues 9-14'!A84</f>
        <v>Rentals - Regular Textbooks</v>
      </c>
      <c r="E96" s="906"/>
      <c r="F96" s="1789">
        <f>'Revenues 9-14'!C84</f>
        <v>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8202</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0</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422082</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0</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0</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0</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0</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0</v>
      </c>
      <c r="G125" s="930"/>
    </row>
    <row r="126" spans="1:7" x14ac:dyDescent="0.2">
      <c r="A126" s="927" t="s">
        <v>668</v>
      </c>
      <c r="B126" s="927" t="s">
        <v>2022</v>
      </c>
      <c r="C126" s="932">
        <v>4300</v>
      </c>
      <c r="D126" s="933" t="str">
        <f>'Revenues 9-14'!A204</f>
        <v>Total Title I</v>
      </c>
      <c r="E126" s="906"/>
      <c r="F126" s="1789">
        <f>SUM('Revenues 9-14'!C204,'Revenues 9-14'!D204,'Revenues 9-14'!F204,'Revenues 9-14'!G204)</f>
        <v>0</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216030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0</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0</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1919</v>
      </c>
      <c r="C171" s="1920">
        <v>3100</v>
      </c>
      <c r="D171" s="1921" t="s">
        <v>1921</v>
      </c>
      <c r="E171" s="906"/>
      <c r="F171" s="1906"/>
      <c r="G171" s="927"/>
    </row>
    <row r="172" spans="1:7" x14ac:dyDescent="0.2">
      <c r="A172" s="1918" t="s">
        <v>664</v>
      </c>
      <c r="B172" s="1919" t="s">
        <v>1919</v>
      </c>
      <c r="C172" s="1920">
        <v>3300</v>
      </c>
      <c r="D172" s="1921" t="s">
        <v>1922</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646314</v>
      </c>
    </row>
    <row r="175" spans="1:7" ht="12" customHeight="1" x14ac:dyDescent="0.2">
      <c r="A175" s="1770"/>
      <c r="B175" s="1784"/>
      <c r="C175" s="1785"/>
      <c r="D175" s="1786" t="s">
        <v>2055</v>
      </c>
      <c r="E175" s="1787"/>
      <c r="F175" s="1789">
        <f>'PCTC-OEPP 27-28'!F77-F174</f>
        <v>-67903</v>
      </c>
    </row>
    <row r="176" spans="1:7" ht="12" customHeight="1" x14ac:dyDescent="0.2">
      <c r="A176" s="1770"/>
      <c r="B176" s="1784"/>
      <c r="C176" s="1785"/>
      <c r="D176" s="1786" t="s">
        <v>1817</v>
      </c>
      <c r="E176" s="1787"/>
      <c r="F176" s="1789">
        <f>'Cap Outlay Deprec 26'!I18</f>
        <v>9073.6</v>
      </c>
    </row>
    <row r="177" spans="1:7" ht="12" customHeight="1" x14ac:dyDescent="0.2">
      <c r="A177" s="1770"/>
      <c r="B177" s="1784"/>
      <c r="C177" s="1785"/>
      <c r="D177" s="1786" t="s">
        <v>2056</v>
      </c>
      <c r="E177" s="1787"/>
      <c r="F177" s="1789">
        <f>F175+F176</f>
        <v>-58829.4</v>
      </c>
    </row>
    <row r="178" spans="1:7" ht="12" customHeight="1" x14ac:dyDescent="0.2">
      <c r="A178" s="1770"/>
      <c r="B178" s="1790"/>
      <c r="C178" s="1785"/>
      <c r="D178" s="1786" t="str">
        <f>D78</f>
        <v>9 Month ADA from District Average Daily Attendance/Prior General State Aid Inquiry 2018-2019</v>
      </c>
      <c r="E178" s="1787"/>
      <c r="F178" s="1791">
        <f>'PCTC-OEPP 27-28'!F78</f>
        <v>0</v>
      </c>
      <c r="G178" s="930"/>
    </row>
    <row r="179" spans="1:7" ht="12" customHeight="1" thickBot="1" x14ac:dyDescent="0.25">
      <c r="A179" s="1770"/>
      <c r="B179" s="1790"/>
      <c r="C179" s="1785"/>
      <c r="D179" s="1786" t="s">
        <v>2057</v>
      </c>
      <c r="E179" s="1787" t="s">
        <v>1545</v>
      </c>
      <c r="F179" s="1792" t="e">
        <f>F177/F178</f>
        <v>#DIV/0!</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zoomScaleNormal="100" workbookViewId="0"/>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2" t="s">
        <v>1818</v>
      </c>
      <c r="B4" s="2273"/>
      <c r="C4" s="2273"/>
      <c r="D4" s="2273"/>
      <c r="E4" s="2273"/>
      <c r="F4" s="2273"/>
      <c r="G4" s="2274"/>
    </row>
    <row r="5" spans="1:7" x14ac:dyDescent="0.25">
      <c r="A5" s="2275"/>
      <c r="B5" s="2276"/>
      <c r="C5" s="2276"/>
      <c r="D5" s="2276"/>
      <c r="E5" s="2276"/>
      <c r="F5" s="2276"/>
      <c r="G5" s="2277"/>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78" t="s">
        <v>1931</v>
      </c>
      <c r="B8" s="2279"/>
      <c r="C8" s="2279"/>
      <c r="D8" s="2279"/>
      <c r="E8" s="2279"/>
      <c r="F8" s="2279"/>
      <c r="G8" s="2280"/>
    </row>
    <row r="9" spans="1:7" ht="15.75" customHeight="1" x14ac:dyDescent="0.25">
      <c r="A9" s="2281" t="s">
        <v>1906</v>
      </c>
      <c r="B9" s="2282"/>
      <c r="C9" s="2282"/>
      <c r="D9" s="2282"/>
      <c r="E9" s="2282"/>
      <c r="F9" s="2282"/>
      <c r="G9" s="2283"/>
    </row>
    <row r="10" spans="1:7" ht="35.25" customHeight="1" x14ac:dyDescent="0.25">
      <c r="A10" s="2278" t="s">
        <v>2063</v>
      </c>
      <c r="B10" s="2279"/>
      <c r="C10" s="2279"/>
      <c r="D10" s="2279"/>
      <c r="E10" s="2279"/>
      <c r="F10" s="2279"/>
      <c r="G10" s="2280"/>
    </row>
    <row r="11" spans="1:7" ht="15" customHeight="1" x14ac:dyDescent="0.25">
      <c r="A11" s="1537" t="s">
        <v>1820</v>
      </c>
      <c r="B11" s="1538"/>
      <c r="C11" s="1538"/>
      <c r="D11" s="1538"/>
      <c r="E11" s="1538"/>
      <c r="F11" s="1538"/>
      <c r="G11" s="1539"/>
    </row>
    <row r="12" spans="1:7" ht="17.25" customHeight="1" x14ac:dyDescent="0.25">
      <c r="A12" s="2278" t="s">
        <v>1933</v>
      </c>
      <c r="B12" s="2279"/>
      <c r="C12" s="2279"/>
      <c r="D12" s="2279"/>
      <c r="E12" s="2279"/>
      <c r="F12" s="2279"/>
      <c r="G12" s="2280"/>
    </row>
    <row r="13" spans="1:7" ht="15" customHeight="1" x14ac:dyDescent="0.25">
      <c r="A13" s="1537" t="s">
        <v>1825</v>
      </c>
      <c r="B13" s="1538"/>
      <c r="C13" s="1538"/>
      <c r="D13" s="1538"/>
      <c r="E13" s="1538"/>
      <c r="F13" s="1538"/>
      <c r="G13" s="1539"/>
    </row>
    <row r="14" spans="1:7" ht="32.25" customHeight="1" x14ac:dyDescent="0.25">
      <c r="A14" s="2269" t="s">
        <v>1974</v>
      </c>
      <c r="B14" s="2270"/>
      <c r="C14" s="2270"/>
      <c r="D14" s="2270"/>
      <c r="E14" s="2270"/>
      <c r="F14" s="2270"/>
      <c r="G14" s="2271"/>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2082</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4" t="s">
        <v>1679</v>
      </c>
      <c r="B5" s="2285"/>
      <c r="C5" s="2285"/>
      <c r="D5" s="2285"/>
      <c r="E5" s="2285"/>
      <c r="F5" s="2285"/>
      <c r="G5" s="2286"/>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c r="F10" s="974"/>
      <c r="G10" s="975"/>
      <c r="H10" s="162"/>
      <c r="I10" s="162"/>
    </row>
    <row r="11" spans="1:9" s="668" customFormat="1" ht="22.5" customHeight="1" x14ac:dyDescent="0.2">
      <c r="A11" s="2289" t="s">
        <v>1975</v>
      </c>
      <c r="B11" s="2290"/>
      <c r="C11" s="2290"/>
      <c r="D11" s="2291"/>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209318</v>
      </c>
      <c r="F19" s="1799"/>
      <c r="G19" s="1801">
        <f>'Expenditures 15-22'!K33-SUM('Expenditures 15-22'!G33,'Expenditures 15-22'!I33)+'Expenditures 15-22'!D229</f>
        <v>209318</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61480</v>
      </c>
      <c r="F21" s="1802"/>
      <c r="G21" s="1805">
        <f>'Expenditures 15-22'!K42-SUM('Expenditures 15-22'!G42,'Expenditures 15-22'!I42)+'Expenditures 15-22'!K120-SUM('Expenditures 15-22'!G120,'Expenditures 15-22'!I120)+'Expenditures 15-22'!K180-SUM('Expenditures 15-22'!G180,'Expenditures 15-22'!I180)+'Expenditures 15-22'!D238</f>
        <v>61480</v>
      </c>
      <c r="H21" s="987"/>
      <c r="I21" s="162"/>
    </row>
    <row r="22" spans="1:9" s="668" customFormat="1" ht="12" customHeight="1" x14ac:dyDescent="0.2">
      <c r="A22" s="994" t="s">
        <v>564</v>
      </c>
      <c r="B22" s="995"/>
      <c r="C22" s="993">
        <v>2200</v>
      </c>
      <c r="D22" s="1802"/>
      <c r="E22" s="1804">
        <f>'Expenditures 15-22'!K47-SUM('Expenditures 15-22'!G47,'Expenditures 15-22'!I47)+'Expenditures 15-22'!D243</f>
        <v>217302</v>
      </c>
      <c r="F22" s="1802"/>
      <c r="G22" s="1805">
        <f>'Expenditures 15-22'!K47-SUM('Expenditures 15-22'!G47,'Expenditures 15-22'!I47)+'Expenditures 15-22'!D243</f>
        <v>217302</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78763</v>
      </c>
      <c r="F23" s="1802"/>
      <c r="G23" s="1804">
        <f>'Expenditures 15-22'!K53-SUM('Expenditures 15-22'!G53,'Expenditures 15-22'!I53)+'Expenditures 15-22'!D257+'Expenditures 15-22'!K330-SUM('Expenditures 15-22'!G330,'Expenditures 15-22'!I330)</f>
        <v>78763</v>
      </c>
      <c r="H23" s="987"/>
      <c r="I23" s="162"/>
    </row>
    <row r="24" spans="1:9" s="668" customFormat="1" ht="12" customHeight="1" x14ac:dyDescent="0.2">
      <c r="A24" s="994" t="s">
        <v>566</v>
      </c>
      <c r="B24" s="995"/>
      <c r="C24" s="993">
        <v>2400</v>
      </c>
      <c r="D24" s="1802"/>
      <c r="E24" s="1804">
        <f>'Expenditures 15-22'!K57-SUM('Expenditures 15-22'!G57,'Expenditures 15-22'!I57)+'Expenditures 15-22'!D261</f>
        <v>0</v>
      </c>
      <c r="F24" s="1802"/>
      <c r="G24" s="1805">
        <f>'Expenditures 15-22'!K57-SUM('Expenditures 15-22'!G57,'Expenditures 15-22'!I57)+'Expenditures 15-22'!D261</f>
        <v>0</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6350</v>
      </c>
      <c r="E27" s="1804">
        <f>E8</f>
        <v>0</v>
      </c>
      <c r="F27" s="1804">
        <f>'Expenditures 15-22'!K60-SUM('Expenditures 15-22'!G60,'Expenditures 15-22'!I60)+'Expenditures 15-22'!D264-E8</f>
        <v>6350</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5198</v>
      </c>
      <c r="F28" s="1806">
        <f>'Expenditures 15-22'!K61-SUM('Expenditures 15-22'!G61,'Expenditures 15-22'!I61)+'Expenditures 15-22'!K124-SUM('Expenditures 15-22'!G124,'Expenditures 15-22'!I124)+'Expenditures 15-22'!D266-E9</f>
        <v>5198</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0</v>
      </c>
      <c r="F29" s="1802"/>
      <c r="G29" s="1805">
        <f>'Expenditures 15-22'!K62-SUM('Expenditures 15-22'!G62,'Expenditures 15-22'!I62)+'Expenditures 15-22'!K125-SUM('Expenditures 15-22'!G125,'Expenditures 15-22'!I125)+'Expenditures 15-22'!K182-SUM('Expenditures 15-22'!G182,'Expenditures 15-22'!I182)+'Expenditures 15-22'!D267</f>
        <v>0</v>
      </c>
      <c r="H29" s="985"/>
    </row>
    <row r="30" spans="1:9" ht="12" customHeight="1" x14ac:dyDescent="0.2">
      <c r="A30" s="994" t="s">
        <v>100</v>
      </c>
      <c r="B30" s="997"/>
      <c r="C30" s="993">
        <v>2560</v>
      </c>
      <c r="D30" s="1802"/>
      <c r="E30" s="1804">
        <f>'Expenditures 15-22'!K63-SUM('Expenditures 15-22'!G63,'Expenditures 15-22'!I63)+'Expenditures 15-22'!D268-E10</f>
        <v>0</v>
      </c>
      <c r="F30" s="1802"/>
      <c r="G30" s="1804">
        <f>'Expenditures 15-22'!K63-SUM('Expenditures 15-22'!G63,'Expenditures 15-22'!I63)+'Expenditures 15-22'!D268-E10</f>
        <v>0</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6350</v>
      </c>
      <c r="E41" s="1806">
        <f>SUM(E19:E40)</f>
        <v>572061</v>
      </c>
      <c r="F41" s="1806">
        <f>SUM(F19:F39)</f>
        <v>11548</v>
      </c>
      <c r="G41" s="1806">
        <f>SUM(G19:G40)</f>
        <v>566863</v>
      </c>
    </row>
    <row r="42" spans="1:7" x14ac:dyDescent="0.2">
      <c r="A42" s="987"/>
      <c r="B42" s="162"/>
      <c r="C42" s="1001"/>
      <c r="D42" s="2287" t="s">
        <v>522</v>
      </c>
      <c r="E42" s="2288"/>
      <c r="F42" s="1002" t="s">
        <v>523</v>
      </c>
      <c r="G42" s="1003"/>
    </row>
    <row r="43" spans="1:7" ht="12" customHeight="1" x14ac:dyDescent="0.2">
      <c r="A43" s="987"/>
      <c r="B43" s="162"/>
      <c r="C43" s="1001"/>
      <c r="D43" s="1807" t="s">
        <v>473</v>
      </c>
      <c r="E43" s="1808">
        <f>D41</f>
        <v>6350</v>
      </c>
      <c r="F43" s="1807" t="s">
        <v>473</v>
      </c>
      <c r="G43" s="1808">
        <f>F41</f>
        <v>11548</v>
      </c>
    </row>
    <row r="44" spans="1:7" ht="12" customHeight="1" x14ac:dyDescent="0.2">
      <c r="A44" s="987"/>
      <c r="B44" s="162"/>
      <c r="C44" s="1001"/>
      <c r="D44" s="1807" t="s">
        <v>474</v>
      </c>
      <c r="E44" s="1808">
        <f>E41</f>
        <v>572061</v>
      </c>
      <c r="F44" s="1807" t="s">
        <v>474</v>
      </c>
      <c r="G44" s="1808">
        <f>G41</f>
        <v>566863</v>
      </c>
    </row>
    <row r="45" spans="1:7" ht="12" customHeight="1" x14ac:dyDescent="0.2">
      <c r="A45" s="987"/>
      <c r="B45" s="162"/>
      <c r="C45" s="162"/>
      <c r="D45" s="1809" t="s">
        <v>1006</v>
      </c>
      <c r="E45" s="1810">
        <f>(E43/E44)</f>
        <v>1.1100214837228896E-2</v>
      </c>
      <c r="F45" s="1809" t="s">
        <v>1006</v>
      </c>
      <c r="G45" s="1810">
        <f>(G43/G44)</f>
        <v>2.0371765311900759E-2</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5" activePane="bottomLeft" state="frozen"/>
      <selection activeCell="A47" sqref="A47"/>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5" t="s">
        <v>1379</v>
      </c>
      <c r="B1" s="2295"/>
      <c r="C1" s="2295"/>
      <c r="D1" s="2295"/>
      <c r="E1" s="2295"/>
      <c r="F1" s="2295"/>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296" t="s">
        <v>1546</v>
      </c>
      <c r="B5" s="2297"/>
      <c r="C5" s="2298"/>
      <c r="D5" s="2298"/>
      <c r="E5" s="2298"/>
      <c r="F5" s="2298"/>
    </row>
    <row r="6" spans="1:10" ht="12" customHeight="1" x14ac:dyDescent="0.25">
      <c r="A6" s="1850"/>
      <c r="B6" s="1851"/>
      <c r="C6" s="2299" t="str">
        <f>COVER!A17</f>
        <v>Vermillion Voc Ed Deliver System</v>
      </c>
      <c r="D6" s="2299"/>
      <c r="E6" s="2299"/>
      <c r="F6" s="1852"/>
    </row>
    <row r="7" spans="1:10" ht="11.25" customHeight="1" thickBot="1" x14ac:dyDescent="0.3">
      <c r="A7" s="1850"/>
      <c r="B7" s="1851"/>
      <c r="C7" s="2300">
        <f>COVER!A13</f>
        <v>54092740045</v>
      </c>
      <c r="D7" s="2300"/>
      <c r="E7" s="2300"/>
      <c r="F7" s="1852"/>
    </row>
    <row r="8" spans="1:10" ht="25.5" customHeight="1" thickBot="1" x14ac:dyDescent="0.25">
      <c r="A8" s="1893" t="s">
        <v>1907</v>
      </c>
      <c r="B8" s="1853" t="s">
        <v>2073</v>
      </c>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c r="D26" s="1865"/>
      <c r="E26" s="1868"/>
      <c r="F26" s="1867"/>
      <c r="H26" s="1878">
        <f t="shared" si="0"/>
        <v>0</v>
      </c>
      <c r="I26" s="1878">
        <f t="shared" si="1"/>
        <v>0</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0</v>
      </c>
      <c r="I34" s="1878">
        <f>SUM(I11:I32)</f>
        <v>0</v>
      </c>
      <c r="J34" s="1878">
        <f>SUM(J11:J32)</f>
        <v>0</v>
      </c>
      <c r="K34" s="1878">
        <f>SUM(H34:J34)</f>
        <v>0</v>
      </c>
    </row>
    <row r="35" spans="1:11" ht="12" customHeight="1" x14ac:dyDescent="0.2">
      <c r="A35" s="1871" t="s">
        <v>1392</v>
      </c>
      <c r="B35" s="1872"/>
      <c r="C35" s="2301"/>
      <c r="D35" s="2301"/>
      <c r="E35" s="2301"/>
      <c r="F35" s="2302"/>
    </row>
    <row r="36" spans="1:11" ht="12" customHeight="1" x14ac:dyDescent="0.2">
      <c r="A36" s="2292"/>
      <c r="B36" s="2293"/>
      <c r="C36" s="2293"/>
      <c r="D36" s="2293"/>
      <c r="E36" s="2293"/>
      <c r="F36" s="2294"/>
    </row>
    <row r="37" spans="1:11" ht="12" customHeight="1" x14ac:dyDescent="0.2">
      <c r="A37" s="2292"/>
      <c r="B37" s="2293"/>
      <c r="C37" s="2293"/>
      <c r="D37" s="2293"/>
      <c r="E37" s="2293"/>
      <c r="F37" s="2294"/>
    </row>
    <row r="38" spans="1:11" ht="12" customHeight="1" x14ac:dyDescent="0.2">
      <c r="A38" s="2306"/>
      <c r="B38" s="2307"/>
      <c r="C38" s="2307"/>
      <c r="D38" s="2307"/>
      <c r="E38" s="2307"/>
      <c r="F38" s="2308"/>
    </row>
    <row r="39" spans="1:11" ht="4.5" hidden="1" customHeight="1" x14ac:dyDescent="0.2">
      <c r="A39" s="1873"/>
      <c r="B39" s="1873"/>
      <c r="C39" s="1873"/>
      <c r="D39" s="1873"/>
      <c r="E39" s="1873"/>
      <c r="F39" s="1873"/>
    </row>
    <row r="40" spans="1:11" s="1870" customFormat="1" ht="12" customHeight="1" x14ac:dyDescent="0.25">
      <c r="A40" s="1874" t="s">
        <v>1391</v>
      </c>
      <c r="B40" s="1875"/>
      <c r="C40" s="2309"/>
      <c r="D40" s="2309"/>
      <c r="E40" s="2309"/>
      <c r="F40" s="2310"/>
      <c r="H40" s="1879"/>
      <c r="I40" s="1879"/>
      <c r="J40" s="1879"/>
      <c r="K40" s="1879"/>
    </row>
    <row r="41" spans="1:11" s="1870" customFormat="1" ht="12" customHeight="1" x14ac:dyDescent="0.25">
      <c r="A41" s="2311"/>
      <c r="B41" s="2312"/>
      <c r="C41" s="2312"/>
      <c r="D41" s="2312"/>
      <c r="E41" s="2312"/>
      <c r="F41" s="2313"/>
      <c r="H41" s="1879"/>
      <c r="I41" s="1879"/>
      <c r="J41" s="1879"/>
      <c r="K41" s="1879"/>
    </row>
    <row r="42" spans="1:11" s="1870" customFormat="1" ht="12" customHeight="1" x14ac:dyDescent="0.25">
      <c r="A42" s="2311"/>
      <c r="B42" s="2312"/>
      <c r="C42" s="2312"/>
      <c r="D42" s="2312"/>
      <c r="E42" s="2312"/>
      <c r="F42" s="2313"/>
      <c r="H42" s="1879"/>
      <c r="I42" s="1879"/>
      <c r="J42" s="1879"/>
      <c r="K42" s="1879"/>
    </row>
    <row r="43" spans="1:11" s="1870" customFormat="1" ht="15" x14ac:dyDescent="0.25">
      <c r="A43" s="2303"/>
      <c r="B43" s="2304"/>
      <c r="C43" s="2304"/>
      <c r="D43" s="2304"/>
      <c r="E43" s="2304"/>
      <c r="F43" s="2305"/>
      <c r="H43" s="1879"/>
      <c r="I43" s="1879"/>
      <c r="J43" s="1879"/>
      <c r="K43" s="1879"/>
    </row>
    <row r="44" spans="1:11" s="1870" customFormat="1" ht="12" hidden="1" customHeight="1" x14ac:dyDescent="0.25">
      <c r="A44" s="2303"/>
      <c r="B44" s="2304"/>
      <c r="C44" s="2304"/>
      <c r="D44" s="2304"/>
      <c r="E44" s="2304"/>
      <c r="F44" s="2305"/>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9" t="str">
        <f>COVER!A17</f>
        <v>Vermillion Voc Ed Deliver System</v>
      </c>
      <c r="J6" s="2320"/>
      <c r="Q6" s="1664"/>
    </row>
    <row r="7" spans="1:17" x14ac:dyDescent="0.2">
      <c r="A7" s="2321" t="s">
        <v>869</v>
      </c>
      <c r="B7" s="2322"/>
      <c r="C7" s="2322"/>
      <c r="D7" s="2322"/>
      <c r="E7" s="2323"/>
      <c r="F7" s="1017"/>
      <c r="G7" s="1009"/>
      <c r="H7" s="1016" t="s">
        <v>372</v>
      </c>
      <c r="I7" s="2324">
        <f>COVER!A13</f>
        <v>54092740045</v>
      </c>
      <c r="J7" s="2324"/>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5" t="s">
        <v>481</v>
      </c>
      <c r="B11" s="2326"/>
      <c r="C11" s="2327"/>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0</v>
      </c>
      <c r="F12" s="1039"/>
      <c r="G12" s="1811">
        <f t="shared" ref="G12:G18" si="0">SUM(E12:F12)</f>
        <v>0</v>
      </c>
      <c r="H12" s="1040"/>
      <c r="I12" s="1039"/>
      <c r="J12" s="1811">
        <f t="shared" ref="J12:J18" si="1">SUM(H12:I12)</f>
        <v>0</v>
      </c>
    </row>
    <row r="13" spans="1:17" ht="15" customHeight="1" x14ac:dyDescent="0.2">
      <c r="A13" s="1035">
        <v>2</v>
      </c>
      <c r="B13" s="1036" t="s">
        <v>42</v>
      </c>
      <c r="C13" s="1037"/>
      <c r="D13" s="1038">
        <v>2330</v>
      </c>
      <c r="E13" s="1811">
        <f>'Expenditures 15-22'!K51</f>
        <v>10243</v>
      </c>
      <c r="F13" s="1039"/>
      <c r="G13" s="1811">
        <f t="shared" si="0"/>
        <v>10243</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8" t="s">
        <v>7</v>
      </c>
      <c r="C18" s="2329"/>
      <c r="D18" s="2330"/>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10243</v>
      </c>
      <c r="F19" s="1813">
        <f t="shared" si="2"/>
        <v>0</v>
      </c>
      <c r="G19" s="1813">
        <f t="shared" si="2"/>
        <v>10243</v>
      </c>
      <c r="H19" s="1813">
        <f t="shared" si="2"/>
        <v>0</v>
      </c>
      <c r="I19" s="1813">
        <f t="shared" si="2"/>
        <v>0</v>
      </c>
      <c r="J19" s="1813">
        <f t="shared" si="2"/>
        <v>0</v>
      </c>
    </row>
    <row r="20" spans="1:10" ht="13.5" thickTop="1" x14ac:dyDescent="0.2">
      <c r="A20" s="1035">
        <v>9</v>
      </c>
      <c r="B20" s="2331" t="s">
        <v>1979</v>
      </c>
      <c r="C20" s="2331"/>
      <c r="D20" s="2332"/>
      <c r="E20" s="1046"/>
      <c r="F20" s="1046"/>
      <c r="G20" s="1046"/>
      <c r="H20" s="1046"/>
      <c r="I20" s="1046"/>
      <c r="J20" s="1814" t="str">
        <f>IF(AND(G19&gt;0,J19&gt;0),(((J19-G19)/G19)),"Enter Budget Data")</f>
        <v>Enter Budget Data</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7"/>
      <c r="D26" s="2337"/>
      <c r="E26" s="1050"/>
      <c r="F26" s="2336"/>
      <c r="G26" s="2336"/>
    </row>
    <row r="27" spans="1:10" x14ac:dyDescent="0.2">
      <c r="B27" s="1047"/>
      <c r="C27" s="1051" t="s">
        <v>1033</v>
      </c>
      <c r="D27" s="1052"/>
      <c r="E27" s="1053"/>
      <c r="F27" s="2333" t="s">
        <v>1509</v>
      </c>
      <c r="G27" s="2333"/>
    </row>
    <row r="28" spans="1:10" ht="28.5" customHeight="1" x14ac:dyDescent="0.2">
      <c r="B28" s="1047"/>
      <c r="C28" s="2335"/>
      <c r="D28" s="2335"/>
      <c r="E28" s="1054"/>
      <c r="F28" s="2335"/>
      <c r="G28" s="2335"/>
    </row>
    <row r="29" spans="1:10" x14ac:dyDescent="0.2">
      <c r="B29" s="1047"/>
      <c r="C29" s="1055" t="s">
        <v>1561</v>
      </c>
      <c r="E29" s="1056"/>
      <c r="F29" s="2334" t="s">
        <v>1510</v>
      </c>
      <c r="G29" s="2334"/>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6" t="s">
        <v>132</v>
      </c>
      <c r="D33" s="2317"/>
      <c r="E33" s="2317"/>
      <c r="F33" s="2317"/>
      <c r="G33" s="2317"/>
      <c r="H33" s="2317"/>
      <c r="I33" s="2317"/>
    </row>
    <row r="34" spans="1:10" ht="10.35" customHeight="1" x14ac:dyDescent="0.2">
      <c r="C34" s="2317"/>
      <c r="D34" s="2317"/>
      <c r="E34" s="2317"/>
      <c r="F34" s="2317"/>
      <c r="G34" s="2317"/>
      <c r="H34" s="2317"/>
      <c r="I34" s="2317"/>
    </row>
    <row r="35" spans="1:10" ht="7.5" customHeight="1" x14ac:dyDescent="0.2">
      <c r="C35" s="1062"/>
    </row>
    <row r="36" spans="1:10" ht="13.5" customHeight="1" x14ac:dyDescent="0.2">
      <c r="B36" s="1061"/>
      <c r="C36" s="2318" t="s">
        <v>1981</v>
      </c>
      <c r="D36" s="2317"/>
      <c r="E36" s="2317"/>
      <c r="F36" s="2317"/>
      <c r="G36" s="2317"/>
      <c r="H36" s="2317"/>
      <c r="I36" s="2317"/>
      <c r="J36" s="1063"/>
    </row>
    <row r="37" spans="1:10" ht="22.5" customHeight="1" x14ac:dyDescent="0.2">
      <c r="C37" s="2317"/>
      <c r="D37" s="2317"/>
      <c r="E37" s="2317"/>
      <c r="F37" s="2317"/>
      <c r="G37" s="2317"/>
      <c r="H37" s="2317"/>
      <c r="I37" s="2317"/>
      <c r="J37" s="1063"/>
    </row>
    <row r="38" spans="1:10" ht="7.5" customHeight="1" x14ac:dyDescent="0.2">
      <c r="C38" s="1062"/>
      <c r="D38" s="1064"/>
      <c r="E38" s="1065"/>
      <c r="F38" s="1066"/>
      <c r="G38" s="1065"/>
    </row>
    <row r="39" spans="1:10" ht="13.5" customHeight="1" x14ac:dyDescent="0.2">
      <c r="B39" s="1061"/>
      <c r="C39" s="2314" t="s">
        <v>882</v>
      </c>
      <c r="D39" s="2315"/>
      <c r="E39" s="2315"/>
      <c r="F39" s="2315"/>
      <c r="G39" s="2315"/>
      <c r="H39" s="2315"/>
      <c r="I39" s="2315"/>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2083</v>
      </c>
    </row>
    <row r="6" spans="1:2" x14ac:dyDescent="0.2">
      <c r="A6" s="1068"/>
      <c r="B6" s="329" t="s">
        <v>2084</v>
      </c>
    </row>
    <row r="7" spans="1:2" x14ac:dyDescent="0.2">
      <c r="A7" s="1068"/>
      <c r="B7" s="329" t="s">
        <v>2085</v>
      </c>
    </row>
    <row r="8" spans="1:2" x14ac:dyDescent="0.2">
      <c r="A8" s="1068"/>
    </row>
    <row r="9" spans="1:2" x14ac:dyDescent="0.2">
      <c r="A9" s="1069">
        <v>2</v>
      </c>
      <c r="B9" s="329" t="s">
        <v>2086</v>
      </c>
    </row>
    <row r="10" spans="1:2" x14ac:dyDescent="0.2">
      <c r="A10" s="1069"/>
      <c r="B10" s="329" t="s">
        <v>2084</v>
      </c>
    </row>
    <row r="11" spans="1:2" x14ac:dyDescent="0.2">
      <c r="A11" s="1069"/>
      <c r="B11" s="329" t="s">
        <v>2087</v>
      </c>
    </row>
    <row r="12" spans="1:2" x14ac:dyDescent="0.2">
      <c r="A12" s="1069"/>
    </row>
    <row r="13" spans="1:2" x14ac:dyDescent="0.2">
      <c r="A13" s="1069">
        <v>3</v>
      </c>
      <c r="B13" s="329" t="s">
        <v>2088</v>
      </c>
    </row>
    <row r="14" spans="1:2" x14ac:dyDescent="0.2">
      <c r="A14" s="1069"/>
      <c r="B14" s="329" t="s">
        <v>2089</v>
      </c>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Vermillion Voc Ed Deliver System</v>
      </c>
    </row>
    <row r="65" spans="2:2" x14ac:dyDescent="0.2">
      <c r="B65" s="1070">
        <f>COVER!A13</f>
        <v>54092740045</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5" t="s">
        <v>1065</v>
      </c>
      <c r="B35" s="2055"/>
      <c r="C35" s="2055"/>
      <c r="D35" s="2055"/>
      <c r="E35" s="205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2" t="s">
        <v>691</v>
      </c>
      <c r="B40" s="2052"/>
      <c r="C40" s="2052"/>
      <c r="D40" s="2052"/>
      <c r="E40" s="2052"/>
    </row>
    <row r="41" spans="1:5" x14ac:dyDescent="0.2">
      <c r="A41" s="2053" t="s">
        <v>1608</v>
      </c>
      <c r="B41" s="2053"/>
      <c r="C41" s="2053"/>
      <c r="D41" s="2053"/>
      <c r="E41" s="2053"/>
    </row>
    <row r="42" spans="1:5" ht="12.75" customHeight="1" x14ac:dyDescent="0.2">
      <c r="A42" s="2054" t="s">
        <v>1022</v>
      </c>
      <c r="B42" s="2054"/>
      <c r="C42" s="2054"/>
      <c r="D42" s="2054"/>
      <c r="E42" s="2054"/>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8" t="s">
        <v>1685</v>
      </c>
      <c r="B18" s="2338"/>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419100</xdr:colOff>
                <xdr:row>2</xdr:row>
                <xdr:rowOff>104775</xdr:rowOff>
              </from>
              <to>
                <xdr:col>1</xdr:col>
                <xdr:colOff>1333500</xdr:colOff>
                <xdr:row>6</xdr:row>
                <xdr:rowOff>142875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9" t="s">
        <v>1690</v>
      </c>
      <c r="B1" s="2340"/>
      <c r="C1" s="2340"/>
      <c r="D1" s="2340"/>
      <c r="E1" s="2340"/>
      <c r="F1" s="2341"/>
    </row>
    <row r="2" spans="1:8" ht="45" customHeight="1" x14ac:dyDescent="0.2">
      <c r="A2" s="2349" t="s">
        <v>1985</v>
      </c>
      <c r="B2" s="2350"/>
      <c r="C2" s="2350"/>
      <c r="D2" s="2350"/>
      <c r="E2" s="2350"/>
      <c r="F2" s="2351"/>
      <c r="G2" s="1074"/>
      <c r="H2" s="1074"/>
    </row>
    <row r="3" spans="1:8" ht="57" customHeight="1" x14ac:dyDescent="0.2">
      <c r="A3" s="2352" t="s">
        <v>1686</v>
      </c>
      <c r="B3" s="2353"/>
      <c r="C3" s="2353"/>
      <c r="D3" s="2353"/>
      <c r="E3" s="2353"/>
      <c r="F3" s="2354"/>
      <c r="G3" s="1074"/>
      <c r="H3" s="1074"/>
    </row>
    <row r="4" spans="1:8" ht="14.25" customHeight="1" x14ac:dyDescent="0.2">
      <c r="A4" s="2358" t="s">
        <v>1986</v>
      </c>
      <c r="B4" s="2359"/>
      <c r="C4" s="2359"/>
      <c r="D4" s="2359"/>
      <c r="E4" s="2359"/>
      <c r="F4" s="2360"/>
      <c r="G4" s="1074"/>
      <c r="H4" s="1074"/>
    </row>
    <row r="5" spans="1:8" ht="14.25" customHeight="1" x14ac:dyDescent="0.2">
      <c r="A5" s="2361" t="s">
        <v>1982</v>
      </c>
      <c r="B5" s="2362"/>
      <c r="C5" s="2362"/>
      <c r="D5" s="2362"/>
      <c r="E5" s="2362"/>
      <c r="F5" s="2363"/>
      <c r="G5" s="1074"/>
      <c r="H5" s="1074"/>
    </row>
    <row r="6" spans="1:8" s="1075" customFormat="1" ht="41.25" customHeight="1" x14ac:dyDescent="0.2">
      <c r="A6" s="2355" t="s">
        <v>1691</v>
      </c>
      <c r="B6" s="2356"/>
      <c r="C6" s="2356"/>
      <c r="D6" s="2356"/>
      <c r="E6" s="2356"/>
      <c r="F6" s="2357"/>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667901</v>
      </c>
      <c r="C8" s="1815">
        <f>'Acct Summary 7-8'!D8</f>
        <v>8302</v>
      </c>
      <c r="D8" s="1815">
        <f>'Acct Summary 7-8'!F8</f>
        <v>0</v>
      </c>
      <c r="E8" s="1815">
        <f>'Acct Summary 7-8'!I8</f>
        <v>0</v>
      </c>
      <c r="F8" s="1815">
        <f>SUM(B8:E8)</f>
        <v>676203</v>
      </c>
    </row>
    <row r="9" spans="1:8" s="1079" customFormat="1" ht="14.25" customHeight="1" thickBot="1" x14ac:dyDescent="0.25">
      <c r="A9" s="1078" t="s">
        <v>1369</v>
      </c>
      <c r="B9" s="1816">
        <f>'Acct Summary 7-8'!C17</f>
        <v>763359</v>
      </c>
      <c r="C9" s="1816">
        <f>'Acct Summary 7-8'!D17</f>
        <v>5198</v>
      </c>
      <c r="D9" s="1816">
        <f>'Acct Summary 7-8'!F17</f>
        <v>0</v>
      </c>
      <c r="E9" s="1815"/>
      <c r="F9" s="1815">
        <f>SUM(B9:E9)</f>
        <v>768557</v>
      </c>
    </row>
    <row r="10" spans="1:8" s="1079" customFormat="1" ht="14.25" thickTop="1" thickBot="1" x14ac:dyDescent="0.25">
      <c r="A10" s="1080" t="s">
        <v>1370</v>
      </c>
      <c r="B10" s="1817">
        <f>(B8-B9)</f>
        <v>-95458</v>
      </c>
      <c r="C10" s="1817">
        <f>(C8-C9)</f>
        <v>3104</v>
      </c>
      <c r="D10" s="1817">
        <f>(D8-D9)</f>
        <v>0</v>
      </c>
      <c r="E10" s="1816">
        <f>(E8-E9)</f>
        <v>0</v>
      </c>
      <c r="F10" s="1818">
        <f>SUM(F8-F9)</f>
        <v>-92354</v>
      </c>
    </row>
    <row r="11" spans="1:8" s="1079" customFormat="1" ht="14.25" thickTop="1" thickBot="1" x14ac:dyDescent="0.25">
      <c r="A11" s="1081" t="s">
        <v>1983</v>
      </c>
      <c r="B11" s="1819">
        <f>'Acct Summary 7-8'!C81</f>
        <v>107728</v>
      </c>
      <c r="C11" s="1819">
        <f>'Acct Summary 7-8'!D81</f>
        <v>152167</v>
      </c>
      <c r="D11" s="1819">
        <f>'Acct Summary 7-8'!F81</f>
        <v>0</v>
      </c>
      <c r="E11" s="1819">
        <f>'Acct Summary 7-8'!I81</f>
        <v>0</v>
      </c>
      <c r="F11" s="1820">
        <f>SUM(B11:E11)</f>
        <v>259895</v>
      </c>
    </row>
    <row r="12" spans="1:8" ht="16.5" customHeight="1" thickTop="1" x14ac:dyDescent="0.2">
      <c r="A12" s="1082"/>
      <c r="B12" s="1083"/>
      <c r="C12" s="2343" t="str">
        <f>IF(AND(F10&lt;0,F11&gt;=0,ABS(F10*3)&gt;ABS(F11)),A16,IF(AND(F10&lt;0,F11&gt;0,ABS(F10*3)&lt;=ABS(F11)),A17,IF(AND(F10&lt;0,F11&lt;0),A16,IF(F11=0,A19,A18))))</f>
        <v>Unbalanced - a "deficit reduction plan" and narrative must be adopted and submitted to ISBE with the most current fiscal year School District Budget Form 50-36.  This plan must result in a balanced operating budget within three years as adopted by the local board of education.  (See the School District Budget Form 50-36 -Tab: Deficit BudgetSum Calc 20)</v>
      </c>
      <c r="D12" s="2344"/>
      <c r="E12" s="2344"/>
      <c r="F12" s="2345"/>
    </row>
    <row r="13" spans="1:8" ht="19.5" customHeight="1" x14ac:dyDescent="0.2">
      <c r="A13" s="1084"/>
      <c r="B13" s="1085"/>
      <c r="C13" s="2343"/>
      <c r="D13" s="2344"/>
      <c r="E13" s="2344"/>
      <c r="F13" s="2345"/>
      <c r="H13" s="1074"/>
    </row>
    <row r="14" spans="1:8" ht="19.5" customHeight="1" x14ac:dyDescent="0.2">
      <c r="A14" s="1084"/>
      <c r="B14" s="1085"/>
      <c r="C14" s="2343"/>
      <c r="D14" s="2344"/>
      <c r="E14" s="2344"/>
      <c r="F14" s="2345"/>
      <c r="H14" s="1074"/>
    </row>
    <row r="15" spans="1:8" ht="17.25" customHeight="1" x14ac:dyDescent="0.2">
      <c r="A15" s="1084"/>
      <c r="B15" s="1085"/>
      <c r="C15" s="2346"/>
      <c r="D15" s="2347"/>
      <c r="E15" s="2347"/>
      <c r="F15" s="2348"/>
      <c r="H15" s="1074"/>
    </row>
    <row r="16" spans="1:8" s="310" customFormat="1" ht="51.75" hidden="1" customHeight="1" x14ac:dyDescent="0.2">
      <c r="A16" s="2342" t="s">
        <v>1687</v>
      </c>
      <c r="B16" s="2342"/>
      <c r="C16" s="2342"/>
      <c r="D16" s="2342"/>
      <c r="E16" s="2342"/>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pageSetUpPr fitToPage="1"/>
  </sheetPr>
  <dimension ref="A1:L82"/>
  <sheetViews>
    <sheetView showGridLines="0" defaultGridColor="0" colorId="8" zoomScale="110" zoomScaleNormal="110" workbookViewId="0">
      <selection activeCell="A2" sqref="A2"/>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4" t="s">
        <v>665</v>
      </c>
      <c r="B3" s="2365"/>
      <c r="C3" s="2365"/>
      <c r="D3" s="2366"/>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5" t="s">
        <v>1504</v>
      </c>
      <c r="D7" s="2376"/>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7" t="s">
        <v>1008</v>
      </c>
      <c r="B15" s="2368"/>
      <c r="C15" s="2368"/>
      <c r="D15" s="2369"/>
    </row>
    <row r="16" spans="1:4" s="668" customFormat="1" ht="24" customHeight="1" x14ac:dyDescent="0.2">
      <c r="A16" s="2370" t="s">
        <v>663</v>
      </c>
      <c r="B16" s="2371"/>
      <c r="C16" s="2371"/>
      <c r="D16" s="2372"/>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9" t="s">
        <v>314</v>
      </c>
      <c r="D21" s="2380"/>
    </row>
    <row r="22" spans="1:10" ht="12.75" x14ac:dyDescent="0.2">
      <c r="A22" s="1139"/>
      <c r="B22" s="1140">
        <v>2</v>
      </c>
      <c r="C22" s="2377" t="s">
        <v>1524</v>
      </c>
      <c r="D22" s="2378"/>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1" t="s">
        <v>536</v>
      </c>
      <c r="D43" s="2382"/>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3" t="s">
        <v>784</v>
      </c>
      <c r="D56" s="2374"/>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3" t="s">
        <v>1696</v>
      </c>
      <c r="D70" s="2374"/>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69"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54092740045</v>
      </c>
    </row>
    <row r="3" spans="1:2" x14ac:dyDescent="0.2">
      <c r="A3" t="s">
        <v>956</v>
      </c>
      <c r="B3" s="138" t="str">
        <f>COVER!A15</f>
        <v>VERMILION</v>
      </c>
    </row>
    <row r="4" spans="1:2" x14ac:dyDescent="0.2">
      <c r="A4" t="s">
        <v>1007</v>
      </c>
      <c r="B4" s="138" t="str">
        <f>COVER!A17</f>
        <v>Vermillion Voc Ed Deliver System</v>
      </c>
    </row>
    <row r="5" spans="1:2" x14ac:dyDescent="0.2">
      <c r="A5" t="s">
        <v>704</v>
      </c>
      <c r="B5" s="138" t="str">
        <f>COVER!A38</f>
        <v>Nick Chatterton</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f>COVER!B5</f>
        <v>0</v>
      </c>
    </row>
    <row r="11" spans="1:2" x14ac:dyDescent="0.2">
      <c r="A11" t="s">
        <v>977</v>
      </c>
      <c r="B11" s="138" t="str">
        <f>COVER!B6</f>
        <v>X</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107728</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107728</v>
      </c>
      <c r="D92" s="2" t="str">
        <f t="shared" si="0"/>
        <v>Error?</v>
      </c>
    </row>
    <row r="93" spans="1:4" x14ac:dyDescent="0.2">
      <c r="A93" s="5">
        <v>32</v>
      </c>
      <c r="B93" s="138">
        <f>'Assets-Liab 5-6'!C41</f>
        <v>107728</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152167</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152167</v>
      </c>
      <c r="D123" s="2" t="str">
        <f t="shared" si="0"/>
        <v>Error?</v>
      </c>
    </row>
    <row r="124" spans="1:4" x14ac:dyDescent="0.2">
      <c r="A124" s="5">
        <v>63</v>
      </c>
      <c r="B124" s="138">
        <f>'Assets-Liab 5-6'!D41</f>
        <v>152167</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0</v>
      </c>
      <c r="C279" s="2" t="s">
        <v>573</v>
      </c>
      <c r="D279" s="2" t="str">
        <f t="shared" si="3"/>
        <v>Error?</v>
      </c>
    </row>
    <row r="280" spans="1:4" x14ac:dyDescent="0.2">
      <c r="A280" s="5">
        <v>219</v>
      </c>
      <c r="B280" s="138">
        <f>'Assets-Liab 5-6'!M40</f>
        <v>0</v>
      </c>
      <c r="D280" s="2" t="str">
        <f t="shared" si="3"/>
        <v>Error?</v>
      </c>
    </row>
    <row r="281" spans="1:4" x14ac:dyDescent="0.2">
      <c r="A281" s="5">
        <v>220</v>
      </c>
      <c r="B281" s="138">
        <f>'Assets-Liab 5-6'!M41</f>
        <v>0</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21925</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21925</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11317</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11317</v>
      </c>
      <c r="C727" s="2" t="s">
        <v>573</v>
      </c>
      <c r="D727" s="2" t="str">
        <f t="shared" si="10"/>
        <v>Error?</v>
      </c>
    </row>
    <row r="728" spans="1:4" x14ac:dyDescent="0.2">
      <c r="A728" s="5">
        <v>667</v>
      </c>
      <c r="B728" s="138">
        <f>'Expenditures 15-22'!C44</f>
        <v>156011</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156011</v>
      </c>
      <c r="C731" s="2" t="s">
        <v>573</v>
      </c>
      <c r="D731" s="2" t="str">
        <f t="shared" si="10"/>
        <v>Error?</v>
      </c>
    </row>
    <row r="732" spans="1:4" x14ac:dyDescent="0.2">
      <c r="A732" s="5">
        <v>671</v>
      </c>
      <c r="B732" s="138">
        <f>'Expenditures 15-22'!C49</f>
        <v>56086</v>
      </c>
      <c r="D732" s="2" t="str">
        <f t="shared" si="10"/>
        <v>Error?</v>
      </c>
    </row>
    <row r="733" spans="1:4" x14ac:dyDescent="0.2">
      <c r="A733" s="5">
        <v>672</v>
      </c>
      <c r="B733" s="138">
        <f>'Expenditures 15-22'!C50</f>
        <v>0</v>
      </c>
      <c r="D733" s="2" t="str">
        <f t="shared" si="10"/>
        <v>Error?</v>
      </c>
    </row>
    <row r="734" spans="1:4" x14ac:dyDescent="0.2">
      <c r="A734" s="5">
        <v>673</v>
      </c>
      <c r="B734" s="138">
        <f>'Expenditures 15-22'!C53</f>
        <v>63613</v>
      </c>
      <c r="C734" s="2" t="s">
        <v>573</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230941</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252866</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1659</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1659</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3568</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3568</v>
      </c>
      <c r="C785" s="2" t="s">
        <v>573</v>
      </c>
      <c r="D785" s="2" t="str">
        <f t="shared" si="11"/>
        <v>Error?</v>
      </c>
    </row>
    <row r="786" spans="1:4" x14ac:dyDescent="0.2">
      <c r="A786" s="5">
        <v>725</v>
      </c>
      <c r="B786" s="138">
        <f>'Expenditures 15-22'!D44</f>
        <v>39747</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39747</v>
      </c>
      <c r="C789" s="2" t="s">
        <v>573</v>
      </c>
      <c r="D789" s="2" t="str">
        <f t="shared" si="11"/>
        <v>Error?</v>
      </c>
    </row>
    <row r="790" spans="1:4" x14ac:dyDescent="0.2">
      <c r="A790" s="5">
        <v>729</v>
      </c>
      <c r="B790" s="138">
        <f>'Expenditures 15-22'!D49</f>
        <v>11212</v>
      </c>
      <c r="D790" s="2" t="str">
        <f t="shared" si="11"/>
        <v>Error?</v>
      </c>
    </row>
    <row r="791" spans="1:4" x14ac:dyDescent="0.2">
      <c r="A791" s="5">
        <v>730</v>
      </c>
      <c r="B791" s="138">
        <f>'Expenditures 15-22'!D50</f>
        <v>0</v>
      </c>
      <c r="D791" s="2" t="str">
        <f t="shared" si="11"/>
        <v>Error?</v>
      </c>
    </row>
    <row r="792" spans="1:4" x14ac:dyDescent="0.2">
      <c r="A792" s="5">
        <v>731</v>
      </c>
      <c r="B792" s="138">
        <f>'Expenditures 15-22'!D53</f>
        <v>13069</v>
      </c>
      <c r="C792" s="2" t="s">
        <v>573</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56384</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58043</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38996</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38996</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43119</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43119</v>
      </c>
      <c r="C843" s="2" t="s">
        <v>573</v>
      </c>
      <c r="D843" s="2" t="str">
        <f t="shared" si="12"/>
        <v>Error?</v>
      </c>
    </row>
    <row r="844" spans="1:4" x14ac:dyDescent="0.2">
      <c r="A844" s="5">
        <v>783</v>
      </c>
      <c r="B844" s="138">
        <f>'Expenditures 15-22'!E44</f>
        <v>18561</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18561</v>
      </c>
      <c r="C847" s="2" t="s">
        <v>573</v>
      </c>
      <c r="D847" s="2" t="str">
        <f t="shared" si="12"/>
        <v>Error?</v>
      </c>
    </row>
    <row r="848" spans="1:4" x14ac:dyDescent="0.2">
      <c r="A848" s="5">
        <v>787</v>
      </c>
      <c r="B848" s="138">
        <f>'Expenditures 15-22'!E49</f>
        <v>1005</v>
      </c>
      <c r="D848" s="2" t="str">
        <f t="shared" si="12"/>
        <v>Error?</v>
      </c>
    </row>
    <row r="849" spans="1:4" x14ac:dyDescent="0.2">
      <c r="A849" s="5">
        <v>788</v>
      </c>
      <c r="B849" s="138">
        <f>'Expenditures 15-22'!E50</f>
        <v>0</v>
      </c>
      <c r="D849" s="2" t="str">
        <f t="shared" si="12"/>
        <v>Error?</v>
      </c>
    </row>
    <row r="850" spans="1:4" x14ac:dyDescent="0.2">
      <c r="A850" s="5">
        <v>789</v>
      </c>
      <c r="B850" s="138">
        <f>'Expenditures 15-22'!E53</f>
        <v>1864</v>
      </c>
      <c r="C850" s="2" t="s">
        <v>573</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6350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6350</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69894</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113300</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144835</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144835</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3476</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3476</v>
      </c>
      <c r="C901" s="2" t="s">
        <v>573</v>
      </c>
      <c r="D901" s="2" t="str">
        <f t="shared" si="13"/>
        <v>Error?</v>
      </c>
    </row>
    <row r="902" spans="1:4" x14ac:dyDescent="0.2">
      <c r="A902" s="5">
        <v>841</v>
      </c>
      <c r="B902" s="138">
        <f>'Expenditures 15-22'!F44</f>
        <v>2983</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2983</v>
      </c>
      <c r="C905" s="2" t="s">
        <v>573</v>
      </c>
      <c r="D905" s="2" t="str">
        <f t="shared" si="13"/>
        <v>Error?</v>
      </c>
    </row>
    <row r="906" spans="1:4" x14ac:dyDescent="0.2">
      <c r="A906" s="5">
        <v>845</v>
      </c>
      <c r="B906" s="138">
        <f>'Expenditures 15-22'!F49</f>
        <v>217</v>
      </c>
      <c r="D906" s="2" t="str">
        <f t="shared" si="13"/>
        <v>Error?</v>
      </c>
    </row>
    <row r="907" spans="1:4" x14ac:dyDescent="0.2">
      <c r="A907" s="5">
        <v>846</v>
      </c>
      <c r="B907" s="138">
        <f>'Expenditures 15-22'!F50</f>
        <v>0</v>
      </c>
      <c r="D907" s="2" t="str">
        <f t="shared" si="13"/>
        <v>Error?</v>
      </c>
    </row>
    <row r="908" spans="1:4" x14ac:dyDescent="0.2">
      <c r="A908" s="5">
        <v>847</v>
      </c>
      <c r="B908" s="138">
        <f>'Expenditures 15-22'!F53</f>
        <v>217</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6676</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151511</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1903</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1903</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95000</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96903</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300054</v>
      </c>
      <c r="C1105" s="2" t="s">
        <v>573</v>
      </c>
      <c r="D1105" s="2" t="str">
        <f t="shared" si="16"/>
        <v>Error?</v>
      </c>
    </row>
    <row r="1106" spans="1:4" x14ac:dyDescent="0.2">
      <c r="A1106" s="5">
        <v>1045</v>
      </c>
      <c r="B1106" s="138">
        <f>'Expenditures 15-22'!K14</f>
        <v>0</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300054</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61480</v>
      </c>
      <c r="C1110" s="2" t="s">
        <v>573</v>
      </c>
      <c r="D1110" s="2" t="str">
        <f t="shared" si="16"/>
        <v>Error?</v>
      </c>
    </row>
    <row r="1111" spans="1:4" x14ac:dyDescent="0.2">
      <c r="A1111" s="5">
        <v>1050</v>
      </c>
      <c r="B1111" s="138">
        <f>'Expenditures 15-22'!K38</f>
        <v>0</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61480</v>
      </c>
      <c r="C1115" s="2" t="s">
        <v>573</v>
      </c>
      <c r="D1115" s="2" t="str">
        <f t="shared" si="16"/>
        <v>Error?</v>
      </c>
    </row>
    <row r="1116" spans="1:4" x14ac:dyDescent="0.2">
      <c r="A1116" s="5">
        <v>1055</v>
      </c>
      <c r="B1116" s="138">
        <f>'Expenditures 15-22'!K44</f>
        <v>217302</v>
      </c>
      <c r="C1116" s="2" t="s">
        <v>573</v>
      </c>
      <c r="D1116" s="2" t="str">
        <f t="shared" si="16"/>
        <v>Error?</v>
      </c>
    </row>
    <row r="1117" spans="1:4" x14ac:dyDescent="0.2">
      <c r="A1117" s="5">
        <v>1056</v>
      </c>
      <c r="B1117" s="138">
        <f>'Expenditures 15-22'!K45</f>
        <v>0</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217302</v>
      </c>
      <c r="C1119" s="2" t="s">
        <v>573</v>
      </c>
      <c r="D1119" s="2" t="str">
        <f t="shared" si="16"/>
        <v>Error?</v>
      </c>
    </row>
    <row r="1120" spans="1:4" x14ac:dyDescent="0.2">
      <c r="A1120" s="5">
        <v>1059</v>
      </c>
      <c r="B1120" s="138">
        <f>'Expenditures 15-22'!K49</f>
        <v>68520</v>
      </c>
      <c r="C1120" s="2" t="s">
        <v>573</v>
      </c>
      <c r="D1120" s="2" t="str">
        <f t="shared" si="16"/>
        <v>Error?</v>
      </c>
    </row>
    <row r="1121" spans="1:4" x14ac:dyDescent="0.2">
      <c r="A1121" s="5">
        <v>1060</v>
      </c>
      <c r="B1121" s="138">
        <f>'Expenditures 15-22'!K50</f>
        <v>0</v>
      </c>
      <c r="C1121" s="2" t="s">
        <v>573</v>
      </c>
      <c r="D1121" s="2" t="str">
        <f t="shared" si="16"/>
        <v>Error?</v>
      </c>
    </row>
    <row r="1122" spans="1:4" x14ac:dyDescent="0.2">
      <c r="A1122" s="5">
        <v>1061</v>
      </c>
      <c r="B1122" s="138">
        <f>'Expenditures 15-22'!K53</f>
        <v>78763</v>
      </c>
      <c r="C1122" s="2" t="s">
        <v>573</v>
      </c>
      <c r="D1122" s="2" t="str">
        <f t="shared" si="16"/>
        <v>Error?</v>
      </c>
    </row>
    <row r="1123" spans="1:4" x14ac:dyDescent="0.2">
      <c r="A1123" s="5">
        <v>1062</v>
      </c>
      <c r="B1123" s="138">
        <f>'Expenditures 15-22'!K55</f>
        <v>0</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0</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6350</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0</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6350</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363895</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99410</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763359</v>
      </c>
      <c r="C1152" s="2" t="s">
        <v>573</v>
      </c>
      <c r="D1152" s="2" t="str">
        <f t="shared" si="17"/>
        <v>Error?</v>
      </c>
    </row>
    <row r="1153" spans="1:4" x14ac:dyDescent="0.2">
      <c r="A1153" s="5">
        <v>1092</v>
      </c>
      <c r="B1153" s="138">
        <f>'Expenditures 15-22'!K115</f>
        <v>-95458</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4905</v>
      </c>
      <c r="D1237" s="2" t="str">
        <f t="shared" si="18"/>
        <v>Error?</v>
      </c>
    </row>
    <row r="1238" spans="1:4" x14ac:dyDescent="0.2">
      <c r="A1238" s="10">
        <v>1177</v>
      </c>
      <c r="D1238" s="2" t="str">
        <f t="shared" si="18"/>
        <v>OK</v>
      </c>
    </row>
    <row r="1239" spans="1:4" x14ac:dyDescent="0.2">
      <c r="A1239" s="5">
        <v>1178</v>
      </c>
      <c r="B1239" s="138">
        <f>'Expenditures 15-22'!E127</f>
        <v>4905</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4905</v>
      </c>
      <c r="C1241" s="2" t="s">
        <v>573</v>
      </c>
      <c r="D1241" s="2" t="str">
        <f t="shared" si="18"/>
        <v>Error?</v>
      </c>
    </row>
    <row r="1242" spans="1:4" x14ac:dyDescent="0.2">
      <c r="A1242" s="5">
        <v>1181</v>
      </c>
      <c r="B1242" s="138">
        <f>'Expenditures 15-22'!E151</f>
        <v>4905</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293</v>
      </c>
      <c r="D1245" s="2" t="str">
        <f t="shared" si="18"/>
        <v>Error?</v>
      </c>
    </row>
    <row r="1246" spans="1:4" x14ac:dyDescent="0.2">
      <c r="A1246" s="10">
        <v>1185</v>
      </c>
      <c r="D1246" s="2" t="str">
        <f t="shared" si="18"/>
        <v>OK</v>
      </c>
    </row>
    <row r="1247" spans="1:4" x14ac:dyDescent="0.2">
      <c r="A1247" s="5">
        <v>1186</v>
      </c>
      <c r="B1247" s="138">
        <f>'Expenditures 15-22'!F127</f>
        <v>293</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293</v>
      </c>
      <c r="C1249" s="2" t="s">
        <v>573</v>
      </c>
      <c r="D1249" s="2" t="str">
        <f t="shared" si="18"/>
        <v>Error?</v>
      </c>
    </row>
    <row r="1250" spans="1:4" x14ac:dyDescent="0.2">
      <c r="A1250" s="5">
        <v>1189</v>
      </c>
      <c r="B1250" s="138">
        <f>'Expenditures 15-22'!F151</f>
        <v>293</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5198</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5198</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5198</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5198</v>
      </c>
      <c r="C1288" s="2" t="s">
        <v>573</v>
      </c>
      <c r="D1288" s="2" t="str">
        <f t="shared" si="19"/>
        <v>Error?</v>
      </c>
    </row>
    <row r="1289" spans="1:4" x14ac:dyDescent="0.2">
      <c r="A1289" s="5">
        <v>1228</v>
      </c>
      <c r="B1289" s="138">
        <f>'Expenditures 15-22'!K152</f>
        <v>3104</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573</v>
      </c>
      <c r="D1317" s="2" t="str">
        <f t="shared" si="19"/>
        <v>Error?</v>
      </c>
    </row>
    <row r="1318" spans="1:4" x14ac:dyDescent="0.2">
      <c r="A1318" s="5">
        <v>1257</v>
      </c>
      <c r="B1318" s="138">
        <f>'Expenditures 15-22'!H174</f>
        <v>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0</v>
      </c>
      <c r="C1331" s="2" t="s">
        <v>573</v>
      </c>
      <c r="D1331" s="2" t="str">
        <f t="shared" si="19"/>
        <v>Error?</v>
      </c>
    </row>
    <row r="1332" spans="1:4" x14ac:dyDescent="0.2">
      <c r="A1332" s="5">
        <v>1271</v>
      </c>
      <c r="B1332" s="138">
        <f>'Expenditures 15-22'!K174</f>
        <v>0</v>
      </c>
      <c r="C1332" s="2" t="s">
        <v>573</v>
      </c>
      <c r="D1332" s="2" t="str">
        <f t="shared" si="19"/>
        <v>Error?</v>
      </c>
    </row>
    <row r="1333" spans="1:4" x14ac:dyDescent="0.2">
      <c r="A1333" s="5">
        <v>1272</v>
      </c>
      <c r="B1333" s="138">
        <f>'Expenditures 15-22'!K175</f>
        <v>0</v>
      </c>
      <c r="C1333" s="2" t="s">
        <v>573</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573</v>
      </c>
      <c r="D1339" s="2" t="str">
        <f t="shared" si="19"/>
        <v>Error?</v>
      </c>
    </row>
    <row r="1340" spans="1:4" x14ac:dyDescent="0.2">
      <c r="A1340" s="5">
        <v>1279</v>
      </c>
      <c r="B1340" s="138">
        <f>'Expenditures 15-22'!C210</f>
        <v>0</v>
      </c>
      <c r="C1340" s="2" t="s">
        <v>573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573</v>
      </c>
      <c r="D1345" s="2" t="str">
        <f t="shared" si="20"/>
        <v>Error?</v>
      </c>
    </row>
    <row r="1346" spans="1:4" x14ac:dyDescent="0.2">
      <c r="A1346" s="5">
        <v>1285</v>
      </c>
      <c r="B1346" s="138">
        <f>'Expenditures 15-22'!D210</f>
        <v>0</v>
      </c>
      <c r="C1346" s="2" t="s">
        <v>573</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0</v>
      </c>
      <c r="C1353" s="2" t="s">
        <v>573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573</v>
      </c>
      <c r="D1358" s="2" t="str">
        <f t="shared" si="20"/>
        <v>Error?</v>
      </c>
    </row>
    <row r="1359" spans="1:4" x14ac:dyDescent="0.2">
      <c r="A1359" s="5">
        <v>1298</v>
      </c>
      <c r="B1359" s="138">
        <f>'Expenditures 15-22'!F210</f>
        <v>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0</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0</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0</v>
      </c>
      <c r="C1388" s="2" t="s">
        <v>573</v>
      </c>
      <c r="D1388" s="2" t="str">
        <f t="shared" si="20"/>
        <v>Error?</v>
      </c>
    </row>
    <row r="1389" spans="1:4" x14ac:dyDescent="0.2">
      <c r="A1389" s="5">
        <v>1328</v>
      </c>
      <c r="B1389" s="138">
        <f>'Expenditures 15-22'!K211</f>
        <v>0</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573</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0</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0</v>
      </c>
      <c r="C1487" s="2" t="s">
        <v>573</v>
      </c>
      <c r="D1487" s="2" t="str">
        <f t="shared" si="22"/>
        <v>Error?</v>
      </c>
    </row>
    <row r="1488" spans="1:4" x14ac:dyDescent="0.2">
      <c r="A1488" s="5">
        <v>1427</v>
      </c>
      <c r="B1488" s="138">
        <f>'Expenditures 15-22'!K257</f>
        <v>0</v>
      </c>
      <c r="C1488" s="2" t="s">
        <v>573</v>
      </c>
      <c r="D1488" s="2" t="str">
        <f t="shared" si="22"/>
        <v>Error?</v>
      </c>
    </row>
    <row r="1489" spans="1:4" x14ac:dyDescent="0.2">
      <c r="A1489" s="5">
        <v>1428</v>
      </c>
      <c r="B1489" s="138">
        <f>'Expenditures 15-22'!K259</f>
        <v>0</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0</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0</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0</v>
      </c>
      <c r="C1495" s="2" t="s">
        <v>573</v>
      </c>
      <c r="D1495" s="2" t="str">
        <f t="shared" si="22"/>
        <v>Error?</v>
      </c>
    </row>
    <row r="1496" spans="1:4" x14ac:dyDescent="0.2">
      <c r="A1496" s="5">
        <v>1435</v>
      </c>
      <c r="B1496" s="138">
        <f>'Expenditures 15-22'!K267</f>
        <v>0</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0</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0</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0</v>
      </c>
      <c r="C1517" s="2" t="s">
        <v>573</v>
      </c>
      <c r="D1517" s="2" t="str">
        <f t="shared" si="22"/>
        <v>Error?</v>
      </c>
    </row>
    <row r="1518" spans="1:4" x14ac:dyDescent="0.2">
      <c r="A1518" s="5">
        <v>1457</v>
      </c>
      <c r="B1518" s="138">
        <f>'Expenditures 15-22'!K296</f>
        <v>0</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203186</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107728</v>
      </c>
      <c r="C1630" s="2" t="s">
        <v>573</v>
      </c>
      <c r="D1630" s="2" t="str">
        <f t="shared" si="24"/>
        <v>Error?</v>
      </c>
    </row>
    <row r="1631" spans="1:4" x14ac:dyDescent="0.2">
      <c r="A1631" s="5">
        <v>1570</v>
      </c>
      <c r="B1631" s="138">
        <f>'Acct Summary 7-8'!D79</f>
        <v>149063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152167</v>
      </c>
      <c r="C1644" s="2" t="s">
        <v>573</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573</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573</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573</v>
      </c>
      <c r="D1744" s="2" t="str">
        <f t="shared" si="26"/>
        <v>Error?</v>
      </c>
    </row>
    <row r="1745" spans="1:5" x14ac:dyDescent="0.2">
      <c r="A1745" s="5">
        <v>1684</v>
      </c>
      <c r="B1745" s="138">
        <f>'Tax Sched 23'!B5</f>
        <v>0</v>
      </c>
      <c r="C1745" s="2" t="s">
        <v>573</v>
      </c>
      <c r="D1745" s="2" t="str">
        <f t="shared" si="26"/>
        <v>Error?</v>
      </c>
    </row>
    <row r="1746" spans="1:5" x14ac:dyDescent="0.2">
      <c r="A1746" s="5">
        <v>1685</v>
      </c>
      <c r="B1746" s="138">
        <f>'Tax Sched 23'!B6</f>
        <v>0</v>
      </c>
      <c r="C1746" s="2" t="s">
        <v>573</v>
      </c>
      <c r="D1746" s="2" t="str">
        <f t="shared" si="26"/>
        <v>Error?</v>
      </c>
    </row>
    <row r="1747" spans="1:5" x14ac:dyDescent="0.2">
      <c r="A1747" s="5">
        <v>1686</v>
      </c>
      <c r="B1747" s="138">
        <f>'Tax Sched 23'!B7</f>
        <v>0</v>
      </c>
      <c r="C1747" s="2" t="s">
        <v>573</v>
      </c>
      <c r="D1747" s="2" t="str">
        <f t="shared" si="26"/>
        <v>Error?</v>
      </c>
    </row>
    <row r="1748" spans="1:5" x14ac:dyDescent="0.2">
      <c r="A1748" s="5">
        <v>1687</v>
      </c>
      <c r="B1748" s="138">
        <f>'Tax Sched 23'!B8</f>
        <v>0</v>
      </c>
      <c r="C1748" s="2" t="s">
        <v>573</v>
      </c>
      <c r="D1748" s="2" t="str">
        <f t="shared" si="26"/>
        <v>Error?</v>
      </c>
    </row>
    <row r="1749" spans="1:5" x14ac:dyDescent="0.2">
      <c r="A1749" s="5">
        <v>1688</v>
      </c>
      <c r="B1749" s="138">
        <f>'Tax Sched 23'!B10</f>
        <v>0</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0</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0</v>
      </c>
      <c r="C1759" s="2" t="s">
        <v>573</v>
      </c>
      <c r="D1759" s="2" t="str">
        <f t="shared" si="26"/>
        <v>Error?</v>
      </c>
    </row>
    <row r="1760" spans="1:5" x14ac:dyDescent="0.2">
      <c r="A1760" s="5">
        <v>1699</v>
      </c>
      <c r="B1760" s="138">
        <f>'Tax Sched 23'!D4</f>
        <v>0</v>
      </c>
      <c r="C1760" s="2" t="s">
        <v>573</v>
      </c>
      <c r="D1760" s="2" t="str">
        <f t="shared" si="26"/>
        <v>Error?</v>
      </c>
    </row>
    <row r="1761" spans="1:5" x14ac:dyDescent="0.2">
      <c r="A1761" s="5">
        <v>1700</v>
      </c>
      <c r="B1761" s="138">
        <f>'Tax Sched 23'!D5</f>
        <v>0</v>
      </c>
      <c r="C1761" s="2" t="s">
        <v>573</v>
      </c>
      <c r="D1761" s="2" t="str">
        <f t="shared" si="26"/>
        <v>Error?</v>
      </c>
    </row>
    <row r="1762" spans="1:5" s="8" customFormat="1" x14ac:dyDescent="0.2">
      <c r="A1762" s="5">
        <v>1701</v>
      </c>
      <c r="B1762" s="138">
        <f>'Tax Sched 23'!D6</f>
        <v>0</v>
      </c>
      <c r="C1762" s="2" t="s">
        <v>573</v>
      </c>
      <c r="D1762" s="2" t="str">
        <f t="shared" si="26"/>
        <v>Error?</v>
      </c>
      <c r="E1762" s="9"/>
    </row>
    <row r="1763" spans="1:5" x14ac:dyDescent="0.2">
      <c r="A1763" s="5">
        <v>1702</v>
      </c>
      <c r="B1763" s="138">
        <f>'Tax Sched 23'!D7</f>
        <v>0</v>
      </c>
      <c r="C1763" s="2" t="s">
        <v>573</v>
      </c>
      <c r="D1763" s="2" t="str">
        <f t="shared" si="26"/>
        <v>Error?</v>
      </c>
    </row>
    <row r="1764" spans="1:5" x14ac:dyDescent="0.2">
      <c r="A1764" s="5">
        <v>1703</v>
      </c>
      <c r="B1764" s="138">
        <f>'Tax Sched 23'!D8</f>
        <v>0</v>
      </c>
      <c r="C1764" s="2" t="s">
        <v>573</v>
      </c>
      <c r="D1764" s="2" t="str">
        <f t="shared" si="26"/>
        <v>Error?</v>
      </c>
    </row>
    <row r="1765" spans="1:5" x14ac:dyDescent="0.2">
      <c r="A1765" s="5">
        <v>1704</v>
      </c>
      <c r="B1765" s="138">
        <f>'Tax Sched 23'!D10</f>
        <v>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0</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0</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0</v>
      </c>
      <c r="C1792" s="2" t="s">
        <v>573</v>
      </c>
      <c r="D1792" s="2" t="str">
        <f t="shared" si="27"/>
        <v>Error?</v>
      </c>
    </row>
    <row r="1793" spans="1:4" x14ac:dyDescent="0.2">
      <c r="A1793" s="5">
        <v>1732</v>
      </c>
      <c r="B1793" s="138">
        <f>'Tax Sched 23'!F5</f>
        <v>0</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0</v>
      </c>
      <c r="C1795" s="2" t="s">
        <v>573</v>
      </c>
      <c r="D1795" s="2" t="str">
        <f t="shared" si="27"/>
        <v>Error?</v>
      </c>
    </row>
    <row r="1796" spans="1:4" x14ac:dyDescent="0.2">
      <c r="A1796" s="5">
        <v>1735</v>
      </c>
      <c r="B1796" s="138">
        <f>'Tax Sched 23'!F8</f>
        <v>0</v>
      </c>
      <c r="C1796" s="2" t="s">
        <v>573</v>
      </c>
      <c r="D1796" s="2" t="str">
        <f t="shared" si="27"/>
        <v>Error?</v>
      </c>
    </row>
    <row r="1797" spans="1:4" x14ac:dyDescent="0.2">
      <c r="A1797" s="5">
        <v>1736</v>
      </c>
      <c r="B1797" s="138">
        <f>'Tax Sched 23'!F10</f>
        <v>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0</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0</v>
      </c>
      <c r="C1807" s="2" t="s">
        <v>573</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0</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0</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0</v>
      </c>
      <c r="C2026" s="2" t="s">
        <v>573</v>
      </c>
      <c r="D2026" s="2" t="str">
        <f t="shared" si="30"/>
        <v>Error?</v>
      </c>
    </row>
    <row r="2027" spans="1:4" x14ac:dyDescent="0.2">
      <c r="A2027" s="5">
        <v>1966</v>
      </c>
      <c r="B2027" s="138">
        <f>'Cap Outlay Deprec 26'!F8</f>
        <v>0</v>
      </c>
      <c r="C2027" s="2" t="s">
        <v>573</v>
      </c>
      <c r="D2027" s="2" t="str">
        <f t="shared" si="30"/>
        <v>Error?</v>
      </c>
    </row>
    <row r="2028" spans="1:4" x14ac:dyDescent="0.2">
      <c r="A2028" s="5">
        <v>1967</v>
      </c>
      <c r="B2028" s="138">
        <f>'Cap Outlay Deprec 26'!F10</f>
        <v>0</v>
      </c>
      <c r="C2028" s="2" t="s">
        <v>573</v>
      </c>
      <c r="D2028" s="2" t="str">
        <f t="shared" si="30"/>
        <v>Error?</v>
      </c>
    </row>
    <row r="2029" spans="1:4" x14ac:dyDescent="0.2">
      <c r="A2029" s="5">
        <v>1968</v>
      </c>
      <c r="B2029" s="138">
        <f>'Cap Outlay Deprec 26'!F12</f>
        <v>0</v>
      </c>
      <c r="C2029" s="2" t="s">
        <v>573</v>
      </c>
      <c r="D2029" s="2" t="str">
        <f t="shared" si="30"/>
        <v>Error?</v>
      </c>
    </row>
    <row r="2030" spans="1:4" x14ac:dyDescent="0.2">
      <c r="A2030" s="5">
        <v>1969</v>
      </c>
      <c r="B2030" s="138">
        <f>'Cap Outlay Deprec 26'!F13</f>
        <v>0</v>
      </c>
      <c r="C2030" s="2" t="s">
        <v>573</v>
      </c>
      <c r="D2030" s="2" t="str">
        <f t="shared" si="30"/>
        <v>Error?</v>
      </c>
    </row>
    <row r="2031" spans="1:4" x14ac:dyDescent="0.2">
      <c r="A2031" s="5">
        <v>1970</v>
      </c>
      <c r="B2031" s="138">
        <f>'Cap Outlay Deprec 26'!F16</f>
        <v>0</v>
      </c>
      <c r="C2031" s="2" t="s">
        <v>573</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0</v>
      </c>
      <c r="C2037" s="2" t="s">
        <v>573</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0</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0</v>
      </c>
      <c r="C2051" s="2" t="s">
        <v>573</v>
      </c>
      <c r="D2051" s="2" t="str">
        <f t="shared" si="31"/>
        <v>Error?</v>
      </c>
    </row>
    <row r="2052" spans="1:4" x14ac:dyDescent="0.2">
      <c r="A2052" s="5">
        <v>1991</v>
      </c>
      <c r="B2052" s="138">
        <f>'Cap Outlay Deprec 26'!K10</f>
        <v>0</v>
      </c>
      <c r="C2052" s="2" t="s">
        <v>573</v>
      </c>
      <c r="D2052" s="2" t="str">
        <f t="shared" si="31"/>
        <v>Error?</v>
      </c>
    </row>
    <row r="2053" spans="1:4" x14ac:dyDescent="0.2">
      <c r="A2053" s="5">
        <v>1992</v>
      </c>
      <c r="B2053" s="138">
        <f>'Cap Outlay Deprec 26'!K12</f>
        <v>0</v>
      </c>
      <c r="C2053" s="2" t="s">
        <v>573</v>
      </c>
      <c r="D2053" s="2" t="str">
        <f t="shared" si="31"/>
        <v>Error?</v>
      </c>
    </row>
    <row r="2054" spans="1:4" x14ac:dyDescent="0.2">
      <c r="A2054" s="5">
        <v>1993</v>
      </c>
      <c r="B2054" s="138">
        <f>'Cap Outlay Deprec 26'!K13</f>
        <v>0</v>
      </c>
      <c r="C2054" s="2" t="s">
        <v>573</v>
      </c>
      <c r="D2054" s="2" t="str">
        <f t="shared" si="31"/>
        <v>Error?</v>
      </c>
    </row>
    <row r="2055" spans="1:4" x14ac:dyDescent="0.2">
      <c r="A2055" s="5">
        <v>1994</v>
      </c>
      <c r="B2055" s="138">
        <f>'Cap Outlay Deprec 26'!K16</f>
        <v>0</v>
      </c>
      <c r="C2055" s="2" t="s">
        <v>573</v>
      </c>
      <c r="D2055" s="2" t="str">
        <f t="shared" si="31"/>
        <v>Error?</v>
      </c>
    </row>
    <row r="2056" spans="1:4" x14ac:dyDescent="0.2">
      <c r="A2056" s="5">
        <v>1995</v>
      </c>
      <c r="B2056" s="138">
        <f>'Cap Outlay Deprec 26'!L5</f>
        <v>0</v>
      </c>
      <c r="C2056" s="2" t="s">
        <v>573</v>
      </c>
      <c r="D2056" s="2" t="str">
        <f t="shared" si="31"/>
        <v>Error?</v>
      </c>
    </row>
    <row r="2057" spans="1:4" x14ac:dyDescent="0.2">
      <c r="A2057" s="5">
        <v>1996</v>
      </c>
      <c r="B2057" s="138">
        <f>'Cap Outlay Deprec 26'!L8</f>
        <v>0</v>
      </c>
      <c r="C2057" s="2" t="s">
        <v>573</v>
      </c>
      <c r="D2057" s="2" t="str">
        <f t="shared" si="31"/>
        <v>Error?</v>
      </c>
    </row>
    <row r="2058" spans="1:4" x14ac:dyDescent="0.2">
      <c r="A2058" s="5">
        <v>1997</v>
      </c>
      <c r="B2058" s="138">
        <f>'Cap Outlay Deprec 26'!L10</f>
        <v>0</v>
      </c>
      <c r="C2058" s="2" t="s">
        <v>573</v>
      </c>
      <c r="D2058" s="2" t="str">
        <f t="shared" si="31"/>
        <v>Error?</v>
      </c>
    </row>
    <row r="2059" spans="1:4" x14ac:dyDescent="0.2">
      <c r="A2059" s="5">
        <v>1998</v>
      </c>
      <c r="B2059" s="138">
        <f>'Cap Outlay Deprec 26'!L12</f>
        <v>0</v>
      </c>
      <c r="C2059" s="2" t="s">
        <v>573</v>
      </c>
      <c r="D2059" s="2" t="str">
        <f t="shared" si="31"/>
        <v>Error?</v>
      </c>
    </row>
    <row r="2060" spans="1:4" x14ac:dyDescent="0.2">
      <c r="A2060" s="5">
        <v>1999</v>
      </c>
      <c r="B2060" s="138">
        <f>'Cap Outlay Deprec 26'!L13</f>
        <v>0</v>
      </c>
      <c r="C2060" s="2" t="s">
        <v>573</v>
      </c>
      <c r="D2060" s="2" t="str">
        <f t="shared" si="31"/>
        <v>Error?</v>
      </c>
    </row>
    <row r="2061" spans="1:4" x14ac:dyDescent="0.2">
      <c r="A2061" s="5">
        <v>2000</v>
      </c>
      <c r="B2061" s="138">
        <f>'Cap Outlay Deprec 26'!L16</f>
        <v>0</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95000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99410</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29789</v>
      </c>
      <c r="C2551" s="2" t="s">
        <v>573</v>
      </c>
      <c r="D2551" s="2" t="str">
        <f t="shared" si="38"/>
        <v>Error?</v>
      </c>
    </row>
    <row r="2552" spans="1:4" x14ac:dyDescent="0.2">
      <c r="A2552" s="10">
        <v>2491</v>
      </c>
      <c r="D2552" s="2" t="str">
        <f t="shared" si="38"/>
        <v>OK</v>
      </c>
    </row>
    <row r="2553" spans="1:4" x14ac:dyDescent="0.2">
      <c r="A2553" s="5">
        <v>2492</v>
      </c>
      <c r="B2553" s="138">
        <f>'Acct Summary 7-8'!C6</f>
        <v>422082</v>
      </c>
      <c r="C2553" s="2" t="s">
        <v>573</v>
      </c>
      <c r="D2553" s="2" t="str">
        <f t="shared" si="38"/>
        <v>Error?</v>
      </c>
    </row>
    <row r="2554" spans="1:4" x14ac:dyDescent="0.2">
      <c r="A2554" s="5">
        <v>2493</v>
      </c>
      <c r="B2554" s="138">
        <f>'Acct Summary 7-8'!C7</f>
        <v>216030</v>
      </c>
      <c r="C2554" s="2" t="s">
        <v>573</v>
      </c>
      <c r="D2554" s="2" t="str">
        <f t="shared" si="38"/>
        <v>Error?</v>
      </c>
    </row>
    <row r="2555" spans="1:4" x14ac:dyDescent="0.2">
      <c r="A2555" s="5">
        <v>2494</v>
      </c>
      <c r="B2555" s="138">
        <f>'Acct Summary 7-8'!C8</f>
        <v>667901</v>
      </c>
      <c r="C2555" s="2" t="s">
        <v>573</v>
      </c>
      <c r="D2555" s="2" t="str">
        <f t="shared" si="38"/>
        <v>Error?</v>
      </c>
    </row>
    <row r="2556" spans="1:4" x14ac:dyDescent="0.2">
      <c r="A2556" s="5">
        <v>2495</v>
      </c>
      <c r="B2556" s="138">
        <f>'Acct Summary 7-8'!C12</f>
        <v>300054</v>
      </c>
      <c r="C2556" s="2" t="s">
        <v>573</v>
      </c>
      <c r="D2556" s="2" t="str">
        <f t="shared" si="38"/>
        <v>Error?</v>
      </c>
    </row>
    <row r="2557" spans="1:4" x14ac:dyDescent="0.2">
      <c r="A2557" s="5">
        <v>2496</v>
      </c>
      <c r="B2557" s="138">
        <f>'Acct Summary 7-8'!C13</f>
        <v>363895</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99410</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763359</v>
      </c>
      <c r="C2561" s="2" t="s">
        <v>573</v>
      </c>
      <c r="D2561" s="2" t="str">
        <f t="shared" si="39"/>
        <v>Error?</v>
      </c>
    </row>
    <row r="2562" spans="1:4" x14ac:dyDescent="0.2">
      <c r="A2562" s="5">
        <v>2501</v>
      </c>
      <c r="B2562" s="138">
        <f>'Acct Summary 7-8'!C20</f>
        <v>-95458</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8302</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8302</v>
      </c>
      <c r="C2568" s="2" t="s">
        <v>573</v>
      </c>
      <c r="D2568" s="2" t="str">
        <f t="shared" si="39"/>
        <v>Error?</v>
      </c>
    </row>
    <row r="2569" spans="1:4" x14ac:dyDescent="0.2">
      <c r="A2569" s="5">
        <v>2508</v>
      </c>
      <c r="B2569" s="138">
        <f>'Acct Summary 7-8'!D13</f>
        <v>5198</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5198</v>
      </c>
      <c r="C2573" s="2" t="s">
        <v>573</v>
      </c>
      <c r="D2573" s="2" t="str">
        <f t="shared" si="39"/>
        <v>Error?</v>
      </c>
    </row>
    <row r="2574" spans="1:4" x14ac:dyDescent="0.2">
      <c r="A2574" s="5">
        <v>2513</v>
      </c>
      <c r="B2574" s="138">
        <f>'Acct Summary 7-8'!D20</f>
        <v>3104</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573</v>
      </c>
      <c r="D2591" s="2" t="str">
        <f t="shared" si="39"/>
        <v>Error?</v>
      </c>
    </row>
    <row r="2592" spans="1:4" x14ac:dyDescent="0.2">
      <c r="A2592" s="10">
        <v>2531</v>
      </c>
      <c r="D2592" s="2" t="str">
        <f t="shared" si="39"/>
        <v>OK</v>
      </c>
    </row>
    <row r="2593" spans="1:4" x14ac:dyDescent="0.2">
      <c r="A2593" s="5">
        <v>2532</v>
      </c>
      <c r="B2593" s="138">
        <f>'Acct Summary 7-8'!F6</f>
        <v>0</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0</v>
      </c>
      <c r="C2595" s="2" t="s">
        <v>573</v>
      </c>
      <c r="D2595" s="2" t="str">
        <f t="shared" si="39"/>
        <v>Error?</v>
      </c>
    </row>
    <row r="2596" spans="1:4" x14ac:dyDescent="0.2">
      <c r="A2596" s="5">
        <v>2535</v>
      </c>
      <c r="B2596" s="138">
        <f>'Acct Summary 7-8'!F13</f>
        <v>0</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0</v>
      </c>
      <c r="C2600" s="2" t="s">
        <v>573</v>
      </c>
      <c r="D2600" s="2" t="str">
        <f t="shared" si="39"/>
        <v>Error?</v>
      </c>
    </row>
    <row r="2601" spans="1:4" x14ac:dyDescent="0.2">
      <c r="A2601" s="5">
        <v>2540</v>
      </c>
      <c r="B2601" s="138">
        <f>'Acct Summary 7-8'!F20</f>
        <v>0</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0</v>
      </c>
      <c r="C2606" s="2" t="s">
        <v>573</v>
      </c>
      <c r="D2606" s="2" t="str">
        <f t="shared" si="39"/>
        <v>Error?</v>
      </c>
    </row>
    <row r="2607" spans="1:4" x14ac:dyDescent="0.2">
      <c r="A2607" s="5">
        <v>2546</v>
      </c>
      <c r="B2607" s="138">
        <f>'Acct Summary 7-8'!G12</f>
        <v>0</v>
      </c>
      <c r="C2607" s="2" t="s">
        <v>573</v>
      </c>
      <c r="D2607" s="2" t="str">
        <f t="shared" si="39"/>
        <v>Error?</v>
      </c>
    </row>
    <row r="2608" spans="1:4" x14ac:dyDescent="0.2">
      <c r="A2608" s="5">
        <v>2547</v>
      </c>
      <c r="B2608" s="138">
        <f>'Acct Summary 7-8'!G13</f>
        <v>0</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0</v>
      </c>
      <c r="C2612" s="2" t="s">
        <v>573</v>
      </c>
      <c r="D2612" s="2" t="str">
        <f t="shared" si="39"/>
        <v>Error?</v>
      </c>
    </row>
    <row r="2613" spans="1:4" x14ac:dyDescent="0.2">
      <c r="A2613" s="5">
        <v>2552</v>
      </c>
      <c r="B2613" s="138">
        <f>'Acct Summary 7-8'!G20</f>
        <v>0</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0</v>
      </c>
      <c r="C2634" s="2" t="s">
        <v>573</v>
      </c>
      <c r="D2634" s="2" t="str">
        <f t="shared" si="40"/>
        <v>Error?</v>
      </c>
    </row>
    <row r="2635" spans="1:4" x14ac:dyDescent="0.2">
      <c r="A2635" s="5">
        <v>2574</v>
      </c>
      <c r="B2635" s="138">
        <f>'Acct Summary 7-8'!E17</f>
        <v>0</v>
      </c>
      <c r="C2635" s="2" t="s">
        <v>573</v>
      </c>
      <c r="D2635" s="2" t="str">
        <f t="shared" si="40"/>
        <v>Error?</v>
      </c>
    </row>
    <row r="2636" spans="1:4" x14ac:dyDescent="0.2">
      <c r="A2636" s="5">
        <v>2575</v>
      </c>
      <c r="B2636" s="138">
        <f>'Acct Summary 7-8'!E20</f>
        <v>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7527</v>
      </c>
      <c r="D2718" s="2" t="str">
        <f t="shared" si="41"/>
        <v>Error?</v>
      </c>
    </row>
    <row r="2719" spans="1:4" x14ac:dyDescent="0.2">
      <c r="A2719" s="5">
        <v>2658</v>
      </c>
      <c r="B2719" s="138">
        <f>'Expenditures 15-22'!D51</f>
        <v>1857</v>
      </c>
      <c r="D2719" s="2" t="str">
        <f t="shared" si="41"/>
        <v>Error?</v>
      </c>
    </row>
    <row r="2720" spans="1:4" x14ac:dyDescent="0.2">
      <c r="A2720" s="5">
        <v>2659</v>
      </c>
      <c r="B2720" s="138">
        <f>'Expenditures 15-22'!E51</f>
        <v>859</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10243</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4410</v>
      </c>
      <c r="C2789" s="2" t="s">
        <v>573</v>
      </c>
      <c r="D2789" s="2" t="str">
        <f t="shared" si="42"/>
        <v>Error?</v>
      </c>
    </row>
    <row r="2790" spans="1:4" x14ac:dyDescent="0.2">
      <c r="A2790" s="5">
        <v>2729</v>
      </c>
      <c r="B2790" s="138">
        <f>'Expenditures 15-22'!E102</f>
        <v>4410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573</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573</v>
      </c>
      <c r="D2916" s="2" t="str">
        <f t="shared" si="44"/>
        <v>Error?</v>
      </c>
    </row>
    <row r="2917" spans="1:4" x14ac:dyDescent="0.2">
      <c r="A2917" s="5">
        <v>2856</v>
      </c>
      <c r="B2917" s="138">
        <f>'Assets-Liab 5-6'!L41</f>
        <v>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4410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95000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99410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573</v>
      </c>
      <c r="D3225" s="2" t="str">
        <f t="shared" si="49"/>
        <v>Error?</v>
      </c>
    </row>
    <row r="3226" spans="1:4" x14ac:dyDescent="0.2">
      <c r="A3226" s="5">
        <v>3165</v>
      </c>
      <c r="B3226" s="138">
        <f>'Acct Summary 7-8'!I8</f>
        <v>0</v>
      </c>
      <c r="C3226" s="2" t="s">
        <v>573</v>
      </c>
      <c r="D3226" s="2" t="str">
        <f t="shared" si="49"/>
        <v>Error?</v>
      </c>
    </row>
    <row r="3227" spans="1:4" x14ac:dyDescent="0.2">
      <c r="A3227" s="5">
        <v>3166</v>
      </c>
      <c r="B3227" s="138">
        <f>'Acct Summary 7-8'!I20</f>
        <v>0</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-95458</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3104</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0</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0</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0</v>
      </c>
      <c r="C3320" s="2" t="s">
        <v>573</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107728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152167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0</v>
      </c>
      <c r="C3446" s="2" t="s">
        <v>573</v>
      </c>
      <c r="D3446" s="2" t="str">
        <f t="shared" si="52"/>
        <v>Error?</v>
      </c>
    </row>
    <row r="3447" spans="1:4" x14ac:dyDescent="0.2">
      <c r="A3447" s="5">
        <v>3386</v>
      </c>
      <c r="B3447" s="138">
        <f>'Tax Sched 23'!D16</f>
        <v>0</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573</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75583</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743484</v>
      </c>
      <c r="C4122" s="2" t="s">
        <v>573</v>
      </c>
      <c r="D4122" s="2" t="str">
        <f t="shared" si="63"/>
        <v>Error?</v>
      </c>
    </row>
    <row r="4123" spans="1:4" x14ac:dyDescent="0.2">
      <c r="A4123" s="5">
        <v>4062</v>
      </c>
      <c r="B4123" s="138">
        <f>'Acct Summary 7-8'!D10</f>
        <v>8302</v>
      </c>
      <c r="C4123" s="2" t="s">
        <v>573</v>
      </c>
      <c r="D4123" s="2" t="str">
        <f t="shared" si="63"/>
        <v>Error?</v>
      </c>
    </row>
    <row r="4124" spans="1:4" x14ac:dyDescent="0.2">
      <c r="A4124" s="5">
        <v>4063</v>
      </c>
      <c r="B4124" s="138">
        <f>'Acct Summary 7-8'!E10</f>
        <v>0</v>
      </c>
      <c r="C4124" s="2" t="s">
        <v>573</v>
      </c>
      <c r="D4124" s="2" t="str">
        <f t="shared" si="63"/>
        <v>Error?</v>
      </c>
    </row>
    <row r="4125" spans="1:4" x14ac:dyDescent="0.2">
      <c r="A4125" s="5">
        <v>4064</v>
      </c>
      <c r="B4125" s="138">
        <f>'Acct Summary 7-8'!F10</f>
        <v>0</v>
      </c>
      <c r="C4125" s="2" t="s">
        <v>573</v>
      </c>
      <c r="D4125" s="2" t="str">
        <f t="shared" si="63"/>
        <v>Error?</v>
      </c>
    </row>
    <row r="4126" spans="1:4" x14ac:dyDescent="0.2">
      <c r="A4126" s="5">
        <v>4065</v>
      </c>
      <c r="B4126" s="138">
        <f>'Acct Summary 7-8'!G10</f>
        <v>0</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0</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75583</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838942</v>
      </c>
      <c r="C4136" s="2" t="s">
        <v>573</v>
      </c>
      <c r="D4136" s="2" t="str">
        <f t="shared" si="63"/>
        <v>Error?</v>
      </c>
    </row>
    <row r="4137" spans="1:4" x14ac:dyDescent="0.2">
      <c r="A4137" s="5">
        <v>4076</v>
      </c>
      <c r="B4137" s="138">
        <f>'Acct Summary 7-8'!D19</f>
        <v>5198</v>
      </c>
      <c r="C4137" s="2" t="s">
        <v>573</v>
      </c>
      <c r="D4137" s="2" t="str">
        <f t="shared" si="63"/>
        <v>Error?</v>
      </c>
    </row>
    <row r="4138" spans="1:4" x14ac:dyDescent="0.2">
      <c r="A4138" s="5">
        <v>4077</v>
      </c>
      <c r="B4138" s="138">
        <f>'Acct Summary 7-8'!E19</f>
        <v>0</v>
      </c>
      <c r="C4138" s="2" t="s">
        <v>573</v>
      </c>
      <c r="D4138" s="2" t="str">
        <f t="shared" si="63"/>
        <v>Error?</v>
      </c>
    </row>
    <row r="4139" spans="1:4" x14ac:dyDescent="0.2">
      <c r="A4139" s="5">
        <v>4078</v>
      </c>
      <c r="B4139" s="138">
        <f>'Acct Summary 7-8'!F19</f>
        <v>0</v>
      </c>
      <c r="C4139" s="2" t="s">
        <v>573</v>
      </c>
      <c r="D4139" s="2" t="str">
        <f t="shared" si="63"/>
        <v>Error?</v>
      </c>
    </row>
    <row r="4140" spans="1:4" x14ac:dyDescent="0.2">
      <c r="A4140" s="5">
        <v>4079</v>
      </c>
      <c r="B4140" s="138">
        <f>'Acct Summary 7-8'!G19</f>
        <v>0</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573</v>
      </c>
      <c r="D4265" s="2" t="str">
        <f t="shared" si="65"/>
        <v>Error?</v>
      </c>
      <c r="E4265" s="128"/>
    </row>
    <row r="4266" spans="1:5" x14ac:dyDescent="0.2">
      <c r="A4266" s="12">
        <v>4205</v>
      </c>
      <c r="B4266" s="138">
        <f>('FP Info 3'!F10)*100000</f>
        <v>0</v>
      </c>
      <c r="C4266" s="2" t="s">
        <v>573</v>
      </c>
      <c r="D4266" s="2" t="str">
        <f t="shared" si="65"/>
        <v>Error?</v>
      </c>
      <c r="E4266" s="128"/>
    </row>
    <row r="4267" spans="1:5" x14ac:dyDescent="0.2">
      <c r="A4267" s="12">
        <v>4206</v>
      </c>
      <c r="B4267" s="138">
        <f>('FP Info 3'!H10)*100000</f>
        <v>0</v>
      </c>
      <c r="C4267" s="2" t="s">
        <v>573</v>
      </c>
      <c r="D4267" s="2" t="str">
        <f t="shared" si="65"/>
        <v>Error?</v>
      </c>
      <c r="E4267" s="128"/>
    </row>
    <row r="4268" spans="1:5" x14ac:dyDescent="0.2">
      <c r="A4268" s="12">
        <v>4207</v>
      </c>
      <c r="B4268" s="138">
        <f>('FP Info 3'!J10)*100000</f>
        <v>0</v>
      </c>
      <c r="C4268" s="2" t="s">
        <v>573</v>
      </c>
      <c r="D4268" s="2" t="str">
        <f t="shared" si="65"/>
        <v>Error?</v>
      </c>
    </row>
    <row r="4269" spans="1:5" x14ac:dyDescent="0.2">
      <c r="A4269" s="12">
        <v>4208</v>
      </c>
      <c r="B4269" s="138">
        <f>'FP Info 3'!J16</f>
        <v>259895</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216030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23428</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23428</v>
      </c>
      <c r="C5087" s="2" t="s">
        <v>573</v>
      </c>
      <c r="D5087" s="2" t="str">
        <f t="shared" si="78"/>
        <v>Error?</v>
      </c>
    </row>
    <row r="5088" spans="1:4" x14ac:dyDescent="0.2">
      <c r="A5088" s="5">
        <v>5027</v>
      </c>
      <c r="B5088" s="138">
        <f>'Revenues 9-14'!C65</f>
        <v>33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33</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573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573</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4425</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1903</v>
      </c>
      <c r="D5119" s="2" t="str">
        <f t="shared" ref="D5119:D5182" si="79">IF(ISBLANK(B5119),"OK",IF(A5119-B5119=0,"OK","Error?"))</f>
        <v>Error?</v>
      </c>
    </row>
    <row r="5120" spans="1:4" x14ac:dyDescent="0.2">
      <c r="A5120" s="5">
        <v>5059</v>
      </c>
      <c r="B5120" s="138">
        <f>'Revenues 9-14'!C108</f>
        <v>6328</v>
      </c>
      <c r="C5120" s="2" t="s">
        <v>573</v>
      </c>
      <c r="D5120" s="2" t="str">
        <f t="shared" si="79"/>
        <v>Error?</v>
      </c>
    </row>
    <row r="5121" spans="1:4" x14ac:dyDescent="0.2">
      <c r="A5121" s="5">
        <v>5060</v>
      </c>
      <c r="B5121" s="138">
        <f>'Revenues 9-14'!C109</f>
        <v>29789</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422082</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422082</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0</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422082</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422082</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0</v>
      </c>
      <c r="C5246" s="2" t="s">
        <v>573</v>
      </c>
      <c r="D5246" s="2" t="str">
        <f t="shared" si="80"/>
        <v>Error?</v>
      </c>
    </row>
    <row r="5247" spans="1:4" x14ac:dyDescent="0.2">
      <c r="A5247" s="5">
        <v>5186</v>
      </c>
      <c r="B5247" s="138">
        <f>'Revenues 9-14'!C200</f>
        <v>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216030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216030</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216030</v>
      </c>
      <c r="C5326" s="2" t="s">
        <v>573</v>
      </c>
      <c r="D5326" s="2" t="str">
        <f t="shared" si="82"/>
        <v>Error?</v>
      </c>
    </row>
    <row r="5327" spans="1:5" x14ac:dyDescent="0.2">
      <c r="A5327" s="5">
        <v>5266</v>
      </c>
      <c r="B5327" s="138">
        <f>'Revenues 9-14'!C268</f>
        <v>667901</v>
      </c>
      <c r="C5327" s="2" t="s">
        <v>573</v>
      </c>
      <c r="D5327" s="2" t="str">
        <f t="shared" si="82"/>
        <v>Error?</v>
      </c>
    </row>
    <row r="5328" spans="1:5"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33</v>
      </c>
      <c r="D5340" s="2" t="str">
        <f t="shared" si="82"/>
        <v>Error?</v>
      </c>
    </row>
    <row r="5341" spans="1:4" x14ac:dyDescent="0.2">
      <c r="A5341" s="5">
        <v>5280</v>
      </c>
      <c r="B5341" s="138">
        <f>'Revenues 9-14'!D66</f>
        <v>0</v>
      </c>
      <c r="D5341" s="2" t="str">
        <f t="shared" si="82"/>
        <v>Error?</v>
      </c>
    </row>
    <row r="5342" spans="1:4" x14ac:dyDescent="0.2">
      <c r="A5342" s="5">
        <v>5281</v>
      </c>
      <c r="B5342" s="138">
        <f>'Revenues 9-14'!D67</f>
        <v>33</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67</v>
      </c>
      <c r="D5352" s="2" t="str">
        <f t="shared" si="82"/>
        <v>Error?</v>
      </c>
    </row>
    <row r="5353" spans="1:4" x14ac:dyDescent="0.2">
      <c r="A5353" s="5">
        <v>5292</v>
      </c>
      <c r="B5353" s="138">
        <f>'Revenues 9-14'!D104</f>
        <v>8202</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8269</v>
      </c>
      <c r="C5355" s="2" t="s">
        <v>573</v>
      </c>
      <c r="D5355" s="2" t="str">
        <f t="shared" si="82"/>
        <v>Error?</v>
      </c>
    </row>
    <row r="5356" spans="1:4" x14ac:dyDescent="0.2">
      <c r="A5356" s="5">
        <v>5295</v>
      </c>
      <c r="B5356" s="138">
        <f>'Revenues 9-14'!D109</f>
        <v>8302</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8302</v>
      </c>
      <c r="C5508" s="2" t="s">
        <v>573</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573</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0</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0</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0</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0</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0</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0</v>
      </c>
      <c r="C5720" s="2" t="s">
        <v>573</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0</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0</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0</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0</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0</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0</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0</v>
      </c>
      <c r="D6229" s="2" t="str">
        <f t="shared" si="96"/>
        <v>Error?</v>
      </c>
      <c r="E6229" s="2" t="s">
        <v>190</v>
      </c>
    </row>
    <row r="6230" spans="1:5" x14ac:dyDescent="0.2">
      <c r="A6230">
        <v>6169</v>
      </c>
      <c r="B6230" s="138">
        <f>'Acct Summary 7-8'!J20</f>
        <v>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0</v>
      </c>
      <c r="D6263" s="2" t="str">
        <f t="shared" si="96"/>
        <v>Error?</v>
      </c>
      <c r="E6263" s="2" t="s">
        <v>190</v>
      </c>
    </row>
    <row r="6264" spans="1:5" x14ac:dyDescent="0.2">
      <c r="A6264">
        <v>6203</v>
      </c>
      <c r="B6264" s="138">
        <f>'Acct Summary 7-8'!J79</f>
        <v>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0</v>
      </c>
      <c r="D6266" s="2" t="str">
        <f t="shared" si="96"/>
        <v>Error?</v>
      </c>
      <c r="E6266" s="2" t="s">
        <v>190</v>
      </c>
    </row>
    <row r="6267" spans="1:5" x14ac:dyDescent="0.2">
      <c r="A6267">
        <v>6206</v>
      </c>
      <c r="B6267" s="138">
        <f>'Acct Summary 7-8'!C82</f>
        <v>-95458</v>
      </c>
      <c r="D6267" s="2" t="str">
        <f t="shared" si="96"/>
        <v>Error?</v>
      </c>
      <c r="E6267" s="2" t="s">
        <v>190</v>
      </c>
    </row>
    <row r="6268" spans="1:5" x14ac:dyDescent="0.2">
      <c r="A6268">
        <v>6207</v>
      </c>
      <c r="B6268" s="138">
        <f>'Acct Summary 7-8'!D82</f>
        <v>3104</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0</v>
      </c>
      <c r="D6270" s="2" t="str">
        <f t="shared" si="96"/>
        <v>Error?</v>
      </c>
      <c r="E6270" s="2" t="s">
        <v>190</v>
      </c>
    </row>
    <row r="6271" spans="1:5" x14ac:dyDescent="0.2">
      <c r="A6271">
        <v>6210</v>
      </c>
      <c r="B6271" s="138">
        <f>'Acct Summary 7-8'!G82</f>
        <v>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0</v>
      </c>
      <c r="D6273" s="2" t="str">
        <f t="shared" si="97"/>
        <v>Error?</v>
      </c>
      <c r="E6273" s="2" t="s">
        <v>190</v>
      </c>
    </row>
    <row r="6274" spans="1:5" x14ac:dyDescent="0.2">
      <c r="A6274">
        <v>6213</v>
      </c>
      <c r="B6274" s="138">
        <f>'Acct Summary 7-8'!J82</f>
        <v>0</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-0.8861020347541958</v>
      </c>
      <c r="D6276" s="2" t="str">
        <f t="shared" si="97"/>
        <v>Error?</v>
      </c>
      <c r="E6276" s="2" t="s">
        <v>190</v>
      </c>
    </row>
    <row r="6277" spans="1:5" x14ac:dyDescent="0.2">
      <c r="A6277">
        <v>6216</v>
      </c>
      <c r="B6277" s="138">
        <f>'Acct Summary 7-8'!D83</f>
        <v>2.0398640966832492E-2</v>
      </c>
      <c r="D6277" s="2" t="str">
        <f t="shared" si="97"/>
        <v>Error?</v>
      </c>
      <c r="E6277" s="2" t="s">
        <v>190</v>
      </c>
    </row>
    <row r="6278" spans="1:5" x14ac:dyDescent="0.2">
      <c r="A6278">
        <v>6217</v>
      </c>
      <c r="B6278" s="138" t="e">
        <f>'Acct Summary 7-8'!E83</f>
        <v>#DIV/0!</v>
      </c>
      <c r="D6278" s="2" t="e">
        <f t="shared" si="97"/>
        <v>#DIV/0!</v>
      </c>
      <c r="E6278" s="2" t="s">
        <v>190</v>
      </c>
    </row>
    <row r="6279" spans="1:5" x14ac:dyDescent="0.2">
      <c r="A6279">
        <v>6218</v>
      </c>
      <c r="B6279" s="138" t="e">
        <f>'Acct Summary 7-8'!F83</f>
        <v>#DIV/0!</v>
      </c>
      <c r="D6279" s="2" t="e">
        <f t="shared" si="97"/>
        <v>#DIV/0!</v>
      </c>
      <c r="E6279" s="2" t="s">
        <v>190</v>
      </c>
    </row>
    <row r="6280" spans="1:5" x14ac:dyDescent="0.2">
      <c r="A6280">
        <v>6219</v>
      </c>
      <c r="B6280" s="138" t="e">
        <f>'Acct Summary 7-8'!G83</f>
        <v>#DIV/0!</v>
      </c>
      <c r="D6280" s="2" t="e">
        <f t="shared" si="97"/>
        <v>#DIV/0!</v>
      </c>
      <c r="E6280" s="2" t="s">
        <v>190</v>
      </c>
    </row>
    <row r="6281" spans="1:5" x14ac:dyDescent="0.2">
      <c r="A6281">
        <v>6220</v>
      </c>
      <c r="B6281" s="138" t="e">
        <f>'Acct Summary 7-8'!H83</f>
        <v>#DIV/0!</v>
      </c>
      <c r="D6281" s="2" t="e">
        <f t="shared" si="97"/>
        <v>#DIV/0!</v>
      </c>
      <c r="E6281" s="2" t="s">
        <v>190</v>
      </c>
    </row>
    <row r="6282" spans="1:5" x14ac:dyDescent="0.2">
      <c r="A6282">
        <v>6221</v>
      </c>
      <c r="B6282" s="138" t="e">
        <f>'Acct Summary 7-8'!I83</f>
        <v>#DIV/0!</v>
      </c>
      <c r="D6282" s="2" t="e">
        <f t="shared" si="97"/>
        <v>#DIV/0!</v>
      </c>
      <c r="E6282" s="2" t="s">
        <v>190</v>
      </c>
    </row>
    <row r="6283" spans="1:5" x14ac:dyDescent="0.2">
      <c r="A6283">
        <v>6222</v>
      </c>
      <c r="B6283" s="138" t="e">
        <f>'Acct Summary 7-8'!J83</f>
        <v>#DIV/0!</v>
      </c>
      <c r="D6283" s="2" t="e">
        <f t="shared" si="97"/>
        <v>#DIV/0!</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90736</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90736</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90736</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90736</v>
      </c>
      <c r="D7624" s="2" t="str">
        <f t="shared" si="124"/>
        <v>Error?</v>
      </c>
      <c r="E7624" s="2" t="s">
        <v>19</v>
      </c>
    </row>
    <row r="7625" spans="1:5" x14ac:dyDescent="0.2">
      <c r="A7625">
        <f t="shared" si="123"/>
        <v>7564</v>
      </c>
      <c r="B7625" s="138">
        <f>'Cap Outlay Deprec 26'!I17</f>
        <v>9073.6</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9073.6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3" t="s">
        <v>1191</v>
      </c>
      <c r="B2" s="2383"/>
      <c r="C2" s="2383"/>
      <c r="D2" s="2383"/>
      <c r="E2" s="2383"/>
      <c r="F2" s="2383"/>
      <c r="G2" s="2383"/>
      <c r="H2" s="2383"/>
      <c r="I2" s="2383"/>
      <c r="J2" s="2383"/>
      <c r="K2" s="2383"/>
      <c r="L2" s="2383"/>
    </row>
    <row r="3" spans="1:29" ht="13.5" customHeight="1" x14ac:dyDescent="0.2">
      <c r="A3" s="2414" t="s">
        <v>1190</v>
      </c>
      <c r="B3" s="2414"/>
      <c r="C3" s="2414"/>
      <c r="D3" s="2414"/>
      <c r="E3" s="2414"/>
      <c r="F3" s="2414"/>
      <c r="G3" s="2414"/>
      <c r="H3" s="2414"/>
      <c r="I3" s="2414"/>
      <c r="J3" s="2414"/>
      <c r="K3" s="2414"/>
      <c r="L3" s="2414"/>
    </row>
    <row r="4" spans="1:29" ht="13.5" customHeight="1" x14ac:dyDescent="0.2">
      <c r="A4" s="2383" t="s">
        <v>1987</v>
      </c>
      <c r="B4" s="2404"/>
      <c r="C4" s="2404"/>
      <c r="D4" s="2404"/>
      <c r="E4" s="2404"/>
      <c r="F4" s="2404"/>
      <c r="G4" s="2404"/>
      <c r="H4" s="2404"/>
      <c r="I4" s="2404"/>
      <c r="J4" s="2404"/>
      <c r="K4" s="2404"/>
      <c r="L4" s="2404"/>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5" t="str">
        <f>COVER!A17</f>
        <v>Vermillion Voc Ed Deliver System</v>
      </c>
      <c r="B7" s="2406"/>
      <c r="C7" s="2406"/>
      <c r="D7" s="2407"/>
      <c r="E7" s="2408">
        <f>COVER!A13</f>
        <v>54092740045</v>
      </c>
      <c r="F7" s="2409"/>
      <c r="G7" s="2415" t="str">
        <f>COVER!T23</f>
        <v>065.018319</v>
      </c>
      <c r="H7" s="2416"/>
      <c r="I7" s="2416"/>
      <c r="J7" s="2416"/>
      <c r="K7" s="2416"/>
      <c r="L7" s="2417"/>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18"/>
      <c r="B9" s="2419"/>
      <c r="C9" s="2419"/>
      <c r="D9" s="2419"/>
      <c r="E9" s="2419"/>
      <c r="F9" s="2420"/>
      <c r="G9" s="2389" t="str">
        <f>COVER!T13</f>
        <v>RUSSELL LEIGH &amp; ASSOCIATES LLC</v>
      </c>
      <c r="H9" s="2421"/>
      <c r="I9" s="2421"/>
      <c r="J9" s="2421"/>
      <c r="K9" s="2421"/>
      <c r="L9" s="2422"/>
    </row>
    <row r="10" spans="1:29" ht="13.5" customHeight="1" x14ac:dyDescent="0.2">
      <c r="A10" s="2395" t="str">
        <f>COVER!A38</f>
        <v>Nick Chatterton</v>
      </c>
      <c r="B10" s="2396"/>
      <c r="C10" s="2396"/>
      <c r="D10" s="2396"/>
      <c r="E10" s="2396"/>
      <c r="F10" s="2397"/>
      <c r="G10" s="2389" t="str">
        <f>COVER!T17</f>
        <v>228 E MAIN ST</v>
      </c>
      <c r="H10" s="2390"/>
      <c r="I10" s="2390"/>
      <c r="J10" s="2390"/>
      <c r="K10" s="2390"/>
      <c r="L10" s="2391"/>
    </row>
    <row r="11" spans="1:29" ht="13.5" customHeight="1" x14ac:dyDescent="0.2">
      <c r="A11" s="1184" t="s">
        <v>1519</v>
      </c>
      <c r="B11" s="1185"/>
      <c r="C11" s="1186"/>
      <c r="D11" s="1191"/>
      <c r="E11" s="1186"/>
      <c r="F11" s="1190"/>
      <c r="G11" s="2389" t="str">
        <f>COVER!T19</f>
        <v>HOOPESTON</v>
      </c>
      <c r="H11" s="2390"/>
      <c r="I11" s="2390"/>
      <c r="J11" s="2390"/>
      <c r="K11" s="2390"/>
      <c r="L11" s="2391"/>
    </row>
    <row r="12" spans="1:29" ht="13.5" customHeight="1" x14ac:dyDescent="0.2">
      <c r="A12" s="2398" t="s">
        <v>1518</v>
      </c>
      <c r="B12" s="2399"/>
      <c r="C12" s="2399"/>
      <c r="D12" s="2399"/>
      <c r="E12" s="2399"/>
      <c r="F12" s="2400"/>
      <c r="G12" s="2392"/>
      <c r="H12" s="2393"/>
      <c r="I12" s="2393"/>
      <c r="J12" s="2393"/>
      <c r="K12" s="2393"/>
      <c r="L12" s="2394"/>
    </row>
    <row r="13" spans="1:29" ht="13.5" customHeight="1" x14ac:dyDescent="0.2">
      <c r="A13" s="2389"/>
      <c r="B13" s="2390"/>
      <c r="C13" s="2390"/>
      <c r="D13" s="2390"/>
      <c r="E13" s="2390"/>
      <c r="F13" s="2391"/>
      <c r="G13" s="2384" t="s">
        <v>1520</v>
      </c>
      <c r="H13" s="2385"/>
      <c r="I13" s="2401" t="str">
        <f>COVER!T25</f>
        <v>admin@russleigh.com</v>
      </c>
      <c r="J13" s="2402"/>
      <c r="K13" s="2402"/>
      <c r="L13" s="2403"/>
    </row>
    <row r="14" spans="1:29" ht="13.5" customHeight="1" x14ac:dyDescent="0.2">
      <c r="A14" s="2389" t="str">
        <f>COVER!A19</f>
        <v>2000 EAST MAIN ST. LINCOLN HALL ROOM 110</v>
      </c>
      <c r="B14" s="2390"/>
      <c r="C14" s="2390"/>
      <c r="D14" s="2390"/>
      <c r="E14" s="2390"/>
      <c r="F14" s="2391"/>
      <c r="G14" s="1195" t="s">
        <v>1185</v>
      </c>
      <c r="H14" s="1193"/>
      <c r="I14" s="1193"/>
      <c r="J14" s="1193"/>
      <c r="K14" s="1193"/>
      <c r="L14" s="1194"/>
    </row>
    <row r="15" spans="1:29" ht="13.5" customHeight="1" x14ac:dyDescent="0.2">
      <c r="A15" s="2389" t="str">
        <f>COVER!A21</f>
        <v>DANVILLE</v>
      </c>
      <c r="B15" s="2390"/>
      <c r="C15" s="2390"/>
      <c r="D15" s="2390"/>
      <c r="E15" s="2390"/>
      <c r="F15" s="2391"/>
      <c r="G15" s="2386" t="str">
        <f>COVER!T15</f>
        <v>RUSS LEIGH</v>
      </c>
      <c r="H15" s="2387"/>
      <c r="I15" s="2387"/>
      <c r="J15" s="2387"/>
      <c r="K15" s="2387"/>
      <c r="L15" s="2388"/>
    </row>
    <row r="16" spans="1:29" ht="12.2" customHeight="1" x14ac:dyDescent="0.2">
      <c r="A16" s="2411">
        <f>COVER!A25</f>
        <v>61862</v>
      </c>
      <c r="B16" s="2412"/>
      <c r="C16" s="2412"/>
      <c r="D16" s="2412"/>
      <c r="E16" s="2412"/>
      <c r="F16" s="2413"/>
      <c r="G16" s="2423"/>
      <c r="H16" s="2424"/>
      <c r="I16" s="2424"/>
      <c r="J16" s="2424"/>
      <c r="K16" s="2424"/>
      <c r="L16" s="2425"/>
    </row>
    <row r="17" spans="1:13" ht="12.2" customHeight="1" x14ac:dyDescent="0.2">
      <c r="A17" s="2426"/>
      <c r="B17" s="2412"/>
      <c r="C17" s="2412"/>
      <c r="D17" s="2412"/>
      <c r="E17" s="2412"/>
      <c r="F17" s="2413"/>
      <c r="G17" s="1195" t="s">
        <v>1184</v>
      </c>
      <c r="H17" s="1193"/>
      <c r="I17" s="1193"/>
      <c r="J17" s="1193"/>
      <c r="K17" s="1197" t="s">
        <v>1183</v>
      </c>
      <c r="L17" s="1190"/>
      <c r="M17" s="1183"/>
    </row>
    <row r="18" spans="1:13" ht="12.2" customHeight="1" x14ac:dyDescent="0.2">
      <c r="A18" s="2395"/>
      <c r="B18" s="2396"/>
      <c r="C18" s="2396"/>
      <c r="D18" s="2396"/>
      <c r="E18" s="2396"/>
      <c r="F18" s="2397"/>
      <c r="G18" s="2405" t="str">
        <f>COVER!T21</f>
        <v>217-283-9336</v>
      </c>
      <c r="H18" s="2406"/>
      <c r="I18" s="2406"/>
      <c r="J18" s="2406"/>
      <c r="K18" s="2405" t="str">
        <f>COVER!X21</f>
        <v>217-283-9736</v>
      </c>
      <c r="L18" s="241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7" t="str">
        <f>'Single Audit Cover'!A7</f>
        <v>Vermillion Voc Ed Deliver System</v>
      </c>
      <c r="B1" s="2404"/>
      <c r="C1" s="2404"/>
      <c r="D1" s="2404"/>
    </row>
    <row r="2" spans="1:11" s="1212" customFormat="1" ht="12.75" x14ac:dyDescent="0.2">
      <c r="A2" s="2428">
        <f>'Single Audit Cover'!E7</f>
        <v>54092740045</v>
      </c>
      <c r="B2" s="2429"/>
      <c r="C2" s="2429"/>
      <c r="D2" s="2429"/>
    </row>
    <row r="3" spans="1:11" s="1212" customFormat="1" ht="12.75" x14ac:dyDescent="0.2">
      <c r="A3" s="2427" t="s">
        <v>1513</v>
      </c>
      <c r="B3" s="2404"/>
      <c r="C3" s="2404"/>
      <c r="D3" s="2404"/>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1" t="str">
        <f>'Single Audit Cover'!A7</f>
        <v>Vermillion Voc Ed Deliver System</v>
      </c>
      <c r="B1" s="2431"/>
      <c r="C1" s="2431"/>
      <c r="D1" s="2431"/>
      <c r="E1" s="2431"/>
    </row>
    <row r="2" spans="1:5" x14ac:dyDescent="0.2">
      <c r="A2" s="2432">
        <f>'Single Audit Cover'!E7</f>
        <v>54092740045</v>
      </c>
      <c r="B2" s="2432"/>
      <c r="C2" s="2432"/>
      <c r="D2" s="2432"/>
      <c r="E2" s="2432"/>
    </row>
    <row r="3" spans="1:5" ht="4.5" customHeight="1" x14ac:dyDescent="0.2"/>
    <row r="4" spans="1:5" x14ac:dyDescent="0.2">
      <c r="A4" s="2431" t="s">
        <v>1245</v>
      </c>
      <c r="B4" s="2431"/>
      <c r="C4" s="2431"/>
      <c r="D4" s="2431"/>
      <c r="E4" s="2431"/>
    </row>
    <row r="5" spans="1:5" x14ac:dyDescent="0.2">
      <c r="A5" s="2434" t="str">
        <f>'Single Audit Cover'!A4</f>
        <v>Year Ending June 30, 2019</v>
      </c>
      <c r="B5" s="2434"/>
      <c r="C5" s="2434"/>
      <c r="D5" s="2434"/>
      <c r="E5" s="2434"/>
    </row>
    <row r="6" spans="1:5" x14ac:dyDescent="0.2">
      <c r="A6" s="2431" t="s">
        <v>1244</v>
      </c>
      <c r="B6" s="2431"/>
      <c r="C6" s="2431"/>
      <c r="D6" s="2431"/>
      <c r="E6" s="2431"/>
    </row>
    <row r="8" spans="1:5" x14ac:dyDescent="0.2">
      <c r="A8" s="1257" t="s">
        <v>1243</v>
      </c>
    </row>
    <row r="10" spans="1:5" x14ac:dyDescent="0.2">
      <c r="A10" s="1258" t="s">
        <v>1242</v>
      </c>
      <c r="B10" s="1259" t="s">
        <v>1241</v>
      </c>
      <c r="C10" s="1259"/>
      <c r="D10" s="1260">
        <f>SUM('Acct Summary 7-8'!C7:K7)</f>
        <v>216030</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216030</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3"/>
      <c r="B24" s="2433"/>
      <c r="D24" s="1265"/>
    </row>
    <row r="25" spans="1:4" x14ac:dyDescent="0.2">
      <c r="A25" s="2430"/>
      <c r="B25" s="2430"/>
      <c r="D25" s="1265"/>
    </row>
    <row r="26" spans="1:4" x14ac:dyDescent="0.2">
      <c r="A26" s="2430"/>
      <c r="B26" s="2430"/>
      <c r="D26" s="1265"/>
    </row>
    <row r="27" spans="1:4" x14ac:dyDescent="0.2">
      <c r="A27" s="2430"/>
      <c r="B27" s="2430"/>
      <c r="D27" s="1265"/>
    </row>
    <row r="28" spans="1:4" x14ac:dyDescent="0.2">
      <c r="A28" s="2430"/>
      <c r="B28" s="2430"/>
      <c r="D28" s="1265"/>
    </row>
    <row r="29" spans="1:4" x14ac:dyDescent="0.2">
      <c r="A29" s="2430"/>
      <c r="B29" s="2430"/>
      <c r="D29" s="1265"/>
    </row>
    <row r="30" spans="1:4" x14ac:dyDescent="0.2">
      <c r="A30" s="2430"/>
      <c r="B30" s="2430"/>
      <c r="D30" s="1265"/>
    </row>
    <row r="32" spans="1:4" x14ac:dyDescent="0.2">
      <c r="A32" s="1257" t="s">
        <v>1233</v>
      </c>
      <c r="D32" s="1260">
        <f>SUM(D19:D30)</f>
        <v>216030</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0"/>
      <c r="B40" s="2430"/>
      <c r="D40" s="1265"/>
    </row>
    <row r="41" spans="1:4" x14ac:dyDescent="0.2">
      <c r="A41" s="2430"/>
      <c r="B41" s="2430"/>
      <c r="D41" s="1268"/>
    </row>
    <row r="42" spans="1:4" x14ac:dyDescent="0.2">
      <c r="A42" s="2430"/>
      <c r="B42" s="2430"/>
      <c r="D42" s="1268"/>
    </row>
    <row r="43" spans="1:4" x14ac:dyDescent="0.2">
      <c r="A43" s="2430"/>
      <c r="B43" s="2430"/>
      <c r="D43" s="1268"/>
    </row>
    <row r="44" spans="1:4" x14ac:dyDescent="0.2">
      <c r="A44" s="2430"/>
      <c r="B44" s="2430"/>
      <c r="D44" s="1268"/>
    </row>
    <row r="45" spans="1:4" x14ac:dyDescent="0.2">
      <c r="A45" s="2430"/>
      <c r="B45" s="2430"/>
      <c r="D45" s="1268"/>
    </row>
    <row r="47" spans="1:4" x14ac:dyDescent="0.2">
      <c r="B47" s="1269" t="s">
        <v>1227</v>
      </c>
      <c r="C47" s="1269"/>
      <c r="D47" s="1270">
        <f>SUM(D35:D45)</f>
        <v>0</v>
      </c>
    </row>
    <row r="49" spans="2:4" x14ac:dyDescent="0.2">
      <c r="B49" s="1269" t="s">
        <v>1226</v>
      </c>
      <c r="C49" s="1269"/>
      <c r="D49" s="1270">
        <f>D32-D47</f>
        <v>216030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4" t="str">
        <f>'Single Audit Cover'!A7</f>
        <v>Vermillion Voc Ed Deliver System</v>
      </c>
      <c r="C1" s="2435"/>
      <c r="D1" s="2435"/>
      <c r="E1" s="2435"/>
      <c r="F1" s="2435"/>
      <c r="G1" s="2435"/>
      <c r="H1" s="2435"/>
      <c r="I1" s="2435"/>
      <c r="J1" s="2435"/>
      <c r="K1" s="2435"/>
      <c r="L1" s="2435"/>
      <c r="M1" s="2435"/>
    </row>
    <row r="2" spans="2:14" ht="15" x14ac:dyDescent="0.2">
      <c r="B2" s="2436">
        <f>'Single Audit Cover'!E7</f>
        <v>54092740045</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8" t="str">
        <f>'Single Audit Cover'!A7</f>
        <v>Vermillion Voc Ed Deliver System</v>
      </c>
      <c r="B1" s="2448"/>
      <c r="C1" s="2448"/>
      <c r="D1" s="2448"/>
      <c r="E1" s="2448"/>
      <c r="F1" s="2448"/>
    </row>
    <row r="2" spans="1:7" ht="13.5" customHeight="1" x14ac:dyDescent="0.2">
      <c r="A2" s="2436">
        <f>'Single Audit Cover'!E7</f>
        <v>54092740045</v>
      </c>
      <c r="B2" s="2436"/>
      <c r="C2" s="2436"/>
      <c r="D2" s="2436"/>
      <c r="E2" s="2436"/>
      <c r="F2" s="2436"/>
      <c r="G2" s="1272"/>
    </row>
    <row r="3" spans="1:7" ht="15.75" customHeight="1" x14ac:dyDescent="0.2">
      <c r="A3" s="2449" t="s">
        <v>1271</v>
      </c>
      <c r="B3" s="2449"/>
      <c r="C3" s="2449"/>
      <c r="D3" s="2449"/>
      <c r="E3" s="2449"/>
      <c r="F3" s="2449"/>
    </row>
    <row r="4" spans="1:7" ht="13.5" customHeight="1" x14ac:dyDescent="0.2">
      <c r="A4" s="2450" t="str">
        <f>'Single Audit Cover'!A4</f>
        <v>Year Ending June 30, 2019</v>
      </c>
      <c r="B4" s="2450"/>
      <c r="C4" s="2450"/>
      <c r="D4" s="2450"/>
      <c r="E4" s="2450"/>
      <c r="F4" s="2450"/>
    </row>
    <row r="5" spans="1:7" ht="8.25" customHeight="1" x14ac:dyDescent="0.2">
      <c r="C5" s="317"/>
      <c r="D5" s="317"/>
    </row>
    <row r="6" spans="1:7" ht="13.5" customHeight="1" x14ac:dyDescent="0.2">
      <c r="A6" s="1273" t="s">
        <v>1728</v>
      </c>
      <c r="C6" s="317"/>
      <c r="D6" s="317"/>
    </row>
    <row r="7" spans="1:7" ht="60.95" customHeight="1" x14ac:dyDescent="0.2">
      <c r="A7" s="2447" t="s">
        <v>1729</v>
      </c>
      <c r="B7" s="2447"/>
      <c r="C7" s="2447"/>
      <c r="D7" s="2447"/>
      <c r="E7" s="2447"/>
      <c r="F7" s="2447"/>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7" t="s">
        <v>1731</v>
      </c>
      <c r="B13" s="2447"/>
      <c r="C13" s="2447"/>
      <c r="D13" s="2447"/>
      <c r="E13" s="2447"/>
      <c r="F13" s="2447"/>
    </row>
    <row r="14" spans="1:7" ht="9.75" customHeight="1" x14ac:dyDescent="0.2">
      <c r="C14" s="1257"/>
      <c r="D14" s="1257"/>
    </row>
    <row r="15" spans="1:7" ht="13.5" customHeight="1" x14ac:dyDescent="0.2">
      <c r="C15" s="1846" t="s">
        <v>1270</v>
      </c>
      <c r="D15" s="2445" t="s">
        <v>1269</v>
      </c>
      <c r="E15" s="2445"/>
      <c r="F15" s="2445"/>
    </row>
    <row r="16" spans="1:7" ht="13.5" customHeight="1" x14ac:dyDescent="0.2">
      <c r="A16" s="1279"/>
      <c r="B16" s="1273" t="s">
        <v>1268</v>
      </c>
      <c r="C16" s="1846" t="s">
        <v>1267</v>
      </c>
      <c r="D16" s="2446" t="s">
        <v>1588</v>
      </c>
      <c r="E16" s="2446"/>
      <c r="F16" s="2446"/>
    </row>
    <row r="17" spans="1:6" ht="20.45" customHeight="1" x14ac:dyDescent="0.2">
      <c r="A17" s="1280"/>
      <c r="B17" s="1281"/>
      <c r="C17" s="1282"/>
      <c r="D17" s="2440"/>
      <c r="E17" s="2440"/>
      <c r="F17" s="2440"/>
    </row>
    <row r="18" spans="1:6" ht="20.65" customHeight="1" x14ac:dyDescent="0.2">
      <c r="A18" s="1280"/>
      <c r="B18" s="1281"/>
      <c r="C18" s="1282"/>
      <c r="D18" s="2440"/>
      <c r="E18" s="2440"/>
      <c r="F18" s="2440"/>
    </row>
    <row r="19" spans="1:6" ht="20.65" customHeight="1" x14ac:dyDescent="0.2">
      <c r="A19" s="1280"/>
      <c r="B19" s="1281"/>
      <c r="C19" s="1282"/>
      <c r="D19" s="2440"/>
      <c r="E19" s="2440"/>
      <c r="F19" s="2440"/>
    </row>
    <row r="20" spans="1:6" ht="20.65" customHeight="1" x14ac:dyDescent="0.2">
      <c r="A20" s="1280"/>
      <c r="B20" s="1281"/>
      <c r="C20" s="1282"/>
      <c r="D20" s="2440"/>
      <c r="E20" s="2440"/>
      <c r="F20" s="2440"/>
    </row>
    <row r="21" spans="1:6" ht="20.65" customHeight="1" x14ac:dyDescent="0.2">
      <c r="A21" s="1280"/>
      <c r="B21" s="1281"/>
      <c r="C21" s="1282"/>
      <c r="D21" s="2440"/>
      <c r="E21" s="2440"/>
      <c r="F21" s="2440"/>
    </row>
    <row r="22" spans="1:6" ht="20.65" customHeight="1" x14ac:dyDescent="0.2">
      <c r="A22" s="1280"/>
      <c r="B22" s="1281"/>
      <c r="C22" s="1282"/>
      <c r="D22" s="2440"/>
      <c r="E22" s="2440"/>
      <c r="F22" s="2440"/>
    </row>
    <row r="23" spans="1:6" ht="20.65" customHeight="1" x14ac:dyDescent="0.2">
      <c r="A23" s="1280"/>
      <c r="B23" s="1281"/>
      <c r="C23" s="1282"/>
      <c r="D23" s="2440"/>
      <c r="E23" s="2440"/>
      <c r="F23" s="2440"/>
    </row>
    <row r="24" spans="1:6" ht="20.65" customHeight="1" x14ac:dyDescent="0.2">
      <c r="A24" s="1280"/>
      <c r="B24" s="1281"/>
      <c r="C24" s="1282"/>
      <c r="D24" s="2440"/>
      <c r="E24" s="2440"/>
      <c r="F24" s="2440"/>
    </row>
    <row r="25" spans="1:6" ht="20.65" customHeight="1" x14ac:dyDescent="0.2">
      <c r="A25" s="1280"/>
      <c r="B25" s="1281"/>
      <c r="C25" s="1282"/>
      <c r="D25" s="2440"/>
      <c r="E25" s="2440"/>
      <c r="F25" s="2440"/>
    </row>
    <row r="26" spans="1:6" ht="20.65" customHeight="1" x14ac:dyDescent="0.2">
      <c r="A26" s="1280"/>
      <c r="B26" s="1281"/>
      <c r="C26" s="1282"/>
      <c r="D26" s="2440"/>
      <c r="E26" s="2440"/>
      <c r="F26" s="2440"/>
    </row>
    <row r="27" spans="1:6" ht="20.65" customHeight="1" x14ac:dyDescent="0.2">
      <c r="A27" s="1280"/>
      <c r="B27" s="1281"/>
      <c r="C27" s="1282"/>
      <c r="D27" s="2440"/>
      <c r="E27" s="2440"/>
      <c r="F27" s="2440"/>
    </row>
    <row r="28" spans="1:6" ht="20.65" customHeight="1" x14ac:dyDescent="0.2">
      <c r="A28" s="1280"/>
      <c r="B28" s="1281"/>
      <c r="C28" s="1282"/>
      <c r="D28" s="2440"/>
      <c r="E28" s="2440"/>
      <c r="F28" s="2440"/>
    </row>
    <row r="29" spans="1:6" ht="20.65" customHeight="1" x14ac:dyDescent="0.2">
      <c r="A29" s="1280"/>
      <c r="B29" s="1281"/>
      <c r="C29" s="1282"/>
      <c r="D29" s="2440"/>
      <c r="E29" s="2440"/>
      <c r="F29" s="2440"/>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1" t="s">
        <v>1732</v>
      </c>
      <c r="B32" s="2441"/>
      <c r="C32" s="2441"/>
      <c r="D32" s="2441"/>
      <c r="E32" s="2441"/>
      <c r="F32" s="2441"/>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2">
        <f>+C33+C34</f>
        <v>0</v>
      </c>
      <c r="F34" s="2443"/>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4" t="s">
        <v>1590</v>
      </c>
      <c r="C49" s="2444"/>
      <c r="D49" s="2444"/>
      <c r="E49" s="1396"/>
    </row>
    <row r="50" spans="1:5" s="1297" customFormat="1" ht="3.75" customHeight="1" x14ac:dyDescent="0.2">
      <c r="A50" s="1296"/>
      <c r="B50" s="1845"/>
      <c r="C50" s="1845"/>
      <c r="D50" s="1845"/>
      <c r="E50" s="1396"/>
    </row>
    <row r="51" spans="1:5" s="1297" customFormat="1" ht="20.25" customHeight="1" x14ac:dyDescent="0.2">
      <c r="A51" s="1298">
        <v>6</v>
      </c>
      <c r="B51" s="2439" t="s">
        <v>1551</v>
      </c>
      <c r="C51" s="2439"/>
      <c r="D51" s="2439"/>
    </row>
    <row r="52" spans="1:5" ht="14.25" customHeight="1" x14ac:dyDescent="0.2">
      <c r="A52" s="1298"/>
      <c r="B52" s="2439"/>
      <c r="C52" s="2439"/>
      <c r="D52" s="2439"/>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7"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6" t="s">
        <v>1168</v>
      </c>
      <c r="B2" s="2056"/>
      <c r="C2" s="2056"/>
      <c r="D2" s="2056"/>
      <c r="E2" s="2056"/>
      <c r="F2" s="2056"/>
      <c r="G2" s="2056"/>
      <c r="H2" s="2056"/>
      <c r="I2" s="2056"/>
      <c r="J2" s="2056"/>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0" t="s">
        <v>1633</v>
      </c>
      <c r="B35" s="2071"/>
      <c r="C35" s="2071"/>
      <c r="D35" s="2071"/>
      <c r="E35" s="2072"/>
      <c r="F35" s="2072"/>
      <c r="G35" s="2072"/>
      <c r="H35" s="2072"/>
      <c r="I35" s="2072"/>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0" t="s">
        <v>313</v>
      </c>
      <c r="B47" s="2073"/>
      <c r="C47" s="2073"/>
      <c r="D47" s="2073"/>
      <c r="E47" s="2074"/>
      <c r="F47" s="2074"/>
      <c r="G47" s="2074"/>
      <c r="H47" s="2074"/>
      <c r="I47" s="2074"/>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7"/>
      <c r="C57" s="2078"/>
      <c r="D57" s="2078"/>
      <c r="E57" s="2078"/>
      <c r="F57" s="2078"/>
      <c r="G57" s="2078"/>
      <c r="H57" s="2078"/>
      <c r="I57" s="2078"/>
      <c r="J57" s="2079"/>
    </row>
    <row r="58" spans="1:10" s="181" customFormat="1" x14ac:dyDescent="0.2">
      <c r="A58" s="253"/>
      <c r="B58" s="2080"/>
      <c r="C58" s="2081"/>
      <c r="D58" s="2081"/>
      <c r="E58" s="2081"/>
      <c r="F58" s="2081"/>
      <c r="G58" s="2081"/>
      <c r="H58" s="2081"/>
      <c r="I58" s="2081"/>
      <c r="J58" s="2082"/>
    </row>
    <row r="59" spans="1:10" s="181" customFormat="1" x14ac:dyDescent="0.2">
      <c r="A59" s="253"/>
      <c r="B59" s="2080"/>
      <c r="C59" s="2081"/>
      <c r="D59" s="2081"/>
      <c r="E59" s="2081"/>
      <c r="F59" s="2081"/>
      <c r="G59" s="2081"/>
      <c r="H59" s="2081"/>
      <c r="I59" s="2081"/>
      <c r="J59" s="2082"/>
    </row>
    <row r="60" spans="1:10" s="181" customFormat="1" x14ac:dyDescent="0.2">
      <c r="A60" s="253"/>
      <c r="B60" s="2080"/>
      <c r="C60" s="2081"/>
      <c r="D60" s="2081"/>
      <c r="E60" s="2081"/>
      <c r="F60" s="2081"/>
      <c r="G60" s="2081"/>
      <c r="H60" s="2081"/>
      <c r="I60" s="2081"/>
      <c r="J60" s="2082"/>
    </row>
    <row r="61" spans="1:10" s="181" customFormat="1" x14ac:dyDescent="0.2">
      <c r="A61" s="253"/>
      <c r="B61" s="2080"/>
      <c r="C61" s="2081"/>
      <c r="D61" s="2081"/>
      <c r="E61" s="2081"/>
      <c r="F61" s="2081"/>
      <c r="G61" s="2081"/>
      <c r="H61" s="2081"/>
      <c r="I61" s="2081"/>
      <c r="J61" s="2082"/>
    </row>
    <row r="62" spans="1:10" s="181" customFormat="1" x14ac:dyDescent="0.2">
      <c r="A62" s="253"/>
      <c r="B62" s="2080"/>
      <c r="C62" s="2081"/>
      <c r="D62" s="2081"/>
      <c r="E62" s="2081"/>
      <c r="F62" s="2081"/>
      <c r="G62" s="2081"/>
      <c r="H62" s="2081"/>
      <c r="I62" s="2081"/>
      <c r="J62" s="2082"/>
    </row>
    <row r="63" spans="1:10" s="181" customFormat="1" x14ac:dyDescent="0.2">
      <c r="A63" s="253"/>
      <c r="B63" s="2080"/>
      <c r="C63" s="2081"/>
      <c r="D63" s="2081"/>
      <c r="E63" s="2081"/>
      <c r="F63" s="2081"/>
      <c r="G63" s="2081"/>
      <c r="H63" s="2081"/>
      <c r="I63" s="2081"/>
      <c r="J63" s="2082"/>
    </row>
    <row r="64" spans="1:10" s="181" customFormat="1" x14ac:dyDescent="0.2">
      <c r="A64" s="253"/>
      <c r="B64" s="2080"/>
      <c r="C64" s="2081"/>
      <c r="D64" s="2081"/>
      <c r="E64" s="2081"/>
      <c r="F64" s="2081"/>
      <c r="G64" s="2081"/>
      <c r="H64" s="2081"/>
      <c r="I64" s="2081"/>
      <c r="J64" s="2082"/>
    </row>
    <row r="65" spans="1:10" s="181" customFormat="1" x14ac:dyDescent="0.2">
      <c r="A65" s="253"/>
      <c r="B65" s="2080"/>
      <c r="C65" s="2081"/>
      <c r="D65" s="2081"/>
      <c r="E65" s="2081"/>
      <c r="F65" s="2081"/>
      <c r="G65" s="2081"/>
      <c r="H65" s="2081"/>
      <c r="I65" s="2081"/>
      <c r="J65" s="2082"/>
    </row>
    <row r="66" spans="1:10" s="181" customFormat="1" x14ac:dyDescent="0.2">
      <c r="A66" s="253"/>
      <c r="B66" s="2080"/>
      <c r="C66" s="2081"/>
      <c r="D66" s="2081"/>
      <c r="E66" s="2081"/>
      <c r="F66" s="2081"/>
      <c r="G66" s="2081"/>
      <c r="H66" s="2081"/>
      <c r="I66" s="2081"/>
      <c r="J66" s="2082"/>
    </row>
    <row r="67" spans="1:10" s="181" customFormat="1" ht="9" customHeight="1" x14ac:dyDescent="0.2">
      <c r="A67" s="254"/>
      <c r="B67" s="2083"/>
      <c r="C67" s="2084"/>
      <c r="D67" s="2084"/>
      <c r="E67" s="2084"/>
      <c r="F67" s="2084"/>
      <c r="G67" s="2084"/>
      <c r="H67" s="2084"/>
      <c r="I67" s="2084"/>
      <c r="J67" s="208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0" t="s">
        <v>1323</v>
      </c>
      <c r="B70" s="2073"/>
      <c r="C70" s="2073"/>
      <c r="D70" s="2073"/>
      <c r="E70" s="2074"/>
      <c r="F70" s="2074"/>
      <c r="G70" s="2074"/>
      <c r="H70" s="2074"/>
      <c r="I70" s="2074"/>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5" t="s">
        <v>1320</v>
      </c>
      <c r="B83" s="2075"/>
      <c r="C83" s="2075"/>
      <c r="D83" s="2076"/>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7"/>
      <c r="C102" s="2058"/>
      <c r="D102" s="2058"/>
      <c r="E102" s="2058"/>
      <c r="F102" s="2058"/>
      <c r="G102" s="2058"/>
      <c r="H102" s="2058"/>
      <c r="I102" s="2059"/>
    </row>
    <row r="103" spans="1:9" s="181" customFormat="1" ht="11.25" customHeight="1" x14ac:dyDescent="0.2">
      <c r="A103" s="316"/>
      <c r="B103" s="2060"/>
      <c r="C103" s="2061"/>
      <c r="D103" s="2061"/>
      <c r="E103" s="2061"/>
      <c r="F103" s="2061"/>
      <c r="G103" s="2061"/>
      <c r="H103" s="2061"/>
      <c r="I103" s="2062"/>
    </row>
    <row r="104" spans="1:9" s="181" customFormat="1" ht="11.25" customHeight="1" x14ac:dyDescent="0.2">
      <c r="A104" s="316"/>
      <c r="B104" s="2060"/>
      <c r="C104" s="2061"/>
      <c r="D104" s="2061"/>
      <c r="E104" s="2061"/>
      <c r="F104" s="2061"/>
      <c r="G104" s="2061"/>
      <c r="H104" s="2061"/>
      <c r="I104" s="2062"/>
    </row>
    <row r="105" spans="1:9" s="181" customFormat="1" x14ac:dyDescent="0.2">
      <c r="A105" s="316"/>
      <c r="B105" s="2060"/>
      <c r="C105" s="2061"/>
      <c r="D105" s="2061"/>
      <c r="E105" s="2061"/>
      <c r="F105" s="2061"/>
      <c r="G105" s="2061"/>
      <c r="H105" s="2061"/>
      <c r="I105" s="2062"/>
    </row>
    <row r="106" spans="1:9" s="181" customFormat="1" ht="11.25" customHeight="1" x14ac:dyDescent="0.2">
      <c r="A106" s="316"/>
      <c r="B106" s="2060"/>
      <c r="C106" s="2061"/>
      <c r="D106" s="2061"/>
      <c r="E106" s="2061"/>
      <c r="F106" s="2061"/>
      <c r="G106" s="2061"/>
      <c r="H106" s="2061"/>
      <c r="I106" s="2062"/>
    </row>
    <row r="107" spans="1:9" s="181" customFormat="1" ht="11.25" customHeight="1" x14ac:dyDescent="0.2">
      <c r="A107" s="316"/>
      <c r="B107" s="2060"/>
      <c r="C107" s="2061"/>
      <c r="D107" s="2061"/>
      <c r="E107" s="2061"/>
      <c r="F107" s="2061"/>
      <c r="G107" s="2061"/>
      <c r="H107" s="2061"/>
      <c r="I107" s="2062"/>
    </row>
    <row r="108" spans="1:9" s="181" customFormat="1" ht="11.25" customHeight="1" x14ac:dyDescent="0.2">
      <c r="A108" s="316"/>
      <c r="B108" s="2060"/>
      <c r="C108" s="2061"/>
      <c r="D108" s="2061"/>
      <c r="E108" s="2061"/>
      <c r="F108" s="2061"/>
      <c r="G108" s="2061"/>
      <c r="H108" s="2061"/>
      <c r="I108" s="2062"/>
    </row>
    <row r="109" spans="1:9" s="181" customFormat="1" ht="11.25" customHeight="1" x14ac:dyDescent="0.2">
      <c r="A109" s="316"/>
      <c r="B109" s="2060"/>
      <c r="C109" s="2061"/>
      <c r="D109" s="2061"/>
      <c r="E109" s="2061"/>
      <c r="F109" s="2061"/>
      <c r="G109" s="2061"/>
      <c r="H109" s="2061"/>
      <c r="I109" s="2062"/>
    </row>
    <row r="110" spans="1:9" s="181" customFormat="1" ht="11.25" customHeight="1" x14ac:dyDescent="0.2">
      <c r="A110" s="316"/>
      <c r="B110" s="2060"/>
      <c r="C110" s="2061"/>
      <c r="D110" s="2061"/>
      <c r="E110" s="2061"/>
      <c r="F110" s="2061"/>
      <c r="G110" s="2061"/>
      <c r="H110" s="2061"/>
      <c r="I110" s="2062"/>
    </row>
    <row r="111" spans="1:9" s="181" customFormat="1" ht="11.25" customHeight="1" x14ac:dyDescent="0.2">
      <c r="A111" s="316"/>
      <c r="B111" s="2060"/>
      <c r="C111" s="2061"/>
      <c r="D111" s="2061"/>
      <c r="E111" s="2061"/>
      <c r="F111" s="2061"/>
      <c r="G111" s="2061"/>
      <c r="H111" s="2061"/>
      <c r="I111" s="2062"/>
    </row>
    <row r="112" spans="1:9" s="181" customFormat="1" ht="11.25" customHeight="1" x14ac:dyDescent="0.2">
      <c r="A112" s="316"/>
      <c r="B112" s="2063"/>
      <c r="C112" s="2064"/>
      <c r="D112" s="2064"/>
      <c r="E112" s="2064"/>
      <c r="F112" s="2064"/>
      <c r="G112" s="2064"/>
      <c r="H112" s="2064"/>
      <c r="I112" s="206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6" t="s">
        <v>2075</v>
      </c>
      <c r="D114" s="2066"/>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7" t="s">
        <v>1330</v>
      </c>
      <c r="D117" s="2068"/>
      <c r="E117" s="2069"/>
      <c r="F117" s="2069"/>
      <c r="G117" s="2069"/>
      <c r="H117" s="2069"/>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2" t="str">
        <f>'Single Audit Cover'!A7</f>
        <v>Vermillion Voc Ed Deliver System</v>
      </c>
      <c r="C1" s="2463"/>
      <c r="D1" s="2463"/>
      <c r="E1" s="2463"/>
      <c r="F1" s="2463"/>
      <c r="G1" s="2463"/>
      <c r="H1" s="2463"/>
      <c r="I1" s="2463"/>
      <c r="J1" s="1406"/>
    </row>
    <row r="2" spans="2:10" s="317" customFormat="1" ht="12.75" customHeight="1" x14ac:dyDescent="0.2">
      <c r="B2" s="2464">
        <f>'Single Audit Cover'!E7</f>
        <v>54092740045</v>
      </c>
      <c r="C2" s="2465"/>
      <c r="D2" s="2465"/>
      <c r="E2" s="2465"/>
      <c r="F2" s="2465"/>
      <c r="G2" s="2465"/>
      <c r="H2" s="2465"/>
      <c r="I2" s="2465"/>
      <c r="J2" s="1406"/>
    </row>
    <row r="3" spans="2:10" s="317" customFormat="1" ht="12.75" customHeight="1" x14ac:dyDescent="0.2">
      <c r="B3" s="2466" t="s">
        <v>1285</v>
      </c>
      <c r="C3" s="2467"/>
      <c r="D3" s="2467"/>
      <c r="E3" s="2467"/>
      <c r="F3" s="2467"/>
      <c r="G3" s="2467"/>
      <c r="H3" s="2467"/>
      <c r="I3" s="2467"/>
      <c r="J3" s="1407"/>
    </row>
    <row r="4" spans="2:10" s="317" customFormat="1" ht="12.75" customHeight="1" x14ac:dyDescent="0.2">
      <c r="B4" s="2466" t="str">
        <f>'Single Audit Cover'!A4</f>
        <v>Year Ending June 30, 2019</v>
      </c>
      <c r="C4" s="2467"/>
      <c r="D4" s="2467"/>
      <c r="E4" s="2467"/>
      <c r="F4" s="2467"/>
      <c r="G4" s="2467"/>
      <c r="H4" s="2467"/>
      <c r="I4" s="2467"/>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6" t="s">
        <v>1284</v>
      </c>
      <c r="C7" s="2467"/>
      <c r="D7" s="2467"/>
      <c r="E7" s="2467"/>
      <c r="F7" s="2467"/>
      <c r="G7" s="2467"/>
      <c r="H7" s="2467"/>
      <c r="I7" s="2467"/>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8"/>
      <c r="D11" s="2468"/>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9"/>
      <c r="E29" s="2469"/>
      <c r="F29" s="2469"/>
      <c r="G29" s="2469"/>
      <c r="H29" s="2469"/>
      <c r="I29" s="2469"/>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70" t="s">
        <v>1751</v>
      </c>
      <c r="D37" s="2471"/>
      <c r="E37" s="2471"/>
      <c r="F37" s="2472"/>
      <c r="G37" s="2470" t="s">
        <v>1592</v>
      </c>
      <c r="H37" s="2471"/>
      <c r="I37" s="2472"/>
    </row>
    <row r="38" spans="2:9" ht="16.5" customHeight="1" x14ac:dyDescent="0.2">
      <c r="B38" s="1428"/>
      <c r="C38" s="2458"/>
      <c r="D38" s="2459"/>
      <c r="E38" s="2459"/>
      <c r="F38" s="2460"/>
      <c r="G38" s="2473"/>
      <c r="H38" s="2474"/>
      <c r="I38" s="2475"/>
    </row>
    <row r="39" spans="2:9" ht="16.5" customHeight="1" x14ac:dyDescent="0.2">
      <c r="B39" s="1428"/>
      <c r="C39" s="2458"/>
      <c r="D39" s="2459"/>
      <c r="E39" s="2459"/>
      <c r="F39" s="2460"/>
      <c r="G39" s="2461"/>
      <c r="H39" s="2461"/>
      <c r="I39" s="2461"/>
    </row>
    <row r="40" spans="2:9" ht="16.5" customHeight="1" x14ac:dyDescent="0.2">
      <c r="B40" s="1428"/>
      <c r="C40" s="2458"/>
      <c r="D40" s="2459"/>
      <c r="E40" s="2459"/>
      <c r="F40" s="2460"/>
      <c r="G40" s="2461"/>
      <c r="H40" s="2461"/>
      <c r="I40" s="2461"/>
    </row>
    <row r="41" spans="2:9" ht="16.5" customHeight="1" x14ac:dyDescent="0.2">
      <c r="B41" s="1428"/>
      <c r="C41" s="2458"/>
      <c r="D41" s="2459"/>
      <c r="E41" s="2459"/>
      <c r="F41" s="2460"/>
      <c r="G41" s="2461"/>
      <c r="H41" s="2461"/>
      <c r="I41" s="2461"/>
    </row>
    <row r="42" spans="2:9" ht="16.5" customHeight="1" x14ac:dyDescent="0.2">
      <c r="B42" s="1428"/>
      <c r="C42" s="2458"/>
      <c r="D42" s="2459"/>
      <c r="E42" s="2459"/>
      <c r="F42" s="2460"/>
      <c r="G42" s="2461"/>
      <c r="H42" s="2461"/>
      <c r="I42" s="2461"/>
    </row>
    <row r="43" spans="2:9" ht="16.5" customHeight="1" x14ac:dyDescent="0.2">
      <c r="B43" s="1428"/>
      <c r="C43" s="2451" t="s">
        <v>1593</v>
      </c>
      <c r="D43" s="2452"/>
      <c r="E43" s="2452"/>
      <c r="F43" s="2453"/>
      <c r="G43" s="2454">
        <f>SUM(G38:I42)</f>
        <v>0</v>
      </c>
      <c r="H43" s="2454"/>
      <c r="I43" s="2454"/>
    </row>
    <row r="44" spans="2:9" ht="12.75" customHeight="1" x14ac:dyDescent="0.2"/>
    <row r="45" spans="2:9" ht="12.75" customHeight="1" x14ac:dyDescent="0.2">
      <c r="B45" s="1419" t="s">
        <v>2062</v>
      </c>
      <c r="D45" s="2455">
        <v>0</v>
      </c>
      <c r="E45" s="2456"/>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57"/>
      <c r="F49" s="2457"/>
      <c r="G49" s="2457"/>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19"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2" t="str">
        <f>'Single Audit Cover'!A7</f>
        <v>Vermillion Voc Ed Deliver System</v>
      </c>
      <c r="C1" s="2462"/>
      <c r="D1" s="2462"/>
      <c r="E1" s="2462"/>
      <c r="F1" s="2462"/>
      <c r="G1" s="2462"/>
      <c r="H1" s="2462"/>
      <c r="I1" s="2462"/>
      <c r="J1" s="2462"/>
      <c r="K1" s="2462"/>
      <c r="L1" s="1371"/>
      <c r="M1" s="1371"/>
    </row>
    <row r="2" spans="1:13" ht="12" customHeight="1" x14ac:dyDescent="0.2">
      <c r="B2" s="2464">
        <f>'Single Audit Cover'!E7</f>
        <v>54092740045</v>
      </c>
      <c r="C2" s="2464"/>
      <c r="D2" s="2464"/>
      <c r="E2" s="2464"/>
      <c r="F2" s="2464"/>
      <c r="G2" s="2464"/>
      <c r="H2" s="2464"/>
      <c r="I2" s="2464"/>
      <c r="J2" s="2464"/>
      <c r="K2" s="2464"/>
      <c r="L2" s="1372"/>
      <c r="M2" s="1373"/>
    </row>
    <row r="3" spans="1:13" ht="10.35" customHeight="1" x14ac:dyDescent="0.2">
      <c r="B3" s="2478" t="s">
        <v>1285</v>
      </c>
      <c r="C3" s="2478"/>
      <c r="D3" s="2478"/>
      <c r="E3" s="2478"/>
      <c r="F3" s="2478"/>
      <c r="G3" s="2478"/>
      <c r="H3" s="2478"/>
      <c r="I3" s="2478"/>
      <c r="J3" s="2478"/>
      <c r="K3" s="2478"/>
      <c r="L3" s="1374"/>
      <c r="M3" s="1374"/>
    </row>
    <row r="4" spans="1:13" ht="14.25" customHeight="1" x14ac:dyDescent="0.2">
      <c r="B4" s="2479" t="str">
        <f>'Single Audit Cover'!A4</f>
        <v>Year Ending June 30, 2019</v>
      </c>
      <c r="C4" s="2479"/>
      <c r="D4" s="2479"/>
      <c r="E4" s="2479"/>
      <c r="F4" s="2479"/>
      <c r="G4" s="2479"/>
      <c r="H4" s="2479"/>
      <c r="I4" s="2479"/>
      <c r="J4" s="2479"/>
      <c r="K4" s="2479"/>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9" t="s">
        <v>1296</v>
      </c>
      <c r="C7" s="2479"/>
      <c r="D7" s="2480"/>
      <c r="E7" s="2480"/>
      <c r="F7" s="2480"/>
      <c r="G7" s="2480"/>
      <c r="H7" s="2480"/>
      <c r="I7" s="2480"/>
      <c r="J7" s="2480"/>
      <c r="K7" s="2480"/>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7"/>
      <c r="C14" s="2477"/>
      <c r="D14" s="2477"/>
      <c r="E14" s="2477"/>
      <c r="F14" s="2477"/>
      <c r="G14" s="2477"/>
      <c r="H14" s="2477"/>
      <c r="I14" s="2477"/>
      <c r="J14" s="2477"/>
      <c r="K14" s="2477"/>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7"/>
      <c r="C17" s="2477"/>
      <c r="D17" s="2477"/>
      <c r="E17" s="2477"/>
      <c r="F17" s="2477"/>
      <c r="G17" s="2477"/>
      <c r="H17" s="2477"/>
      <c r="I17" s="2477"/>
      <c r="J17" s="2477"/>
      <c r="K17" s="2477"/>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1"/>
      <c r="C20" s="2481"/>
      <c r="D20" s="2477"/>
      <c r="E20" s="2477"/>
      <c r="F20" s="2477"/>
      <c r="G20" s="2477"/>
      <c r="H20" s="2477"/>
      <c r="I20" s="2477"/>
      <c r="J20" s="2477"/>
      <c r="K20" s="2477"/>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7"/>
      <c r="C23" s="2477"/>
      <c r="D23" s="2477"/>
      <c r="E23" s="2477"/>
      <c r="F23" s="2477"/>
      <c r="G23" s="2477"/>
      <c r="H23" s="2477"/>
      <c r="I23" s="2477"/>
      <c r="J23" s="2477"/>
      <c r="K23" s="2477"/>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7"/>
      <c r="C26" s="2477"/>
      <c r="D26" s="2477"/>
      <c r="E26" s="2477"/>
      <c r="F26" s="2477"/>
      <c r="G26" s="2477"/>
      <c r="H26" s="2477"/>
      <c r="I26" s="2477"/>
      <c r="J26" s="2477"/>
      <c r="K26" s="2477"/>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6"/>
      <c r="C29" s="2476"/>
      <c r="D29" s="2477"/>
      <c r="E29" s="2477"/>
      <c r="F29" s="2477"/>
      <c r="G29" s="2477"/>
      <c r="H29" s="2477"/>
      <c r="I29" s="2477"/>
      <c r="J29" s="2477"/>
      <c r="K29" s="2477"/>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6"/>
      <c r="C32" s="2476"/>
      <c r="D32" s="2477"/>
      <c r="E32" s="2477"/>
      <c r="F32" s="2477"/>
      <c r="G32" s="2477"/>
      <c r="H32" s="2477"/>
      <c r="I32" s="2477"/>
      <c r="J32" s="2477"/>
      <c r="K32" s="2477"/>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5" t="str">
        <f>'Single Audit Cover'!A7</f>
        <v>Vermillion Voc Ed Deliver System</v>
      </c>
      <c r="C1" s="2485"/>
      <c r="D1" s="2485"/>
      <c r="E1" s="2485"/>
      <c r="F1" s="2485"/>
      <c r="G1" s="2485"/>
      <c r="H1" s="2485"/>
      <c r="I1" s="2485"/>
      <c r="J1" s="2485"/>
      <c r="K1" s="2485"/>
      <c r="L1" s="1449"/>
    </row>
    <row r="2" spans="1:12" ht="12.75" customHeight="1" x14ac:dyDescent="0.2">
      <c r="B2" s="2486">
        <f>'Single Audit Cover'!E7</f>
        <v>54092740045</v>
      </c>
      <c r="C2" s="2486"/>
      <c r="D2" s="2486"/>
      <c r="E2" s="2486"/>
      <c r="F2" s="2486"/>
      <c r="G2" s="2486"/>
      <c r="H2" s="2486"/>
      <c r="I2" s="2486"/>
      <c r="J2" s="2486"/>
      <c r="K2" s="2486"/>
      <c r="L2" s="1450"/>
    </row>
    <row r="3" spans="1:12" ht="12.75" customHeight="1" x14ac:dyDescent="0.2">
      <c r="B3" s="2478" t="s">
        <v>1285</v>
      </c>
      <c r="C3" s="2478"/>
      <c r="D3" s="2478"/>
      <c r="E3" s="2478"/>
      <c r="F3" s="2478"/>
      <c r="G3" s="2478"/>
      <c r="H3" s="2478"/>
      <c r="I3" s="2478"/>
      <c r="J3" s="2478"/>
      <c r="K3" s="2478"/>
      <c r="L3" s="1374"/>
    </row>
    <row r="4" spans="1:12" ht="12.75" customHeight="1" x14ac:dyDescent="0.2">
      <c r="B4" s="2478" t="str">
        <f>'Single Audit Cover'!A4</f>
        <v>Year Ending June 30, 2019</v>
      </c>
      <c r="C4" s="2478"/>
      <c r="D4" s="2478"/>
      <c r="E4" s="2478"/>
      <c r="F4" s="2478"/>
      <c r="G4" s="2478"/>
      <c r="H4" s="2478"/>
      <c r="I4" s="2478"/>
      <c r="J4" s="2478"/>
      <c r="K4" s="2478"/>
      <c r="L4" s="1374"/>
    </row>
    <row r="5" spans="1:12" ht="5.25" customHeight="1" x14ac:dyDescent="0.2">
      <c r="B5" s="1257" t="s">
        <v>1169</v>
      </c>
      <c r="C5" s="1257"/>
      <c r="L5" s="322"/>
    </row>
    <row r="6" spans="1:12" ht="30.75" customHeight="1" x14ac:dyDescent="0.2">
      <c r="A6" s="322"/>
      <c r="B6" s="2487" t="s">
        <v>1308</v>
      </c>
      <c r="C6" s="2487"/>
      <c r="D6" s="2487"/>
      <c r="E6" s="2487"/>
      <c r="F6" s="2487"/>
      <c r="G6" s="2487"/>
      <c r="H6" s="2487"/>
      <c r="I6" s="2487"/>
      <c r="J6" s="2487"/>
      <c r="K6" s="2487"/>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9"/>
      <c r="G12" s="2469"/>
      <c r="H12" s="2469"/>
      <c r="I12" s="2469"/>
      <c r="J12" s="2469"/>
      <c r="K12" s="2469"/>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2"/>
      <c r="E14" s="2482"/>
      <c r="F14" s="2482"/>
      <c r="H14" s="1459" t="s">
        <v>1303</v>
      </c>
      <c r="I14" s="2483"/>
      <c r="J14" s="2483"/>
      <c r="K14" s="2483"/>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3"/>
      <c r="E16" s="2483"/>
      <c r="F16" s="2483"/>
      <c r="G16" s="2483"/>
      <c r="H16" s="2483"/>
      <c r="I16" s="2483"/>
      <c r="J16" s="2483"/>
      <c r="K16" s="2483"/>
      <c r="L16" s="322"/>
    </row>
    <row r="17" spans="2:12" ht="13.5" customHeight="1" x14ac:dyDescent="0.2">
      <c r="B17" s="1384" t="s">
        <v>1301</v>
      </c>
      <c r="C17" s="1384"/>
      <c r="D17" s="2484"/>
      <c r="E17" s="2484"/>
      <c r="F17" s="2484"/>
      <c r="G17" s="2484"/>
      <c r="H17" s="2484"/>
      <c r="I17" s="2484"/>
      <c r="J17" s="2484"/>
      <c r="K17" s="2484"/>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7"/>
      <c r="C20" s="2477"/>
      <c r="D20" s="2477"/>
      <c r="E20" s="2477"/>
      <c r="F20" s="2477"/>
      <c r="G20" s="2477"/>
      <c r="H20" s="2477"/>
      <c r="I20" s="2477"/>
      <c r="J20" s="2477"/>
      <c r="K20" s="2477"/>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7"/>
      <c r="C23" s="2477"/>
      <c r="D23" s="2477"/>
      <c r="E23" s="2477"/>
      <c r="F23" s="2477"/>
      <c r="G23" s="2477"/>
      <c r="H23" s="2477"/>
      <c r="I23" s="2477"/>
      <c r="J23" s="2477"/>
      <c r="K23" s="2477"/>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7"/>
      <c r="C26" s="2477"/>
      <c r="D26" s="2477"/>
      <c r="E26" s="2477"/>
      <c r="F26" s="2477"/>
      <c r="G26" s="2477"/>
      <c r="H26" s="2477"/>
      <c r="I26" s="2477"/>
      <c r="J26" s="2477"/>
      <c r="K26" s="2477"/>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7"/>
      <c r="C29" s="2477"/>
      <c r="D29" s="2477"/>
      <c r="E29" s="2477"/>
      <c r="F29" s="2477"/>
      <c r="G29" s="2477"/>
      <c r="H29" s="2477"/>
      <c r="I29" s="2477"/>
      <c r="J29" s="2477"/>
      <c r="K29" s="2477"/>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7"/>
      <c r="C32" s="2477"/>
      <c r="D32" s="2477"/>
      <c r="E32" s="2477"/>
      <c r="F32" s="2477"/>
      <c r="G32" s="2477"/>
      <c r="H32" s="2477"/>
      <c r="I32" s="2477"/>
      <c r="J32" s="2477"/>
      <c r="K32" s="2477"/>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7"/>
      <c r="C35" s="2477"/>
      <c r="D35" s="2477"/>
      <c r="E35" s="2477"/>
      <c r="F35" s="2477"/>
      <c r="G35" s="2477"/>
      <c r="H35" s="2477"/>
      <c r="I35" s="2477"/>
      <c r="J35" s="2477"/>
      <c r="K35" s="2477"/>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7"/>
      <c r="C38" s="2477"/>
      <c r="D38" s="2477"/>
      <c r="E38" s="2477"/>
      <c r="F38" s="2477"/>
      <c r="G38" s="2477"/>
      <c r="H38" s="2477"/>
      <c r="I38" s="2477"/>
      <c r="J38" s="2477"/>
      <c r="K38" s="2477"/>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7"/>
      <c r="C41" s="2477"/>
      <c r="D41" s="2477"/>
      <c r="E41" s="2477"/>
      <c r="F41" s="2477"/>
      <c r="G41" s="2477"/>
      <c r="H41" s="2477"/>
      <c r="I41" s="2477"/>
      <c r="J41" s="2477"/>
      <c r="K41" s="2477"/>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2" t="str">
        <f>'Single Audit Cover'!A7</f>
        <v>Vermillion Voc Ed Deliver System</v>
      </c>
      <c r="C1" s="2462"/>
      <c r="D1" s="2462"/>
      <c r="E1" s="1469"/>
    </row>
    <row r="2" spans="2:5" s="1279" customFormat="1" ht="12.75" customHeight="1" x14ac:dyDescent="0.2">
      <c r="B2" s="2464">
        <f>'Single Audit Cover'!E7</f>
        <v>54092740045</v>
      </c>
      <c r="C2" s="2464"/>
      <c r="D2" s="2464"/>
      <c r="E2" s="1470"/>
    </row>
    <row r="3" spans="2:5" ht="12.75" customHeight="1" x14ac:dyDescent="0.2">
      <c r="B3" s="2478" t="s">
        <v>1766</v>
      </c>
      <c r="C3" s="2478"/>
      <c r="D3" s="2478"/>
      <c r="E3" s="1271"/>
    </row>
    <row r="4" spans="2:5" s="1279" customFormat="1" ht="12.75" customHeight="1" x14ac:dyDescent="0.2">
      <c r="B4" s="2488" t="str">
        <f>'Single Audit Cover'!A4</f>
        <v>Year Ending June 30, 2019</v>
      </c>
      <c r="C4" s="2488"/>
      <c r="D4" s="2488"/>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2"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6" t="s">
        <v>386</v>
      </c>
      <c r="B1" s="2086"/>
      <c r="C1" s="2086"/>
      <c r="D1" s="2086"/>
      <c r="E1" s="2086"/>
      <c r="F1" s="2086"/>
      <c r="G1" s="2086"/>
      <c r="H1" s="2086"/>
      <c r="I1" s="2086"/>
      <c r="J1" s="2086"/>
      <c r="K1" s="2086"/>
      <c r="L1" s="2086"/>
      <c r="M1" s="2086"/>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c r="E10" s="356" t="s">
        <v>1005</v>
      </c>
      <c r="F10" s="355"/>
      <c r="G10" s="356" t="s">
        <v>1005</v>
      </c>
      <c r="H10" s="355"/>
      <c r="I10" s="356" t="s">
        <v>1006</v>
      </c>
      <c r="J10" s="1732">
        <f>ROUND(D10+F10+H10,5)</f>
        <v>0</v>
      </c>
      <c r="K10" s="222"/>
      <c r="L10" s="355"/>
      <c r="M10" s="222"/>
    </row>
    <row r="11" spans="1:14" ht="7.5" customHeight="1" x14ac:dyDescent="0.2">
      <c r="B11" s="222"/>
      <c r="C11" s="222"/>
      <c r="D11" s="2096" t="str">
        <f>IF(SUM(J10)&lt;=0.0999999,"","Enter the Tax Rates by moving the decimal two places to the left.")</f>
        <v/>
      </c>
      <c r="E11" s="2097"/>
      <c r="F11" s="2097"/>
      <c r="G11" s="2097"/>
      <c r="H11" s="2097"/>
      <c r="I11" s="2097"/>
      <c r="J11" s="209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676203</v>
      </c>
      <c r="E16" s="356"/>
      <c r="F16" s="1733">
        <f>SUM('Acct Summary 7-8'!C17,'Acct Summary 7-8'!D17,'Acct Summary 7-8'!F17)</f>
        <v>768557</v>
      </c>
      <c r="G16" s="356"/>
      <c r="H16" s="1733">
        <f>SUM(D16-F16)</f>
        <v>-92354</v>
      </c>
      <c r="I16" s="222"/>
      <c r="J16" s="1733">
        <f>SUM('Acct Summary 7-8'!C81,'Acct Summary 7-8'!D81,'Acct Summary 7-8'!F81,'Acct Summary 7-8'!I81)</f>
        <v>259895</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t="str">
        <f>IF(B31="X",(J7*0.069),IF(B32="X",(J7*0.138),"Enter x in a.or b."))</f>
        <v>Enter x in a.or b.</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7"/>
      <c r="C54" s="2088"/>
      <c r="D54" s="2088"/>
      <c r="E54" s="2088"/>
      <c r="F54" s="2088"/>
      <c r="G54" s="2088"/>
      <c r="H54" s="2088"/>
      <c r="I54" s="2088"/>
      <c r="J54" s="2088"/>
      <c r="K54" s="2088"/>
      <c r="L54" s="2089"/>
      <c r="M54" s="380"/>
    </row>
    <row r="55" spans="1:13" ht="12.75" customHeight="1" x14ac:dyDescent="0.2">
      <c r="B55" s="2090"/>
      <c r="C55" s="2091"/>
      <c r="D55" s="2091"/>
      <c r="E55" s="2091"/>
      <c r="F55" s="2091"/>
      <c r="G55" s="2091"/>
      <c r="H55" s="2091"/>
      <c r="I55" s="2091"/>
      <c r="J55" s="2091"/>
      <c r="K55" s="2091"/>
      <c r="L55" s="2092"/>
      <c r="M55" s="380"/>
    </row>
    <row r="56" spans="1:13" ht="12.75" customHeight="1" x14ac:dyDescent="0.2">
      <c r="B56" s="2090"/>
      <c r="C56" s="2091"/>
      <c r="D56" s="2091"/>
      <c r="E56" s="2091"/>
      <c r="F56" s="2091"/>
      <c r="G56" s="2091"/>
      <c r="H56" s="2091"/>
      <c r="I56" s="2091"/>
      <c r="J56" s="2091"/>
      <c r="K56" s="2091"/>
      <c r="L56" s="2092"/>
      <c r="M56" s="222"/>
    </row>
    <row r="57" spans="1:13" ht="12.75" customHeight="1" x14ac:dyDescent="0.2">
      <c r="B57" s="2090"/>
      <c r="C57" s="2091"/>
      <c r="D57" s="2091"/>
      <c r="E57" s="2091"/>
      <c r="F57" s="2091"/>
      <c r="G57" s="2091"/>
      <c r="H57" s="2091"/>
      <c r="I57" s="2091"/>
      <c r="J57" s="2091"/>
      <c r="K57" s="2091"/>
      <c r="L57" s="2092"/>
      <c r="M57" s="222"/>
    </row>
    <row r="58" spans="1:13" x14ac:dyDescent="0.2">
      <c r="B58" s="2093"/>
      <c r="C58" s="2094"/>
      <c r="D58" s="2094"/>
      <c r="E58" s="2094"/>
      <c r="F58" s="2094"/>
      <c r="G58" s="2094"/>
      <c r="H58" s="2094"/>
      <c r="I58" s="2094"/>
      <c r="J58" s="2094"/>
      <c r="K58" s="2094"/>
      <c r="L58" s="209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8"/>
      <c r="D61" s="209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1"/>
      <c r="B1" s="2102"/>
      <c r="C1" s="2102"/>
      <c r="D1" s="384"/>
      <c r="E1" s="384"/>
      <c r="F1" s="384"/>
      <c r="G1" s="384"/>
      <c r="H1" s="384"/>
      <c r="I1" s="384"/>
      <c r="J1" s="384"/>
      <c r="K1" s="384"/>
      <c r="L1" s="384"/>
      <c r="M1" s="384"/>
      <c r="N1" s="384"/>
      <c r="O1" s="2101"/>
      <c r="P1" s="2102"/>
      <c r="Q1" s="2102"/>
    </row>
    <row r="2" spans="1:18" ht="15" x14ac:dyDescent="0.2">
      <c r="A2" s="2105" t="s">
        <v>556</v>
      </c>
      <c r="B2" s="2105"/>
      <c r="C2" s="2105"/>
      <c r="D2" s="2105"/>
      <c r="E2" s="2105"/>
      <c r="F2" s="2105"/>
      <c r="G2" s="2105"/>
      <c r="H2" s="2105"/>
      <c r="I2" s="2105"/>
      <c r="J2" s="2105"/>
      <c r="K2" s="2105"/>
      <c r="L2" s="2105"/>
      <c r="M2" s="2105"/>
      <c r="N2" s="2105"/>
      <c r="O2" s="2105"/>
      <c r="P2" s="2105"/>
      <c r="Q2" s="2105"/>
      <c r="R2" s="2105"/>
    </row>
    <row r="3" spans="1:18" ht="12.75" x14ac:dyDescent="0.2">
      <c r="A3" s="2106" t="s">
        <v>1413</v>
      </c>
      <c r="B3" s="2106"/>
      <c r="C3" s="2106"/>
      <c r="D3" s="2106"/>
      <c r="E3" s="2106"/>
      <c r="F3" s="2106"/>
      <c r="G3" s="2106"/>
      <c r="H3" s="2106"/>
      <c r="I3" s="2106"/>
      <c r="J3" s="2106"/>
      <c r="K3" s="2106"/>
      <c r="L3" s="2106"/>
      <c r="M3" s="2106"/>
      <c r="N3" s="2106"/>
      <c r="O3" s="2106"/>
      <c r="P3" s="2106"/>
      <c r="Q3" s="2106"/>
      <c r="R3" s="2106"/>
    </row>
    <row r="4" spans="1:18" x14ac:dyDescent="0.2">
      <c r="A4" s="2107" t="s">
        <v>1554</v>
      </c>
      <c r="B4" s="2107"/>
      <c r="C4" s="2107"/>
      <c r="D4" s="2107"/>
      <c r="E4" s="2107"/>
      <c r="F4" s="2107"/>
      <c r="G4" s="2107"/>
      <c r="H4" s="2107"/>
      <c r="I4" s="2107"/>
      <c r="J4" s="2107"/>
      <c r="K4" s="2107"/>
      <c r="L4" s="2107"/>
      <c r="M4" s="2107"/>
      <c r="N4" s="2107"/>
      <c r="O4" s="2107"/>
      <c r="P4" s="2107"/>
      <c r="Q4" s="2107"/>
      <c r="R4" s="210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Vermillion Voc Ed Deliver System</v>
      </c>
      <c r="E7" s="391"/>
      <c r="G7" s="252"/>
      <c r="H7" s="387"/>
      <c r="I7" s="387"/>
      <c r="J7" s="387"/>
      <c r="K7" s="387"/>
      <c r="L7" s="329"/>
      <c r="M7" s="329"/>
      <c r="N7" s="329"/>
      <c r="O7" s="329"/>
      <c r="P7" s="329"/>
    </row>
    <row r="8" spans="1:18" ht="12.75" x14ac:dyDescent="0.2">
      <c r="A8" s="329"/>
      <c r="B8" s="329"/>
      <c r="C8" s="389" t="s">
        <v>1125</v>
      </c>
      <c r="D8" s="392">
        <f>COVER!A13</f>
        <v>54092740045</v>
      </c>
      <c r="E8" s="393"/>
      <c r="G8" s="329"/>
      <c r="H8" s="329"/>
      <c r="I8" s="329"/>
      <c r="J8" s="329"/>
      <c r="K8" s="329"/>
      <c r="L8" s="329"/>
      <c r="M8" s="329"/>
      <c r="N8" s="329"/>
      <c r="O8" s="329"/>
      <c r="P8" s="329"/>
    </row>
    <row r="9" spans="1:18" ht="12.75" x14ac:dyDescent="0.2">
      <c r="A9" s="329"/>
      <c r="B9" s="329"/>
      <c r="C9" s="389" t="s">
        <v>713</v>
      </c>
      <c r="D9" s="394" t="str">
        <f>COVER!A15</f>
        <v>VERMILION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259895</v>
      </c>
      <c r="I12" s="404"/>
      <c r="J12" s="404"/>
      <c r="K12" s="405">
        <f>TRUNC((H12/H13*100000),5)/100000</f>
        <v>0.38434464200000001</v>
      </c>
      <c r="L12" s="406"/>
      <c r="M12" s="360" t="s">
        <v>1144</v>
      </c>
      <c r="N12" s="360"/>
      <c r="O12" s="407">
        <v>0.35</v>
      </c>
      <c r="P12" s="218"/>
      <c r="Q12" s="218"/>
    </row>
    <row r="13" spans="1:18" s="408" customFormat="1" ht="12.75" x14ac:dyDescent="0.2">
      <c r="A13" s="218"/>
      <c r="B13" s="401"/>
      <c r="C13" s="2103" t="s">
        <v>1324</v>
      </c>
      <c r="D13" s="2104"/>
      <c r="E13" s="218"/>
      <c r="F13" s="409" t="s">
        <v>793</v>
      </c>
      <c r="G13" s="402"/>
      <c r="H13" s="403">
        <f>SUM('Acct Summary 7-8'!C8+'Acct Summary 7-8'!D8+'Acct Summary 7-8'!F8+'Acct Summary 7-8'!I8)+H14</f>
        <v>676203</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2</v>
      </c>
      <c r="P16" s="216"/>
      <c r="R16" s="384"/>
    </row>
    <row r="17" spans="1:18" s="408" customFormat="1" ht="11.25" x14ac:dyDescent="0.2">
      <c r="A17" s="218"/>
      <c r="B17" s="401"/>
      <c r="C17" s="218" t="s">
        <v>797</v>
      </c>
      <c r="D17" s="218"/>
      <c r="E17" s="218"/>
      <c r="F17" s="218" t="s">
        <v>444</v>
      </c>
      <c r="G17" s="402"/>
      <c r="H17" s="403">
        <f>SUM('Acct Summary 7-8'!C17+'Acct Summary 7-8'!D17+'Acct Summary 7-8'!F17)</f>
        <v>768557</v>
      </c>
      <c r="I17" s="404"/>
      <c r="J17" s="416"/>
      <c r="K17" s="405">
        <f>TRUNC((H17/H18*100000),5)/100000</f>
        <v>1.1365773295000001</v>
      </c>
      <c r="L17" s="406"/>
      <c r="M17" s="417" t="s">
        <v>1171</v>
      </c>
      <c r="O17" s="418" t="str">
        <f>IF(AND(O16="2", J20 &gt; 2),"1",IF(AND(O16 = "1", J20 &gt; 2),"2",IF(AND(O16="1", J20 &gt;1),"1","0")))</f>
        <v>1</v>
      </c>
      <c r="P17" s="218"/>
    </row>
    <row r="18" spans="1:18" s="408" customFormat="1" ht="11.25" x14ac:dyDescent="0.2">
      <c r="A18" s="218"/>
      <c r="B18" s="401"/>
      <c r="C18" s="2103" t="s">
        <v>1317</v>
      </c>
      <c r="D18" s="2104"/>
      <c r="E18" s="218"/>
      <c r="F18" s="419" t="s">
        <v>794</v>
      </c>
      <c r="G18" s="402"/>
      <c r="H18" s="403">
        <f>SUM('Acct Summary 7-8'!C8+'Acct Summary 7-8'!D8+'Acct Summary 7-8'!F8+'Acct Summary 7-8'!I8)+H19</f>
        <v>676203</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2.0819314000000002</v>
      </c>
      <c r="K20" s="405">
        <f>IF(K17&lt;=1,"0",IF(AND(O16="2", J20 &gt; 2),TRUNC(((K12-0.1)/(K17-1)*100),5)/100,IF(AND(O16 = "1", J20 &gt; 2),TRUNC(((K12-0.1)/(K17-1)*100),5)/100,IF(AND(O16="1", J20 &gt;1),TRUNC(((K12-0.1)/(K17-1)*100),5)/100,""))))</f>
        <v>2.0819314000000002</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100" t="s">
        <v>1412</v>
      </c>
      <c r="D24" s="2100"/>
      <c r="E24" s="218"/>
      <c r="F24" s="218" t="s">
        <v>445</v>
      </c>
      <c r="G24" s="402"/>
      <c r="H24" s="403">
        <f>SUM('Assets-Liab 5-6'!C4+'Assets-Liab 5-6'!D4+'Assets-Liab 5-6'!F4+'Assets-Liab 5-6'!I4+'Assets-Liab 5-6'!C5+'Assets-Liab 5-6'!D5+'Assets-Liab 5-6'!F5+'Assets-Liab 5-6'!I5)</f>
        <v>259895</v>
      </c>
      <c r="I24" s="422"/>
      <c r="J24" s="422"/>
      <c r="K24" s="423">
        <f>TRUNC(((H24/H25*100000)/100000),2)</f>
        <v>121.73</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2134.8805600000001</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e">
        <f>IF(K28&gt;=75,"4",IF(K28&gt;=50,"3",IF(K28&gt;=25,"2",1)))</f>
        <v>#DIV/0!</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t="e">
        <f>TRUNC(100-((((H28/H29*100))*100)/100),2)</f>
        <v>#DIV/0!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0</v>
      </c>
      <c r="I29" s="428"/>
      <c r="J29" s="428"/>
      <c r="K29" s="410"/>
      <c r="L29" s="218"/>
      <c r="M29" s="360" t="s">
        <v>1145</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e">
        <f>IF(K32&gt;=75,"4",IF(K32&gt;=50,"3",IF(K32&gt;=25,"2",1)))</f>
        <v>#VALUE!</v>
      </c>
      <c r="P31" s="216"/>
    </row>
    <row r="32" spans="1:18" s="408" customFormat="1" ht="11.25" x14ac:dyDescent="0.2">
      <c r="A32" s="218"/>
      <c r="B32" s="401"/>
      <c r="C32" s="218" t="s">
        <v>847</v>
      </c>
      <c r="D32" s="218"/>
      <c r="E32" s="218"/>
      <c r="F32" s="218"/>
      <c r="G32" s="402"/>
      <c r="H32" s="403">
        <f>'FP Info 3'!H37</f>
        <v>0</v>
      </c>
      <c r="I32" s="420"/>
      <c r="J32" s="420"/>
      <c r="K32" s="423" t="e">
        <f>TRUNC(100-((((H32/H33*100))*100)/100),2)</f>
        <v>#VALUE!</v>
      </c>
      <c r="L32" s="406"/>
      <c r="M32" s="360" t="s">
        <v>1144</v>
      </c>
      <c r="N32" s="360"/>
      <c r="O32" s="434">
        <v>0.1</v>
      </c>
    </row>
    <row r="33" spans="1:17" s="408" customFormat="1" ht="11.25" x14ac:dyDescent="0.2">
      <c r="A33" s="218"/>
      <c r="B33" s="401"/>
      <c r="C33" s="218" t="s">
        <v>799</v>
      </c>
      <c r="D33" s="218"/>
      <c r="E33" s="218"/>
      <c r="F33" s="218"/>
      <c r="G33" s="402"/>
      <c r="H33" s="403" t="str">
        <f>IF('FP Info 3'!H31="Enter X in a or b"," ",'FP Info 3'!H31)</f>
        <v>Enter x in a.or b.</v>
      </c>
      <c r="I33" s="420"/>
      <c r="J33" s="420"/>
      <c r="K33" s="403"/>
      <c r="L33" s="218"/>
      <c r="M33" s="435" t="s">
        <v>1145</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t="e">
        <f>(O13+O20+O25+O29+O33)</f>
        <v>#DIV/0!</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8"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9"/>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0" t="s">
        <v>973</v>
      </c>
      <c r="B3" s="2111"/>
      <c r="C3" s="1559"/>
      <c r="D3" s="1560"/>
      <c r="E3" s="1560"/>
      <c r="F3" s="1560"/>
      <c r="G3" s="1560"/>
      <c r="H3" s="1560"/>
      <c r="I3" s="1560"/>
      <c r="J3" s="1560"/>
      <c r="K3" s="1560"/>
      <c r="L3" s="1560"/>
      <c r="M3" s="1561"/>
      <c r="N3" s="1562"/>
    </row>
    <row r="4" spans="1:14" ht="13.5" customHeight="1" x14ac:dyDescent="0.2">
      <c r="A4" s="463" t="s">
        <v>1651</v>
      </c>
      <c r="B4" s="464"/>
      <c r="C4" s="465">
        <v>107728</v>
      </c>
      <c r="D4" s="466">
        <v>152167</v>
      </c>
      <c r="E4" s="466"/>
      <c r="F4" s="466"/>
      <c r="G4" s="466"/>
      <c r="H4" s="466"/>
      <c r="I4" s="466"/>
      <c r="J4" s="467"/>
      <c r="K4" s="466"/>
      <c r="L4" s="466"/>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107728</v>
      </c>
      <c r="D13" s="1737">
        <f t="shared" ref="D13:L13" si="0">SUM(D4:D12)</f>
        <v>152167</v>
      </c>
      <c r="E13" s="1737">
        <f t="shared" si="0"/>
        <v>0</v>
      </c>
      <c r="F13" s="1737">
        <f t="shared" si="0"/>
        <v>0</v>
      </c>
      <c r="G13" s="1737">
        <f t="shared" si="0"/>
        <v>0</v>
      </c>
      <c r="H13" s="1737">
        <f t="shared" si="0"/>
        <v>0</v>
      </c>
      <c r="I13" s="1737">
        <f t="shared" si="0"/>
        <v>0</v>
      </c>
      <c r="J13" s="1737">
        <f t="shared" si="0"/>
        <v>0</v>
      </c>
      <c r="K13" s="1737">
        <f t="shared" si="0"/>
        <v>0</v>
      </c>
      <c r="L13" s="1737">
        <f t="shared" si="0"/>
        <v>0</v>
      </c>
      <c r="M13" s="468"/>
      <c r="N13" s="469"/>
    </row>
    <row r="14" spans="1:14" ht="18" customHeight="1" thickTop="1" x14ac:dyDescent="0.2">
      <c r="A14" s="2112" t="s">
        <v>147</v>
      </c>
      <c r="B14" s="2113"/>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c r="N16" s="484"/>
    </row>
    <row r="17" spans="1:14" s="485" customFormat="1" ht="12.75" customHeight="1" x14ac:dyDescent="0.2">
      <c r="A17" s="482" t="s">
        <v>1403</v>
      </c>
      <c r="B17" s="483">
        <v>230</v>
      </c>
      <c r="C17" s="477"/>
      <c r="D17" s="477"/>
      <c r="E17" s="477"/>
      <c r="F17" s="477"/>
      <c r="G17" s="477"/>
      <c r="H17" s="477"/>
      <c r="I17" s="477"/>
      <c r="J17" s="477"/>
      <c r="K17" s="477"/>
      <c r="L17" s="477"/>
      <c r="M17" s="467"/>
      <c r="N17" s="484"/>
    </row>
    <row r="18" spans="1:14" s="485" customFormat="1" ht="12.75" customHeight="1" x14ac:dyDescent="0.2">
      <c r="A18" s="482" t="s">
        <v>1404</v>
      </c>
      <c r="B18" s="483">
        <v>240</v>
      </c>
      <c r="C18" s="477"/>
      <c r="D18" s="477"/>
      <c r="E18" s="477"/>
      <c r="F18" s="477"/>
      <c r="G18" s="477"/>
      <c r="H18" s="477"/>
      <c r="I18" s="477"/>
      <c r="J18" s="477"/>
      <c r="K18" s="477"/>
      <c r="L18" s="477"/>
      <c r="M18" s="467"/>
      <c r="N18" s="484"/>
    </row>
    <row r="19" spans="1:14" s="485" customFormat="1" ht="12.75" customHeight="1" x14ac:dyDescent="0.2">
      <c r="A19" s="482" t="s">
        <v>1405</v>
      </c>
      <c r="B19" s="483">
        <v>250</v>
      </c>
      <c r="C19" s="477"/>
      <c r="D19" s="477"/>
      <c r="E19" s="477"/>
      <c r="F19" s="477"/>
      <c r="G19" s="477"/>
      <c r="H19" s="477"/>
      <c r="I19" s="477"/>
      <c r="J19" s="477"/>
      <c r="K19" s="477"/>
      <c r="L19" s="477"/>
      <c r="M19" s="467"/>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6" t="s">
        <v>643</v>
      </c>
      <c r="B23" s="1741"/>
      <c r="C23" s="468"/>
      <c r="D23" s="468"/>
      <c r="E23" s="468"/>
      <c r="F23" s="468"/>
      <c r="G23" s="468"/>
      <c r="H23" s="468"/>
      <c r="I23" s="468"/>
      <c r="J23" s="468"/>
      <c r="K23" s="468"/>
      <c r="L23" s="468"/>
      <c r="M23" s="1688">
        <f>SUM(M15:M22)</f>
        <v>0</v>
      </c>
      <c r="N23" s="1688">
        <f>SUM(N21:N22)</f>
        <v>0</v>
      </c>
    </row>
    <row r="24" spans="1:14" ht="18" customHeight="1" thickTop="1" x14ac:dyDescent="0.2">
      <c r="A24" s="2114" t="s">
        <v>598</v>
      </c>
      <c r="B24" s="2115"/>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0</v>
      </c>
      <c r="M34" s="468"/>
      <c r="N34" s="480"/>
    </row>
    <row r="35" spans="1:14" ht="18" customHeight="1" thickTop="1" x14ac:dyDescent="0.2">
      <c r="A35" s="2116" t="s">
        <v>529</v>
      </c>
      <c r="B35" s="2117"/>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6" t="s">
        <v>653</v>
      </c>
      <c r="B37" s="1741"/>
      <c r="C37" s="477"/>
      <c r="D37" s="477"/>
      <c r="E37" s="477"/>
      <c r="F37" s="477"/>
      <c r="G37" s="477"/>
      <c r="H37" s="477"/>
      <c r="I37" s="477"/>
      <c r="J37" s="477"/>
      <c r="K37" s="477"/>
      <c r="L37" s="480"/>
      <c r="M37" s="468"/>
      <c r="N37" s="1688">
        <f>SUM(N36:N36)</f>
        <v>0</v>
      </c>
    </row>
    <row r="38" spans="1:14" s="329" customFormat="1" ht="13.5" customHeight="1" thickTop="1" x14ac:dyDescent="0.2">
      <c r="A38" s="496" t="s">
        <v>420</v>
      </c>
      <c r="B38" s="483">
        <v>714</v>
      </c>
      <c r="C38" s="466"/>
      <c r="D38" s="466"/>
      <c r="E38" s="466"/>
      <c r="F38" s="466"/>
      <c r="G38" s="466"/>
      <c r="H38" s="466"/>
      <c r="I38" s="466"/>
      <c r="J38" s="467"/>
      <c r="K38" s="466"/>
      <c r="L38" s="481"/>
      <c r="M38" s="497"/>
      <c r="N38" s="497"/>
    </row>
    <row r="39" spans="1:14" s="329" customFormat="1" ht="13.5" customHeight="1" x14ac:dyDescent="0.2">
      <c r="A39" s="496" t="s">
        <v>342</v>
      </c>
      <c r="B39" s="483">
        <v>730</v>
      </c>
      <c r="C39" s="466">
        <v>107728</v>
      </c>
      <c r="D39" s="466">
        <v>152167</v>
      </c>
      <c r="E39" s="466"/>
      <c r="F39" s="466"/>
      <c r="G39" s="466"/>
      <c r="H39" s="466"/>
      <c r="I39" s="466"/>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c r="N40" s="497"/>
    </row>
    <row r="41" spans="1:14" ht="13.5" customHeight="1" thickBot="1" x14ac:dyDescent="0.25">
      <c r="A41" s="1736" t="s">
        <v>655</v>
      </c>
      <c r="B41" s="1706"/>
      <c r="C41" s="1688">
        <f>(SUM(C34,C37,C38,C39))</f>
        <v>107728</v>
      </c>
      <c r="D41" s="1688">
        <f t="shared" ref="D41:L41" si="2">SUM(D34,D37,D38:D39)</f>
        <v>152167</v>
      </c>
      <c r="E41" s="1688">
        <f t="shared" si="2"/>
        <v>0</v>
      </c>
      <c r="F41" s="1688">
        <f t="shared" si="2"/>
        <v>0</v>
      </c>
      <c r="G41" s="1688">
        <f t="shared" si="2"/>
        <v>0</v>
      </c>
      <c r="H41" s="1688">
        <f t="shared" si="2"/>
        <v>0</v>
      </c>
      <c r="I41" s="1688">
        <f t="shared" si="2"/>
        <v>0</v>
      </c>
      <c r="J41" s="1688">
        <f t="shared" si="2"/>
        <v>0</v>
      </c>
      <c r="K41" s="1688">
        <f t="shared" si="2"/>
        <v>0</v>
      </c>
      <c r="L41" s="1688">
        <f t="shared" si="2"/>
        <v>0</v>
      </c>
      <c r="M41" s="1688">
        <f>SUM(M40)</f>
        <v>0</v>
      </c>
      <c r="N41" s="1688">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87"/>
  <sheetViews>
    <sheetView showGridLines="0" defaultGridColor="0" colorId="8" zoomScale="110" zoomScaleNormal="110" zoomScaleSheetLayoutView="100" workbookViewId="0">
      <pane ySplit="2" topLeftCell="A3" activePane="bottomLeft" state="frozen"/>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6"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7"/>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8" t="s">
        <v>1175</v>
      </c>
      <c r="B3" s="2139"/>
      <c r="C3" s="1573"/>
      <c r="D3" s="1574"/>
      <c r="E3" s="1574"/>
      <c r="F3" s="1574"/>
      <c r="G3" s="1574"/>
      <c r="H3" s="1574"/>
      <c r="I3" s="1574"/>
      <c r="J3" s="1574"/>
      <c r="K3" s="1575"/>
      <c r="L3" s="506"/>
    </row>
    <row r="4" spans="1:13" ht="15.75" customHeight="1" x14ac:dyDescent="0.2">
      <c r="A4" s="1928" t="s">
        <v>1499</v>
      </c>
      <c r="B4" s="1929">
        <v>1000</v>
      </c>
      <c r="C4" s="1742">
        <f>'Revenues 9-14'!C109</f>
        <v>29789</v>
      </c>
      <c r="D4" s="1742">
        <f>'Revenues 9-14'!D109</f>
        <v>8302</v>
      </c>
      <c r="E4" s="1742">
        <f>'Revenues 9-14'!E109</f>
        <v>0</v>
      </c>
      <c r="F4" s="1742">
        <f>'Revenues 9-14'!F109</f>
        <v>0</v>
      </c>
      <c r="G4" s="1742">
        <f>'Revenues 9-14'!G109</f>
        <v>0</v>
      </c>
      <c r="H4" s="1742">
        <f>'Revenues 9-14'!H109</f>
        <v>0</v>
      </c>
      <c r="I4" s="1742">
        <f>'Revenues 9-14'!I109</f>
        <v>0</v>
      </c>
      <c r="J4" s="1742">
        <f>'Revenues 9-14'!J109</f>
        <v>0</v>
      </c>
      <c r="K4" s="1742">
        <f>'Revenues 9-14'!K109</f>
        <v>0</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422082</v>
      </c>
      <c r="D6" s="1743">
        <f>'Revenues 9-14'!D170</f>
        <v>0</v>
      </c>
      <c r="E6" s="1743">
        <f>'Revenues 9-14'!E170</f>
        <v>0</v>
      </c>
      <c r="F6" s="1743">
        <f>'Revenues 9-14'!F170</f>
        <v>0</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216030</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667901</v>
      </c>
      <c r="D8" s="1688">
        <f t="shared" ref="D8:K8" si="0">SUM(D4:D7)</f>
        <v>8302</v>
      </c>
      <c r="E8" s="1688">
        <f t="shared" si="0"/>
        <v>0</v>
      </c>
      <c r="F8" s="1688">
        <f t="shared" si="0"/>
        <v>0</v>
      </c>
      <c r="G8" s="1688">
        <f t="shared" si="0"/>
        <v>0</v>
      </c>
      <c r="H8" s="1688">
        <f t="shared" si="0"/>
        <v>0</v>
      </c>
      <c r="I8" s="1688">
        <f t="shared" si="0"/>
        <v>0</v>
      </c>
      <c r="J8" s="1688">
        <f t="shared" si="0"/>
        <v>0</v>
      </c>
      <c r="K8" s="1688">
        <f t="shared" si="0"/>
        <v>0</v>
      </c>
      <c r="L8" s="347"/>
    </row>
    <row r="9" spans="1:13" ht="15.75" thickTop="1" x14ac:dyDescent="0.2">
      <c r="A9" s="514" t="s">
        <v>1653</v>
      </c>
      <c r="B9" s="515">
        <v>3998</v>
      </c>
      <c r="C9" s="481">
        <v>75583</v>
      </c>
      <c r="D9" s="516"/>
      <c r="E9" s="481"/>
      <c r="F9" s="481"/>
      <c r="G9" s="517"/>
      <c r="H9" s="481"/>
      <c r="I9" s="509" t="s">
        <v>1169</v>
      </c>
      <c r="J9" s="478"/>
      <c r="K9" s="481"/>
      <c r="L9" s="347"/>
    </row>
    <row r="10" spans="1:13" s="519" customFormat="1" ht="13.5" thickBot="1" x14ac:dyDescent="0.25">
      <c r="A10" s="1736" t="s">
        <v>1173</v>
      </c>
      <c r="B10" s="1709"/>
      <c r="C10" s="1688">
        <f>SUM(C8:C9)</f>
        <v>743484</v>
      </c>
      <c r="D10" s="1688">
        <f t="shared" ref="D10:K10" si="1">SUM(D8:D9)</f>
        <v>8302</v>
      </c>
      <c r="E10" s="1688">
        <f t="shared" si="1"/>
        <v>0</v>
      </c>
      <c r="F10" s="1688">
        <f t="shared" si="1"/>
        <v>0</v>
      </c>
      <c r="G10" s="1688">
        <f t="shared" si="1"/>
        <v>0</v>
      </c>
      <c r="H10" s="1688">
        <f t="shared" si="1"/>
        <v>0</v>
      </c>
      <c r="I10" s="1688">
        <f t="shared" si="1"/>
        <v>0</v>
      </c>
      <c r="J10" s="1688">
        <f t="shared" si="1"/>
        <v>0</v>
      </c>
      <c r="K10" s="1688">
        <f t="shared" si="1"/>
        <v>0</v>
      </c>
      <c r="L10" s="518"/>
    </row>
    <row r="11" spans="1:13" s="519" customFormat="1" ht="16.7" customHeight="1" thickTop="1" x14ac:dyDescent="0.2">
      <c r="A11" s="2112" t="s">
        <v>1176</v>
      </c>
      <c r="B11" s="2113"/>
      <c r="C11" s="1570"/>
      <c r="D11" s="1571"/>
      <c r="E11" s="1571"/>
      <c r="F11" s="1571"/>
      <c r="G11" s="1571"/>
      <c r="H11" s="1571"/>
      <c r="I11" s="1571"/>
      <c r="J11" s="1571"/>
      <c r="K11" s="1572"/>
      <c r="L11" s="518"/>
    </row>
    <row r="12" spans="1:13" ht="15.75" customHeight="1" x14ac:dyDescent="0.2">
      <c r="A12" s="1576" t="s">
        <v>456</v>
      </c>
      <c r="B12" s="1578">
        <v>1000</v>
      </c>
      <c r="C12" s="1742">
        <f>'Expenditures 15-22'!K33</f>
        <v>300054</v>
      </c>
      <c r="D12" s="520" t="s">
        <v>1169</v>
      </c>
      <c r="E12" s="468" t="s">
        <v>1169</v>
      </c>
      <c r="F12" s="468" t="s">
        <v>1169</v>
      </c>
      <c r="G12" s="1742">
        <f>'Expenditures 15-22'!K229</f>
        <v>0</v>
      </c>
      <c r="H12" s="521"/>
      <c r="I12" s="468" t="s">
        <v>1169</v>
      </c>
      <c r="J12" s="468" t="s">
        <v>1169</v>
      </c>
      <c r="K12" s="521" t="s">
        <v>1169</v>
      </c>
      <c r="L12" s="347"/>
    </row>
    <row r="13" spans="1:13" ht="15.75" customHeight="1" x14ac:dyDescent="0.2">
      <c r="A13" s="1576" t="s">
        <v>457</v>
      </c>
      <c r="B13" s="1578">
        <v>2000</v>
      </c>
      <c r="C13" s="1743">
        <f>'Expenditures 15-22'!K74</f>
        <v>363895</v>
      </c>
      <c r="D13" s="1743">
        <f>'Expenditures 15-22'!K129</f>
        <v>5198</v>
      </c>
      <c r="E13" s="469" t="s">
        <v>1169</v>
      </c>
      <c r="F13" s="1743">
        <f>'Expenditures 15-22'!K184</f>
        <v>0</v>
      </c>
      <c r="G13" s="1743">
        <f>'Expenditures 15-22'!K279</f>
        <v>0</v>
      </c>
      <c r="H13" s="1743">
        <f>'Expenditures 15-22'!K303</f>
        <v>0</v>
      </c>
      <c r="I13" s="468" t="s">
        <v>1169</v>
      </c>
      <c r="J13" s="1743">
        <f>'Expenditures 15-22'!K330</f>
        <v>0</v>
      </c>
      <c r="K13" s="1747">
        <f>'Expenditures 15-22'!K352</f>
        <v>0</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99410</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0</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763359</v>
      </c>
      <c r="D17" s="1688">
        <f t="shared" si="2"/>
        <v>5198</v>
      </c>
      <c r="E17" s="1688">
        <f t="shared" si="2"/>
        <v>0</v>
      </c>
      <c r="F17" s="1688">
        <f t="shared" si="2"/>
        <v>0</v>
      </c>
      <c r="G17" s="1688">
        <f t="shared" si="2"/>
        <v>0</v>
      </c>
      <c r="H17" s="1688">
        <f t="shared" si="2"/>
        <v>0</v>
      </c>
      <c r="I17" s="468"/>
      <c r="J17" s="1688">
        <f>SUM(J12:J16)</f>
        <v>0</v>
      </c>
      <c r="K17" s="1688">
        <f>SUM(K12:K16)</f>
        <v>0</v>
      </c>
      <c r="L17" s="347"/>
    </row>
    <row r="18" spans="1:12" ht="15" customHeight="1" thickTop="1" x14ac:dyDescent="0.2">
      <c r="A18" s="1744" t="s">
        <v>1654</v>
      </c>
      <c r="B18" s="1745">
        <v>4180</v>
      </c>
      <c r="C18" s="1742">
        <f t="shared" ref="C18:H18" si="3">C9</f>
        <v>75583</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838942</v>
      </c>
      <c r="D19" s="1688">
        <f t="shared" si="4"/>
        <v>5198</v>
      </c>
      <c r="E19" s="1688">
        <f t="shared" si="4"/>
        <v>0</v>
      </c>
      <c r="F19" s="1688">
        <f t="shared" si="4"/>
        <v>0</v>
      </c>
      <c r="G19" s="1688">
        <f t="shared" si="4"/>
        <v>0</v>
      </c>
      <c r="H19" s="1688">
        <f t="shared" si="4"/>
        <v>0</v>
      </c>
      <c r="I19" s="468"/>
      <c r="J19" s="1688">
        <f>SUM(J17:J18)</f>
        <v>0</v>
      </c>
      <c r="K19" s="1688">
        <f>SUM(K17:K18)</f>
        <v>0</v>
      </c>
      <c r="L19" s="347"/>
    </row>
    <row r="20" spans="1:12" ht="16.5" thickTop="1" thickBot="1" x14ac:dyDescent="0.25">
      <c r="A20" s="2128" t="s">
        <v>1655</v>
      </c>
      <c r="B20" s="2129"/>
      <c r="C20" s="1746">
        <f>C8-C17</f>
        <v>-95458</v>
      </c>
      <c r="D20" s="1746">
        <f t="shared" ref="D20:K20" si="5">D8-D17</f>
        <v>3104</v>
      </c>
      <c r="E20" s="1746">
        <f t="shared" si="5"/>
        <v>0</v>
      </c>
      <c r="F20" s="1746">
        <f t="shared" si="5"/>
        <v>0</v>
      </c>
      <c r="G20" s="1746">
        <f t="shared" si="5"/>
        <v>0</v>
      </c>
      <c r="H20" s="1746">
        <f t="shared" si="5"/>
        <v>0</v>
      </c>
      <c r="I20" s="1746">
        <f t="shared" si="5"/>
        <v>0</v>
      </c>
      <c r="J20" s="1746">
        <f t="shared" si="5"/>
        <v>0</v>
      </c>
      <c r="K20" s="1746">
        <f t="shared" si="5"/>
        <v>0</v>
      </c>
      <c r="L20" s="347"/>
    </row>
    <row r="21" spans="1:12" ht="16.7" customHeight="1" thickTop="1" x14ac:dyDescent="0.2">
      <c r="A21" s="2140" t="s">
        <v>595</v>
      </c>
      <c r="B21" s="2141"/>
      <c r="C21" s="1570"/>
      <c r="D21" s="1571"/>
      <c r="E21" s="1571"/>
      <c r="F21" s="1571"/>
      <c r="G21" s="1571"/>
      <c r="H21" s="1571"/>
      <c r="I21" s="1571"/>
      <c r="J21" s="1571"/>
      <c r="K21" s="1572"/>
      <c r="L21" s="524"/>
    </row>
    <row r="22" spans="1:12" ht="15.75" customHeight="1" collapsed="1" x14ac:dyDescent="0.2">
      <c r="A22" s="2136" t="s">
        <v>596</v>
      </c>
      <c r="B22" s="2137"/>
      <c r="C22" s="477"/>
      <c r="D22" s="477"/>
      <c r="E22" s="477"/>
      <c r="F22" s="477"/>
      <c r="G22" s="477"/>
      <c r="H22" s="477"/>
      <c r="I22" s="477"/>
      <c r="J22" s="477"/>
      <c r="K22" s="477"/>
      <c r="L22" s="347"/>
    </row>
    <row r="23" spans="1:12" s="485" customFormat="1" ht="15.75" customHeight="1" x14ac:dyDescent="0.2">
      <c r="A23" s="2132" t="s">
        <v>293</v>
      </c>
      <c r="B23" s="2133"/>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4" t="s">
        <v>981</v>
      </c>
      <c r="B32" s="2135"/>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2" t="s">
        <v>374</v>
      </c>
      <c r="B44" s="2143"/>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6" t="s">
        <v>108</v>
      </c>
      <c r="B45" s="2137"/>
      <c r="C45" s="528"/>
      <c r="D45" s="528"/>
      <c r="E45" s="528"/>
      <c r="F45" s="528"/>
      <c r="G45" s="528"/>
      <c r="H45" s="528"/>
      <c r="I45" s="528"/>
      <c r="J45" s="528"/>
      <c r="K45" s="528"/>
      <c r="L45" s="347"/>
    </row>
    <row r="46" spans="1:12" s="485" customFormat="1" ht="15.75" customHeight="1" x14ac:dyDescent="0.2">
      <c r="A46" s="2144" t="s">
        <v>109</v>
      </c>
      <c r="B46" s="2145"/>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8" t="s">
        <v>440</v>
      </c>
      <c r="B76" s="2119"/>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0" t="s">
        <v>1177</v>
      </c>
      <c r="B77" s="2121"/>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4" t="s">
        <v>597</v>
      </c>
      <c r="B78" s="2125"/>
      <c r="C78" s="1702">
        <f t="shared" ref="C78:K78" si="9">C20+C77</f>
        <v>-95458</v>
      </c>
      <c r="D78" s="1702">
        <f t="shared" si="9"/>
        <v>3104</v>
      </c>
      <c r="E78" s="1702">
        <f t="shared" si="9"/>
        <v>0</v>
      </c>
      <c r="F78" s="1702">
        <f t="shared" si="9"/>
        <v>0</v>
      </c>
      <c r="G78" s="1702">
        <f t="shared" si="9"/>
        <v>0</v>
      </c>
      <c r="H78" s="1702">
        <f t="shared" si="9"/>
        <v>0</v>
      </c>
      <c r="I78" s="1702">
        <f t="shared" si="9"/>
        <v>0</v>
      </c>
      <c r="J78" s="1702">
        <f t="shared" si="9"/>
        <v>0</v>
      </c>
      <c r="K78" s="1702">
        <f t="shared" si="9"/>
        <v>0</v>
      </c>
      <c r="L78" s="533"/>
    </row>
    <row r="79" spans="1:12" ht="13.5" thickTop="1" x14ac:dyDescent="0.2">
      <c r="A79" s="1494" t="s">
        <v>1947</v>
      </c>
      <c r="B79" s="534"/>
      <c r="C79" s="478">
        <v>203186</v>
      </c>
      <c r="D79" s="535">
        <v>149063</v>
      </c>
      <c r="E79" s="535"/>
      <c r="F79" s="535"/>
      <c r="G79" s="535"/>
      <c r="H79" s="535"/>
      <c r="I79" s="535"/>
      <c r="J79" s="535"/>
      <c r="K79" s="535"/>
      <c r="L79" s="347"/>
    </row>
    <row r="80" spans="1:12" x14ac:dyDescent="0.2">
      <c r="A80" s="2130" t="s">
        <v>1795</v>
      </c>
      <c r="B80" s="2131"/>
      <c r="C80" s="467"/>
      <c r="D80" s="467"/>
      <c r="E80" s="467"/>
      <c r="F80" s="467"/>
      <c r="G80" s="467"/>
      <c r="H80" s="467"/>
      <c r="I80" s="467"/>
      <c r="J80" s="467"/>
      <c r="K80" s="467"/>
      <c r="L80" s="347"/>
    </row>
    <row r="81" spans="1:12" ht="13.5" thickBot="1" x14ac:dyDescent="0.25">
      <c r="A81" s="2122" t="s">
        <v>1948</v>
      </c>
      <c r="B81" s="2123"/>
      <c r="C81" s="1688">
        <f>(SUM(C78:C80))</f>
        <v>107728</v>
      </c>
      <c r="D81" s="1688">
        <f>SUM(D78:D80)</f>
        <v>152167</v>
      </c>
      <c r="E81" s="1688">
        <f t="shared" ref="E81:K81" si="10">SUM(E78:E80)</f>
        <v>0</v>
      </c>
      <c r="F81" s="1688">
        <f t="shared" si="10"/>
        <v>0</v>
      </c>
      <c r="G81" s="1688">
        <f t="shared" si="10"/>
        <v>0</v>
      </c>
      <c r="H81" s="1688">
        <f t="shared" si="10"/>
        <v>0</v>
      </c>
      <c r="I81" s="1688">
        <f t="shared" si="10"/>
        <v>0</v>
      </c>
      <c r="J81" s="1688">
        <f t="shared" si="10"/>
        <v>0</v>
      </c>
      <c r="K81" s="1688">
        <f t="shared" si="10"/>
        <v>0</v>
      </c>
      <c r="L81" s="347"/>
    </row>
    <row r="82" spans="1:12" ht="0.75" customHeight="1" thickTop="1" thickBot="1" x14ac:dyDescent="0.25">
      <c r="A82" s="536" t="s">
        <v>343</v>
      </c>
      <c r="B82" s="537"/>
      <c r="C82" s="538">
        <f>(C81-C79)</f>
        <v>-95458</v>
      </c>
      <c r="D82" s="538">
        <f t="shared" ref="D82:K82" si="11">(D81-D79)</f>
        <v>3104</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344</v>
      </c>
      <c r="B83" s="464"/>
      <c r="C83" s="540">
        <f>C82/C81</f>
        <v>-0.8861020347541958</v>
      </c>
      <c r="D83" s="540">
        <f t="shared" ref="D83:K83" si="12">D82/D81</f>
        <v>2.0398640966832492E-2</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54" firstPageNumber="7" fitToHeight="0"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279"/>
  <sheetViews>
    <sheetView showGridLines="0" defaultGridColor="0" colorId="8" zoomScale="110" zoomScaleNormal="110" zoomScaleSheetLayoutView="75" workbookViewId="0">
      <pane ySplit="2" topLeftCell="A3" activePane="bottomLeft" state="frozen"/>
      <selection pane="bottomLeft" activeCell="C29" sqref="C29"/>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6" t="s">
        <v>1802</v>
      </c>
      <c r="B1" s="452"/>
      <c r="C1" s="453" t="s">
        <v>425</v>
      </c>
      <c r="D1" s="453" t="s">
        <v>426</v>
      </c>
      <c r="E1" s="453" t="s">
        <v>427</v>
      </c>
      <c r="F1" s="453" t="s">
        <v>428</v>
      </c>
      <c r="G1" s="453" t="s">
        <v>429</v>
      </c>
      <c r="H1" s="453" t="s">
        <v>430</v>
      </c>
      <c r="I1" s="453" t="s">
        <v>431</v>
      </c>
      <c r="J1" s="453" t="s">
        <v>432</v>
      </c>
      <c r="K1" s="453" t="s">
        <v>756</v>
      </c>
    </row>
    <row r="2" spans="1:12" ht="36" x14ac:dyDescent="0.2">
      <c r="A2" s="2127"/>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c r="D5" s="481"/>
      <c r="E5" s="466"/>
      <c r="F5" s="548"/>
      <c r="G5" s="466"/>
      <c r="H5" s="466"/>
      <c r="I5" s="466"/>
      <c r="J5" s="467"/>
      <c r="K5" s="466"/>
    </row>
    <row r="6" spans="1:12" ht="15" x14ac:dyDescent="0.2">
      <c r="A6" s="463" t="s">
        <v>1662</v>
      </c>
      <c r="B6" s="470">
        <v>1130</v>
      </c>
      <c r="C6" s="466"/>
      <c r="D6" s="466"/>
      <c r="E6" s="475"/>
      <c r="F6" s="475"/>
      <c r="G6" s="468"/>
      <c r="H6" s="468"/>
      <c r="I6" s="468"/>
      <c r="J6" s="468"/>
      <c r="K6" s="468"/>
    </row>
    <row r="7" spans="1:12" x14ac:dyDescent="0.2">
      <c r="A7" s="463" t="s">
        <v>110</v>
      </c>
      <c r="B7" s="549">
        <v>1140</v>
      </c>
      <c r="C7" s="466"/>
      <c r="D7" s="466"/>
      <c r="E7" s="468"/>
      <c r="F7" s="467"/>
      <c r="G7" s="467"/>
      <c r="H7" s="467"/>
      <c r="I7" s="468"/>
      <c r="J7" s="468"/>
      <c r="K7" s="468"/>
    </row>
    <row r="8" spans="1:12" x14ac:dyDescent="0.2">
      <c r="A8" s="463" t="s">
        <v>413</v>
      </c>
      <c r="B8" s="470">
        <v>1150</v>
      </c>
      <c r="C8" s="475"/>
      <c r="D8" s="475"/>
      <c r="E8" s="477"/>
      <c r="F8" s="477"/>
      <c r="G8" s="481"/>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0</v>
      </c>
      <c r="D12" s="1707">
        <f t="shared" si="0"/>
        <v>0</v>
      </c>
      <c r="E12" s="1707">
        <f t="shared" si="0"/>
        <v>0</v>
      </c>
      <c r="F12" s="1707">
        <f t="shared" si="0"/>
        <v>0</v>
      </c>
      <c r="G12" s="1707">
        <f t="shared" si="0"/>
        <v>0</v>
      </c>
      <c r="H12" s="1707">
        <f t="shared" si="0"/>
        <v>0</v>
      </c>
      <c r="I12" s="1707">
        <f t="shared" si="0"/>
        <v>0</v>
      </c>
      <c r="J12" s="1707">
        <f t="shared" si="0"/>
        <v>0</v>
      </c>
      <c r="K12" s="1688">
        <f t="shared" si="0"/>
        <v>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c r="D16" s="466"/>
      <c r="E16" s="466"/>
      <c r="F16" s="466"/>
      <c r="G16" s="466"/>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0</v>
      </c>
      <c r="D18" s="1710">
        <f t="shared" ref="D18:K18" si="1">SUM(D14:D17)</f>
        <v>0</v>
      </c>
      <c r="E18" s="1710">
        <f t="shared" si="1"/>
        <v>0</v>
      </c>
      <c r="F18" s="1710">
        <f t="shared" si="1"/>
        <v>0</v>
      </c>
      <c r="G18" s="1710">
        <f t="shared" si="1"/>
        <v>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v>23428</v>
      </c>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23428</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33</v>
      </c>
      <c r="D65" s="466">
        <v>33</v>
      </c>
      <c r="E65" s="466"/>
      <c r="F65" s="467"/>
      <c r="G65" s="466"/>
      <c r="H65" s="466"/>
      <c r="I65" s="466"/>
      <c r="J65" s="467"/>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33</v>
      </c>
      <c r="D67" s="1688">
        <f t="shared" ref="D67:K67" si="2">SUM(D65:D66)</f>
        <v>33</v>
      </c>
      <c r="E67" s="1688">
        <f t="shared" si="2"/>
        <v>0</v>
      </c>
      <c r="F67" s="1688">
        <f t="shared" si="2"/>
        <v>0</v>
      </c>
      <c r="G67" s="1688">
        <f t="shared" si="2"/>
        <v>0</v>
      </c>
      <c r="H67" s="1688">
        <f t="shared" si="2"/>
        <v>0</v>
      </c>
      <c r="I67" s="1688">
        <f t="shared" si="2"/>
        <v>0</v>
      </c>
      <c r="J67" s="1688">
        <f t="shared" si="2"/>
        <v>0</v>
      </c>
      <c r="K67" s="1688">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0</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0</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v>4425</v>
      </c>
      <c r="D99" s="466">
        <v>67</v>
      </c>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v>8202</v>
      </c>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1903</v>
      </c>
      <c r="D107" s="466"/>
      <c r="E107" s="466"/>
      <c r="F107" s="466"/>
      <c r="G107" s="466"/>
      <c r="H107" s="466"/>
      <c r="I107" s="466"/>
      <c r="J107" s="467"/>
      <c r="K107" s="466"/>
    </row>
    <row r="108" spans="1:12" ht="12.75" customHeight="1" thickBot="1" x14ac:dyDescent="0.25">
      <c r="A108" s="1708" t="s">
        <v>487</v>
      </c>
      <c r="B108" s="1712"/>
      <c r="C108" s="1707">
        <f>SUM(C95:C107)</f>
        <v>6328</v>
      </c>
      <c r="D108" s="1707">
        <f t="shared" ref="D108:K108" si="3">SUM(D95:D107)</f>
        <v>8269</v>
      </c>
      <c r="E108" s="1707">
        <f t="shared" si="3"/>
        <v>0</v>
      </c>
      <c r="F108" s="1707">
        <f t="shared" si="3"/>
        <v>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29789</v>
      </c>
      <c r="D109" s="1715">
        <f t="shared" si="4"/>
        <v>8302</v>
      </c>
      <c r="E109" s="1715">
        <f t="shared" si="4"/>
        <v>0</v>
      </c>
      <c r="F109" s="1715">
        <f t="shared" si="4"/>
        <v>0</v>
      </c>
      <c r="G109" s="1715">
        <f t="shared" si="4"/>
        <v>0</v>
      </c>
      <c r="H109" s="1715">
        <f t="shared" si="4"/>
        <v>0</v>
      </c>
      <c r="I109" s="1715">
        <f t="shared" si="4"/>
        <v>0</v>
      </c>
      <c r="J109" s="1715">
        <f t="shared" si="4"/>
        <v>0</v>
      </c>
      <c r="K109" s="1702">
        <f t="shared" si="4"/>
        <v>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0</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v>422082</v>
      </c>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422082</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c r="G152" s="467"/>
      <c r="H152" s="468"/>
      <c r="I152" s="468"/>
      <c r="J152" s="468"/>
      <c r="K152" s="468"/>
    </row>
    <row r="153" spans="1:11" ht="12.75" customHeight="1" x14ac:dyDescent="0.2">
      <c r="A153" s="463" t="s">
        <v>1057</v>
      </c>
      <c r="B153" s="562">
        <v>3510</v>
      </c>
      <c r="C153" s="551"/>
      <c r="D153" s="466"/>
      <c r="E153" s="561"/>
      <c r="F153" s="466"/>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0</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6" t="s">
        <v>398</v>
      </c>
      <c r="B169" s="2147"/>
      <c r="C169" s="1722">
        <f t="shared" ref="C169:K169" si="6">SUM(C132,C141,C145,C146:C150,C155,C156:C167,C168)</f>
        <v>422082</v>
      </c>
      <c r="D169" s="1722">
        <f t="shared" si="6"/>
        <v>0</v>
      </c>
      <c r="E169" s="1722">
        <f t="shared" si="6"/>
        <v>0</v>
      </c>
      <c r="F169" s="1722">
        <f t="shared" si="6"/>
        <v>0</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422082</v>
      </c>
      <c r="D170" s="1715">
        <f t="shared" si="7"/>
        <v>0</v>
      </c>
      <c r="E170" s="1715">
        <f t="shared" si="7"/>
        <v>0</v>
      </c>
      <c r="F170" s="1715">
        <f t="shared" si="7"/>
        <v>0</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8" t="s">
        <v>1492</v>
      </c>
      <c r="B172" s="2149"/>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2" t="s">
        <v>1665</v>
      </c>
      <c r="B175" s="2153"/>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6" t="s">
        <v>1664</v>
      </c>
      <c r="B176" s="2157"/>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4" t="s">
        <v>785</v>
      </c>
      <c r="B181" s="2155"/>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0" t="s">
        <v>1803</v>
      </c>
      <c r="B182" s="2151"/>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0</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v>216030</v>
      </c>
      <c r="D220" s="466"/>
      <c r="E220" s="468"/>
      <c r="F220" s="468"/>
      <c r="G220" s="466"/>
      <c r="H220" s="468"/>
      <c r="I220" s="468"/>
      <c r="J220" s="468"/>
      <c r="K220" s="468"/>
    </row>
    <row r="221" spans="1:11" ht="12.75" customHeight="1" thickBot="1" x14ac:dyDescent="0.25">
      <c r="A221" s="1723" t="s">
        <v>1085</v>
      </c>
      <c r="B221" s="1724"/>
      <c r="C221" s="1707">
        <f>SUM(C219:C220)</f>
        <v>216030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216030</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216030</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667901</v>
      </c>
      <c r="D268" s="1715">
        <f t="shared" si="12"/>
        <v>8302</v>
      </c>
      <c r="E268" s="1715">
        <f t="shared" si="12"/>
        <v>0</v>
      </c>
      <c r="F268" s="1715">
        <f t="shared" si="12"/>
        <v>0</v>
      </c>
      <c r="G268" s="1715">
        <f t="shared" si="12"/>
        <v>0</v>
      </c>
      <c r="H268" s="1715">
        <f t="shared" si="12"/>
        <v>0</v>
      </c>
      <c r="I268" s="1715">
        <f t="shared" si="12"/>
        <v>0</v>
      </c>
      <c r="J268" s="1715">
        <f t="shared" si="12"/>
        <v>0</v>
      </c>
      <c r="K268" s="1702">
        <f t="shared" si="12"/>
        <v>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55" firstPageNumber="9" fitToHeight="0"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368"/>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6"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8"/>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4" t="s">
        <v>297</v>
      </c>
      <c r="B3" s="2165"/>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c r="D5" s="466"/>
      <c r="E5" s="466"/>
      <c r="F5" s="466"/>
      <c r="G5" s="466"/>
      <c r="H5" s="466"/>
      <c r="I5" s="467"/>
      <c r="J5" s="467"/>
      <c r="K5" s="1671">
        <f>SUM(C5:J5)</f>
        <v>0</v>
      </c>
      <c r="L5" s="466"/>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c r="D8" s="466"/>
      <c r="E8" s="466"/>
      <c r="F8" s="466"/>
      <c r="G8" s="466"/>
      <c r="H8" s="466"/>
      <c r="I8" s="467"/>
      <c r="J8" s="467"/>
      <c r="K8" s="1671">
        <f t="shared" si="0"/>
        <v>0</v>
      </c>
      <c r="L8" s="466"/>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c r="D10" s="466"/>
      <c r="E10" s="466"/>
      <c r="F10" s="466"/>
      <c r="G10" s="466"/>
      <c r="H10" s="466"/>
      <c r="I10" s="467"/>
      <c r="J10" s="467"/>
      <c r="K10" s="1671">
        <f t="shared" si="0"/>
        <v>0</v>
      </c>
      <c r="L10" s="466"/>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21925</v>
      </c>
      <c r="D13" s="466">
        <v>1659</v>
      </c>
      <c r="E13" s="466">
        <v>38996</v>
      </c>
      <c r="F13" s="466">
        <v>144835</v>
      </c>
      <c r="G13" s="466"/>
      <c r="H13" s="466">
        <v>1903</v>
      </c>
      <c r="I13" s="467">
        <v>90736</v>
      </c>
      <c r="J13" s="467"/>
      <c r="K13" s="1671">
        <f t="shared" si="0"/>
        <v>300054</v>
      </c>
      <c r="L13" s="466">
        <v>151468</v>
      </c>
    </row>
    <row r="14" spans="1:14" x14ac:dyDescent="0.2">
      <c r="A14" s="1504" t="s">
        <v>963</v>
      </c>
      <c r="B14" s="614">
        <v>1500</v>
      </c>
      <c r="C14" s="466"/>
      <c r="D14" s="466"/>
      <c r="E14" s="466"/>
      <c r="F14" s="466"/>
      <c r="G14" s="466"/>
      <c r="H14" s="466"/>
      <c r="I14" s="467"/>
      <c r="J14" s="467"/>
      <c r="K14" s="1671">
        <f t="shared" si="0"/>
        <v>0</v>
      </c>
      <c r="L14" s="466"/>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21925</v>
      </c>
      <c r="D33" s="1670">
        <f t="shared" ref="D33:L33" si="1">SUM(D5:D32)</f>
        <v>1659</v>
      </c>
      <c r="E33" s="1670">
        <f t="shared" si="1"/>
        <v>38996</v>
      </c>
      <c r="F33" s="1670">
        <f t="shared" si="1"/>
        <v>144835</v>
      </c>
      <c r="G33" s="1670">
        <f t="shared" si="1"/>
        <v>0</v>
      </c>
      <c r="H33" s="1670">
        <f t="shared" si="1"/>
        <v>1903</v>
      </c>
      <c r="I33" s="1670">
        <f t="shared" si="1"/>
        <v>90736</v>
      </c>
      <c r="J33" s="1670">
        <f t="shared" si="1"/>
        <v>0</v>
      </c>
      <c r="K33" s="1670">
        <f t="shared" si="1"/>
        <v>300054</v>
      </c>
      <c r="L33" s="1670">
        <f t="shared" si="1"/>
        <v>151468</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v>11317</v>
      </c>
      <c r="D37" s="466">
        <v>3568</v>
      </c>
      <c r="E37" s="466">
        <v>43119</v>
      </c>
      <c r="F37" s="466">
        <v>3476</v>
      </c>
      <c r="G37" s="466"/>
      <c r="H37" s="466"/>
      <c r="I37" s="467"/>
      <c r="J37" s="467"/>
      <c r="K37" s="1671">
        <f t="shared" si="2"/>
        <v>61480</v>
      </c>
      <c r="L37" s="466">
        <v>88009</v>
      </c>
    </row>
    <row r="38" spans="1:14" x14ac:dyDescent="0.2">
      <c r="A38" s="1504" t="s">
        <v>198</v>
      </c>
      <c r="B38" s="614">
        <v>2130</v>
      </c>
      <c r="C38" s="466"/>
      <c r="D38" s="466"/>
      <c r="E38" s="466"/>
      <c r="F38" s="466"/>
      <c r="G38" s="466"/>
      <c r="H38" s="466"/>
      <c r="I38" s="467"/>
      <c r="J38" s="467"/>
      <c r="K38" s="1671">
        <f t="shared" si="2"/>
        <v>0</v>
      </c>
      <c r="L38" s="466"/>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11317</v>
      </c>
      <c r="D42" s="1670">
        <f t="shared" ref="D42:L42" si="3">SUM(D36:D41)</f>
        <v>3568</v>
      </c>
      <c r="E42" s="1670">
        <f t="shared" si="3"/>
        <v>43119</v>
      </c>
      <c r="F42" s="1670">
        <f t="shared" si="3"/>
        <v>3476</v>
      </c>
      <c r="G42" s="1670">
        <f t="shared" si="3"/>
        <v>0</v>
      </c>
      <c r="H42" s="1670">
        <f t="shared" si="3"/>
        <v>0</v>
      </c>
      <c r="I42" s="1670">
        <f t="shared" si="3"/>
        <v>0</v>
      </c>
      <c r="J42" s="1670">
        <f t="shared" si="3"/>
        <v>0</v>
      </c>
      <c r="K42" s="1670">
        <f t="shared" si="3"/>
        <v>61480</v>
      </c>
      <c r="L42" s="1670">
        <f t="shared" si="3"/>
        <v>88009</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156011</v>
      </c>
      <c r="D44" s="481">
        <v>39747</v>
      </c>
      <c r="E44" s="481">
        <v>18561</v>
      </c>
      <c r="F44" s="481">
        <v>2983</v>
      </c>
      <c r="G44" s="481"/>
      <c r="H44" s="481"/>
      <c r="I44" s="467"/>
      <c r="J44" s="467"/>
      <c r="K44" s="1672">
        <f>SUM(C44:J44)</f>
        <v>217302</v>
      </c>
      <c r="L44" s="481">
        <v>219357</v>
      </c>
    </row>
    <row r="45" spans="1:14" x14ac:dyDescent="0.2">
      <c r="A45" s="1504" t="s">
        <v>815</v>
      </c>
      <c r="B45" s="614">
        <v>2220</v>
      </c>
      <c r="C45" s="466"/>
      <c r="D45" s="466"/>
      <c r="E45" s="466"/>
      <c r="F45" s="466"/>
      <c r="G45" s="466"/>
      <c r="H45" s="466"/>
      <c r="I45" s="467"/>
      <c r="J45" s="467"/>
      <c r="K45" s="1672">
        <f>SUM(C45:J45)</f>
        <v>0</v>
      </c>
      <c r="L45" s="466"/>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156011</v>
      </c>
      <c r="D47" s="1670">
        <f t="shared" ref="D47:K47" si="4">SUM(D44:D46)</f>
        <v>39747</v>
      </c>
      <c r="E47" s="1670">
        <f t="shared" si="4"/>
        <v>18561</v>
      </c>
      <c r="F47" s="1670">
        <f t="shared" si="4"/>
        <v>2983</v>
      </c>
      <c r="G47" s="1670">
        <f t="shared" si="4"/>
        <v>0</v>
      </c>
      <c r="H47" s="1670">
        <f t="shared" si="4"/>
        <v>0</v>
      </c>
      <c r="I47" s="1670">
        <f t="shared" si="4"/>
        <v>0</v>
      </c>
      <c r="J47" s="1670">
        <f t="shared" si="4"/>
        <v>0</v>
      </c>
      <c r="K47" s="1670">
        <f t="shared" si="4"/>
        <v>217302</v>
      </c>
      <c r="L47" s="1670">
        <f>SUM(L44:L46)</f>
        <v>219357</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56086</v>
      </c>
      <c r="D49" s="481">
        <v>11212</v>
      </c>
      <c r="E49" s="481">
        <v>1005</v>
      </c>
      <c r="F49" s="481">
        <v>217</v>
      </c>
      <c r="G49" s="481"/>
      <c r="H49" s="481"/>
      <c r="I49" s="467"/>
      <c r="J49" s="467"/>
      <c r="K49" s="1672">
        <f>SUM(C49:J49)</f>
        <v>68520</v>
      </c>
      <c r="L49" s="481">
        <v>69352</v>
      </c>
    </row>
    <row r="50" spans="1:14" x14ac:dyDescent="0.2">
      <c r="A50" s="1504" t="s">
        <v>818</v>
      </c>
      <c r="B50" s="614">
        <v>2320</v>
      </c>
      <c r="C50" s="466"/>
      <c r="D50" s="466"/>
      <c r="E50" s="466"/>
      <c r="F50" s="466"/>
      <c r="G50" s="466"/>
      <c r="H50" s="466"/>
      <c r="I50" s="467"/>
      <c r="J50" s="467"/>
      <c r="K50" s="1672">
        <f>SUM(C50:J50)</f>
        <v>0</v>
      </c>
      <c r="L50" s="466"/>
    </row>
    <row r="51" spans="1:14" x14ac:dyDescent="0.2">
      <c r="A51" s="1504" t="s">
        <v>42</v>
      </c>
      <c r="B51" s="614">
        <v>2330</v>
      </c>
      <c r="C51" s="466">
        <v>7527</v>
      </c>
      <c r="D51" s="466">
        <v>1857</v>
      </c>
      <c r="E51" s="466">
        <v>859</v>
      </c>
      <c r="F51" s="466"/>
      <c r="G51" s="466"/>
      <c r="H51" s="466"/>
      <c r="I51" s="467"/>
      <c r="J51" s="467"/>
      <c r="K51" s="1672">
        <f>SUM(C51:J51)</f>
        <v>10243</v>
      </c>
      <c r="L51" s="466">
        <v>13691</v>
      </c>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63613</v>
      </c>
      <c r="D53" s="1670">
        <f t="shared" ref="D53:L53" si="5">SUM(D49:D52)</f>
        <v>13069</v>
      </c>
      <c r="E53" s="1670">
        <f t="shared" si="5"/>
        <v>1864</v>
      </c>
      <c r="F53" s="1670">
        <f t="shared" si="5"/>
        <v>217</v>
      </c>
      <c r="G53" s="1670">
        <f t="shared" si="5"/>
        <v>0</v>
      </c>
      <c r="H53" s="1670">
        <f t="shared" si="5"/>
        <v>0</v>
      </c>
      <c r="I53" s="1670">
        <f t="shared" si="5"/>
        <v>0</v>
      </c>
      <c r="J53" s="1670">
        <f t="shared" si="5"/>
        <v>0</v>
      </c>
      <c r="K53" s="1670">
        <f t="shared" si="5"/>
        <v>78763</v>
      </c>
      <c r="L53" s="1670">
        <f t="shared" si="5"/>
        <v>83043</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c r="D55" s="481"/>
      <c r="E55" s="481"/>
      <c r="F55" s="481"/>
      <c r="G55" s="481"/>
      <c r="H55" s="481"/>
      <c r="I55" s="467"/>
      <c r="J55" s="467"/>
      <c r="K55" s="1672">
        <f>SUM(C55:J55)</f>
        <v>0</v>
      </c>
      <c r="L55" s="481"/>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0</v>
      </c>
      <c r="D57" s="1674">
        <f t="shared" ref="D57:K57" si="6">SUM(D55:D56)</f>
        <v>0</v>
      </c>
      <c r="E57" s="1674">
        <f t="shared" si="6"/>
        <v>0</v>
      </c>
      <c r="F57" s="1674">
        <f t="shared" si="6"/>
        <v>0</v>
      </c>
      <c r="G57" s="1674">
        <f t="shared" si="6"/>
        <v>0</v>
      </c>
      <c r="H57" s="1674">
        <f t="shared" si="6"/>
        <v>0</v>
      </c>
      <c r="I57" s="1674">
        <f t="shared" si="6"/>
        <v>0</v>
      </c>
      <c r="J57" s="1674">
        <f t="shared" si="6"/>
        <v>0</v>
      </c>
      <c r="K57" s="1674">
        <f t="shared" si="6"/>
        <v>0</v>
      </c>
      <c r="L57" s="1670">
        <f>SUM(L55:L56)</f>
        <v>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c r="D60" s="466"/>
      <c r="E60" s="466">
        <v>6350</v>
      </c>
      <c r="F60" s="466"/>
      <c r="G60" s="466"/>
      <c r="H60" s="466"/>
      <c r="I60" s="467"/>
      <c r="J60" s="467"/>
      <c r="K60" s="1672">
        <f t="shared" si="7"/>
        <v>6350</v>
      </c>
      <c r="L60" s="466">
        <v>6350</v>
      </c>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c r="D63" s="466"/>
      <c r="E63" s="466"/>
      <c r="F63" s="466"/>
      <c r="G63" s="466"/>
      <c r="H63" s="466"/>
      <c r="I63" s="467"/>
      <c r="J63" s="467"/>
      <c r="K63" s="1672">
        <f t="shared" si="7"/>
        <v>0</v>
      </c>
      <c r="L63" s="466"/>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0</v>
      </c>
      <c r="D65" s="1670">
        <f t="shared" ref="D65:L65" si="8">SUM(D59:D64)</f>
        <v>0</v>
      </c>
      <c r="E65" s="1670">
        <f t="shared" si="8"/>
        <v>6350</v>
      </c>
      <c r="F65" s="1670">
        <f t="shared" si="8"/>
        <v>0</v>
      </c>
      <c r="G65" s="1670">
        <f t="shared" si="8"/>
        <v>0</v>
      </c>
      <c r="H65" s="1670">
        <f t="shared" si="8"/>
        <v>0</v>
      </c>
      <c r="I65" s="1670">
        <f t="shared" si="8"/>
        <v>0</v>
      </c>
      <c r="J65" s="1670">
        <f t="shared" si="8"/>
        <v>0</v>
      </c>
      <c r="K65" s="1670">
        <f t="shared" si="8"/>
        <v>6350</v>
      </c>
      <c r="L65" s="1670">
        <f t="shared" si="8"/>
        <v>6350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230941</v>
      </c>
      <c r="D74" s="1677">
        <f t="shared" ref="D74:K74" si="10">SUM(D42,D47,D53,D57,D65,D72,D73)</f>
        <v>56384</v>
      </c>
      <c r="E74" s="1677">
        <f t="shared" si="10"/>
        <v>69894</v>
      </c>
      <c r="F74" s="1677">
        <f t="shared" si="10"/>
        <v>6676</v>
      </c>
      <c r="G74" s="1677">
        <f t="shared" si="10"/>
        <v>0</v>
      </c>
      <c r="H74" s="1677">
        <f t="shared" si="10"/>
        <v>0</v>
      </c>
      <c r="I74" s="1677">
        <f t="shared" si="10"/>
        <v>0</v>
      </c>
      <c r="J74" s="1677">
        <f t="shared" si="10"/>
        <v>0</v>
      </c>
      <c r="K74" s="1677">
        <f t="shared" si="10"/>
        <v>363895</v>
      </c>
      <c r="L74" s="1677">
        <f>SUM(L42,L47,L53,L57,L65,L72,L73)</f>
        <v>396759</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c r="I79" s="477"/>
      <c r="J79" s="477"/>
      <c r="K79" s="1671">
        <f t="shared" si="11"/>
        <v>0</v>
      </c>
      <c r="L79" s="466"/>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v>4410</v>
      </c>
      <c r="F81" s="616"/>
      <c r="G81" s="616"/>
      <c r="H81" s="466">
        <v>95000</v>
      </c>
      <c r="I81" s="477"/>
      <c r="J81" s="477"/>
      <c r="K81" s="1671">
        <f t="shared" si="11"/>
        <v>99410</v>
      </c>
      <c r="L81" s="466">
        <v>51500</v>
      </c>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4410</v>
      </c>
      <c r="F84" s="616"/>
      <c r="G84" s="616"/>
      <c r="H84" s="1670">
        <f>SUM(H78:H83)</f>
        <v>95000</v>
      </c>
      <c r="I84" s="477"/>
      <c r="J84" s="477"/>
      <c r="K84" s="1670">
        <f>SUM(K78:K83)</f>
        <v>99410</v>
      </c>
      <c r="L84" s="1670">
        <f>SUM(L78:L83)</f>
        <v>51500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4410</v>
      </c>
      <c r="F102" s="616"/>
      <c r="G102" s="616"/>
      <c r="H102" s="1677">
        <f>SUM(H84,H92,H100,H101)</f>
        <v>95000</v>
      </c>
      <c r="I102" s="477"/>
      <c r="J102" s="477"/>
      <c r="K102" s="1677">
        <f>SUM(K84,K92,K100,K101)</f>
        <v>99410</v>
      </c>
      <c r="L102" s="1677">
        <f>SUM(L84,L92,L100,L101)</f>
        <v>51500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v>500</v>
      </c>
      <c r="M113" s="613"/>
      <c r="N113" s="613"/>
    </row>
    <row r="114" spans="1:14" ht="12.75" customHeight="1" thickTop="1" thickBot="1" x14ac:dyDescent="0.25">
      <c r="A114" s="1668" t="s">
        <v>48</v>
      </c>
      <c r="B114" s="1682"/>
      <c r="C114" s="1670">
        <f>SUM(C33,C74,C75,C102,C112,C113)</f>
        <v>252866</v>
      </c>
      <c r="D114" s="1670">
        <f t="shared" ref="D114:K114" si="13">SUM(D33,D74,D75,D102,D112,D113)</f>
        <v>58043</v>
      </c>
      <c r="E114" s="1670">
        <f t="shared" si="13"/>
        <v>113300</v>
      </c>
      <c r="F114" s="1670">
        <f t="shared" si="13"/>
        <v>151511</v>
      </c>
      <c r="G114" s="1670">
        <f t="shared" si="13"/>
        <v>0</v>
      </c>
      <c r="H114" s="1670">
        <f>SUM(H33,H74,H75,H102,H112,H113)</f>
        <v>96903</v>
      </c>
      <c r="I114" s="1670">
        <f t="shared" si="13"/>
        <v>90736</v>
      </c>
      <c r="J114" s="1670">
        <f t="shared" si="13"/>
        <v>0</v>
      </c>
      <c r="K114" s="1670">
        <f t="shared" si="13"/>
        <v>763359</v>
      </c>
      <c r="L114" s="1670">
        <f>SUM(L33,L74,L75,L102,L112,L113)</f>
        <v>600227</v>
      </c>
    </row>
    <row r="115" spans="1:14" ht="13.5" thickTop="1" x14ac:dyDescent="0.2">
      <c r="A115" s="2183" t="s">
        <v>996</v>
      </c>
      <c r="B115" s="2184"/>
      <c r="C115" s="618"/>
      <c r="D115" s="618"/>
      <c r="E115" s="618"/>
      <c r="F115" s="618"/>
      <c r="G115" s="618"/>
      <c r="H115" s="618"/>
      <c r="I115" s="618"/>
      <c r="J115" s="618"/>
      <c r="K115" s="1684">
        <f>'Revenues 9-14'!C268-'Expenditures 15-22'!K114</f>
        <v>-95458</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1" t="s">
        <v>296</v>
      </c>
      <c r="B117" s="2162"/>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c r="D124" s="466"/>
      <c r="E124" s="466">
        <v>4905</v>
      </c>
      <c r="F124" s="466">
        <v>293</v>
      </c>
      <c r="G124" s="466"/>
      <c r="H124" s="466"/>
      <c r="I124" s="467"/>
      <c r="J124" s="467"/>
      <c r="K124" s="1670">
        <f>SUM(C124:J124)</f>
        <v>5198</v>
      </c>
      <c r="L124" s="466">
        <v>7250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0</v>
      </c>
      <c r="D127" s="1670">
        <f t="shared" ref="D127:L127" si="14">SUM(D122:D126)</f>
        <v>0</v>
      </c>
      <c r="E127" s="1670">
        <f t="shared" si="14"/>
        <v>4905</v>
      </c>
      <c r="F127" s="1670">
        <f t="shared" si="14"/>
        <v>293</v>
      </c>
      <c r="G127" s="1670">
        <f t="shared" si="14"/>
        <v>0</v>
      </c>
      <c r="H127" s="1670">
        <f t="shared" si="14"/>
        <v>0</v>
      </c>
      <c r="I127" s="1670">
        <f t="shared" si="14"/>
        <v>0</v>
      </c>
      <c r="J127" s="1670">
        <f t="shared" si="14"/>
        <v>0</v>
      </c>
      <c r="K127" s="1670">
        <f t="shared" si="14"/>
        <v>5198</v>
      </c>
      <c r="L127" s="1670">
        <f t="shared" si="14"/>
        <v>7250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0</v>
      </c>
      <c r="D129" s="1677">
        <f t="shared" ref="D129:L129" si="15">SUM(D120,D127,D128)</f>
        <v>0</v>
      </c>
      <c r="E129" s="1677">
        <f t="shared" si="15"/>
        <v>4905</v>
      </c>
      <c r="F129" s="1677">
        <f t="shared" si="15"/>
        <v>293</v>
      </c>
      <c r="G129" s="1677">
        <f t="shared" si="15"/>
        <v>0</v>
      </c>
      <c r="H129" s="1677">
        <f t="shared" si="15"/>
        <v>0</v>
      </c>
      <c r="I129" s="1677">
        <f t="shared" si="15"/>
        <v>0</v>
      </c>
      <c r="J129" s="1677">
        <f t="shared" si="15"/>
        <v>0</v>
      </c>
      <c r="K129" s="1677">
        <f t="shared" si="15"/>
        <v>5198</v>
      </c>
      <c r="L129" s="1677">
        <f t="shared" si="15"/>
        <v>7250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v>1000</v>
      </c>
    </row>
    <row r="151" spans="1:14" ht="12.75" customHeight="1" thickTop="1" thickBot="1" x14ac:dyDescent="0.25">
      <c r="A151" s="2173" t="s">
        <v>620</v>
      </c>
      <c r="B151" s="2155"/>
      <c r="C151" s="1670">
        <f>SUM(C129,C130,C139,C149,C150)</f>
        <v>0</v>
      </c>
      <c r="D151" s="1670">
        <f t="shared" ref="D151:K151" si="16">SUM(D129,D130,D139,D149,D150)</f>
        <v>0</v>
      </c>
      <c r="E151" s="1670">
        <f t="shared" si="16"/>
        <v>4905</v>
      </c>
      <c r="F151" s="1670">
        <f t="shared" si="16"/>
        <v>293</v>
      </c>
      <c r="G151" s="1670">
        <f t="shared" si="16"/>
        <v>0</v>
      </c>
      <c r="H151" s="1670">
        <f t="shared" si="16"/>
        <v>0</v>
      </c>
      <c r="I151" s="1670">
        <f t="shared" si="16"/>
        <v>0</v>
      </c>
      <c r="J151" s="1670">
        <f t="shared" si="16"/>
        <v>0</v>
      </c>
      <c r="K151" s="1670">
        <f t="shared" si="16"/>
        <v>5198</v>
      </c>
      <c r="L151" s="1670">
        <f>SUM(L129,L130,L139,L149,L150)</f>
        <v>8250</v>
      </c>
    </row>
    <row r="152" spans="1:14" ht="12.75" customHeight="1" thickTop="1" x14ac:dyDescent="0.2">
      <c r="A152" s="2176" t="s">
        <v>1178</v>
      </c>
      <c r="B152" s="2177"/>
      <c r="C152" s="618"/>
      <c r="D152" s="618"/>
      <c r="E152" s="618"/>
      <c r="F152" s="618"/>
      <c r="G152" s="618"/>
      <c r="H152" s="618"/>
      <c r="I152" s="618"/>
      <c r="J152" s="616"/>
      <c r="K152" s="1684">
        <f>'Revenues 9-14'!D268-'Expenditures 15-22'!K151</f>
        <v>3104</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1" t="s">
        <v>621</v>
      </c>
      <c r="B154" s="2163"/>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c r="I169" s="616"/>
      <c r="J169" s="616"/>
      <c r="K169" s="1671">
        <f>SUM(C169:H169)</f>
        <v>0</v>
      </c>
      <c r="L169" s="656"/>
    </row>
    <row r="170" spans="1:14" ht="33.75" customHeight="1" x14ac:dyDescent="0.2">
      <c r="A170" s="669" t="s">
        <v>1670</v>
      </c>
      <c r="B170" s="671" t="s">
        <v>31</v>
      </c>
      <c r="C170" s="616"/>
      <c r="D170" s="616"/>
      <c r="E170" s="616"/>
      <c r="F170" s="616"/>
      <c r="G170" s="616"/>
      <c r="H170" s="569"/>
      <c r="I170" s="616"/>
      <c r="J170" s="616"/>
      <c r="K170" s="1671">
        <f>SUM(C170:J170)</f>
        <v>0</v>
      </c>
      <c r="L170" s="569"/>
    </row>
    <row r="171" spans="1:14" ht="15.75" customHeight="1" x14ac:dyDescent="0.2">
      <c r="A171" s="621" t="s">
        <v>766</v>
      </c>
      <c r="B171" s="672" t="s">
        <v>84</v>
      </c>
      <c r="C171" s="616"/>
      <c r="D171" s="616"/>
      <c r="E171" s="466"/>
      <c r="F171" s="616"/>
      <c r="G171" s="616"/>
      <c r="H171" s="569"/>
      <c r="I171" s="477"/>
      <c r="J171" s="616"/>
      <c r="K171" s="1671">
        <f>SUM(C171:J171)</f>
        <v>0</v>
      </c>
      <c r="L171" s="569"/>
    </row>
    <row r="172" spans="1:14" ht="12.75" customHeight="1" thickBot="1" x14ac:dyDescent="0.25">
      <c r="A172" s="1668" t="s">
        <v>638</v>
      </c>
      <c r="B172" s="1669" t="s">
        <v>492</v>
      </c>
      <c r="C172" s="616"/>
      <c r="D172" s="616"/>
      <c r="E172" s="1677">
        <f>SUM(E168,E169,E170,E171)</f>
        <v>0</v>
      </c>
      <c r="F172" s="616"/>
      <c r="G172" s="616"/>
      <c r="H172" s="1677">
        <f>SUM(H168,H169,H170,H171)</f>
        <v>0</v>
      </c>
      <c r="I172" s="638"/>
      <c r="J172" s="616"/>
      <c r="K172" s="1677">
        <f>SUM(K168,K169,K170,K171)</f>
        <v>0</v>
      </c>
      <c r="L172" s="1677">
        <f>SUM(L168,L169,L170,L171)</f>
        <v>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0</v>
      </c>
      <c r="I174" s="638"/>
      <c r="J174" s="616"/>
      <c r="K174" s="1677">
        <f>SUM(K160,K172,K173)</f>
        <v>0</v>
      </c>
      <c r="L174" s="1677">
        <f>SUM(L160,L172,L173)</f>
        <v>0</v>
      </c>
    </row>
    <row r="175" spans="1:14" ht="13.5" thickTop="1" x14ac:dyDescent="0.2">
      <c r="A175" s="2183" t="s">
        <v>996</v>
      </c>
      <c r="B175" s="2184"/>
      <c r="C175" s="616"/>
      <c r="D175" s="616"/>
      <c r="E175" s="616"/>
      <c r="F175" s="616"/>
      <c r="G175" s="616"/>
      <c r="H175" s="618"/>
      <c r="I175" s="616"/>
      <c r="J175" s="616"/>
      <c r="K175" s="1684">
        <f>'Revenues 9-14'!E268-'Expenditures 15-22'!K174</f>
        <v>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c r="D182" s="466"/>
      <c r="E182" s="466"/>
      <c r="F182" s="466"/>
      <c r="G182" s="466"/>
      <c r="H182" s="466"/>
      <c r="I182" s="467"/>
      <c r="J182" s="467"/>
      <c r="K182" s="1671">
        <f>SUM(C182:J182)</f>
        <v>0</v>
      </c>
      <c r="L182" s="466"/>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0</v>
      </c>
      <c r="D184" s="1677">
        <f t="shared" ref="D184:J184" si="17">SUM(D180,D182,D183)</f>
        <v>0</v>
      </c>
      <c r="E184" s="1677">
        <f t="shared" si="17"/>
        <v>0</v>
      </c>
      <c r="F184" s="1677">
        <f t="shared" si="17"/>
        <v>0</v>
      </c>
      <c r="G184" s="1677">
        <f t="shared" si="17"/>
        <v>0</v>
      </c>
      <c r="H184" s="1677">
        <f t="shared" si="17"/>
        <v>0</v>
      </c>
      <c r="I184" s="1677">
        <f t="shared" si="17"/>
        <v>0</v>
      </c>
      <c r="J184" s="1677">
        <f t="shared" si="17"/>
        <v>0</v>
      </c>
      <c r="K184" s="1677">
        <f>SUM(K180,K182,K183)</f>
        <v>0</v>
      </c>
      <c r="L184" s="1677">
        <f>SUM(L180, L182:L183)</f>
        <v>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0</v>
      </c>
      <c r="D210" s="1670">
        <f>SUM(D184,D185)</f>
        <v>0</v>
      </c>
      <c r="E210" s="1670">
        <f>SUM(E184,E185,E196)</f>
        <v>0</v>
      </c>
      <c r="F210" s="1670">
        <f>SUM(F184,F185)</f>
        <v>0</v>
      </c>
      <c r="G210" s="1670">
        <f>SUM(G184,G185)</f>
        <v>0</v>
      </c>
      <c r="H210" s="1670">
        <f>SUM(H184,H185,H196,H208,H209)</f>
        <v>0</v>
      </c>
      <c r="I210" s="1670">
        <f>SUM(I184,I185)</f>
        <v>0</v>
      </c>
      <c r="J210" s="1670">
        <f>SUM(J184,J185)</f>
        <v>0</v>
      </c>
      <c r="K210" s="1671">
        <f>SUM(K184,K185,K196,K208,K209)</f>
        <v>0</v>
      </c>
      <c r="L210" s="1670">
        <f>SUM(L184,L185,L196,L208,L209)</f>
        <v>0</v>
      </c>
    </row>
    <row r="211" spans="1:14" ht="13.5" thickTop="1" x14ac:dyDescent="0.2">
      <c r="A211" s="2183" t="s">
        <v>996</v>
      </c>
      <c r="B211" s="2184"/>
      <c r="C211" s="618"/>
      <c r="D211" s="618"/>
      <c r="E211" s="618"/>
      <c r="F211" s="618"/>
      <c r="G211" s="618"/>
      <c r="H211" s="618"/>
      <c r="I211" s="616"/>
      <c r="J211" s="616"/>
      <c r="K211" s="1684">
        <f>'Revenues 9-14'!F268-'Expenditures 15-22'!K210</f>
        <v>0</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8" t="s">
        <v>965</v>
      </c>
      <c r="B213" s="2179"/>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c r="E215" s="616"/>
      <c r="F215" s="616"/>
      <c r="G215" s="616"/>
      <c r="H215" s="616"/>
      <c r="I215" s="616"/>
      <c r="J215" s="616"/>
      <c r="K215" s="1671">
        <f>D215</f>
        <v>0</v>
      </c>
      <c r="L215" s="466"/>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c r="E217" s="616"/>
      <c r="F217" s="616"/>
      <c r="G217" s="616"/>
      <c r="H217" s="616"/>
      <c r="I217" s="616"/>
      <c r="J217" s="616"/>
      <c r="K217" s="1671">
        <f t="shared" si="19"/>
        <v>0</v>
      </c>
      <c r="L217" s="466"/>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c r="E219" s="616"/>
      <c r="F219" s="616"/>
      <c r="G219" s="616"/>
      <c r="H219" s="616"/>
      <c r="I219" s="616"/>
      <c r="J219" s="616"/>
      <c r="K219" s="1671">
        <f t="shared" si="19"/>
        <v>0</v>
      </c>
      <c r="L219" s="466"/>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c r="E223" s="616"/>
      <c r="F223" s="616"/>
      <c r="G223" s="616"/>
      <c r="H223" s="616"/>
      <c r="I223" s="616"/>
      <c r="J223" s="616"/>
      <c r="K223" s="1671">
        <f t="shared" si="19"/>
        <v>0</v>
      </c>
      <c r="L223" s="466"/>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0</v>
      </c>
      <c r="E229" s="616"/>
      <c r="F229" s="616"/>
      <c r="G229" s="616"/>
      <c r="H229" s="616"/>
      <c r="I229" s="616"/>
      <c r="J229" s="616"/>
      <c r="K229" s="1670">
        <f>SUM(K215:K228)</f>
        <v>0</v>
      </c>
      <c r="L229" s="1670">
        <f>SUM(L215:L228)</f>
        <v>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0</v>
      </c>
      <c r="E238" s="616"/>
      <c r="F238" s="616"/>
      <c r="G238" s="616"/>
      <c r="H238" s="616"/>
      <c r="I238" s="616"/>
      <c r="J238" s="616"/>
      <c r="K238" s="1670">
        <f>SUM(K232:K237)</f>
        <v>0</v>
      </c>
      <c r="L238" s="1670">
        <f>SUM(L232:L237)</f>
        <v>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0</v>
      </c>
      <c r="E243" s="616"/>
      <c r="F243" s="616"/>
      <c r="G243" s="616"/>
      <c r="H243" s="616"/>
      <c r="I243" s="616"/>
      <c r="J243" s="616"/>
      <c r="K243" s="1670">
        <f>SUM(K240:K242)</f>
        <v>0</v>
      </c>
      <c r="L243" s="1670">
        <f>SUM(L240:L242)</f>
        <v>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c r="E246" s="616"/>
      <c r="F246" s="616"/>
      <c r="G246" s="616"/>
      <c r="H246" s="616"/>
      <c r="I246" s="616"/>
      <c r="J246" s="616"/>
      <c r="K246" s="1672">
        <f t="shared" ref="K246:K256" si="21">D246</f>
        <v>0</v>
      </c>
      <c r="L246" s="466"/>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0</v>
      </c>
      <c r="E257" s="616"/>
      <c r="F257" s="616"/>
      <c r="G257" s="616"/>
      <c r="H257" s="616"/>
      <c r="I257" s="616"/>
      <c r="J257" s="616"/>
      <c r="K257" s="1670">
        <f>SUM(K245:K256)</f>
        <v>0</v>
      </c>
      <c r="L257" s="1670">
        <f>SUM(L245:L256)</f>
        <v>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c r="E259" s="616"/>
      <c r="F259" s="616"/>
      <c r="G259" s="616"/>
      <c r="H259" s="616"/>
      <c r="I259" s="616"/>
      <c r="J259" s="616"/>
      <c r="K259" s="1672">
        <f>D259</f>
        <v>0</v>
      </c>
      <c r="L259" s="481"/>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0</v>
      </c>
      <c r="E261" s="616"/>
      <c r="F261" s="616"/>
      <c r="G261" s="616"/>
      <c r="H261" s="616"/>
      <c r="I261" s="616"/>
      <c r="J261" s="616"/>
      <c r="K261" s="1670">
        <f>SUM(K259:K260)</f>
        <v>0</v>
      </c>
      <c r="L261" s="1670">
        <f>SUM(L259:L260)</f>
        <v>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c r="E264" s="616"/>
      <c r="F264" s="616"/>
      <c r="G264" s="616"/>
      <c r="H264" s="616"/>
      <c r="I264" s="616"/>
      <c r="J264" s="616"/>
      <c r="K264" s="1672">
        <f t="shared" ref="K264:K269" si="22">D264</f>
        <v>0</v>
      </c>
      <c r="L264" s="466"/>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c r="E266" s="616"/>
      <c r="F266" s="616"/>
      <c r="G266" s="616"/>
      <c r="H266" s="616"/>
      <c r="I266" s="616"/>
      <c r="J266" s="616"/>
      <c r="K266" s="1672">
        <f t="shared" si="22"/>
        <v>0</v>
      </c>
      <c r="L266" s="466"/>
    </row>
    <row r="267" spans="1:14" x14ac:dyDescent="0.2">
      <c r="A267" s="1504" t="s">
        <v>953</v>
      </c>
      <c r="B267" s="614">
        <v>2550</v>
      </c>
      <c r="C267" s="616"/>
      <c r="D267" s="466"/>
      <c r="E267" s="616"/>
      <c r="F267" s="616"/>
      <c r="G267" s="616"/>
      <c r="H267" s="616"/>
      <c r="I267" s="616"/>
      <c r="J267" s="616"/>
      <c r="K267" s="1672">
        <f t="shared" si="22"/>
        <v>0</v>
      </c>
      <c r="L267" s="466"/>
    </row>
    <row r="268" spans="1:14" x14ac:dyDescent="0.2">
      <c r="A268" s="1504" t="s">
        <v>100</v>
      </c>
      <c r="B268" s="614">
        <v>2560</v>
      </c>
      <c r="C268" s="616"/>
      <c r="D268" s="466"/>
      <c r="E268" s="616"/>
      <c r="F268" s="616"/>
      <c r="G268" s="616"/>
      <c r="H268" s="616"/>
      <c r="I268" s="616"/>
      <c r="J268" s="616"/>
      <c r="K268" s="1672">
        <f t="shared" si="22"/>
        <v>0</v>
      </c>
      <c r="L268" s="466"/>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0</v>
      </c>
      <c r="E270" s="616"/>
      <c r="F270" s="616"/>
      <c r="G270" s="616"/>
      <c r="H270" s="616"/>
      <c r="I270" s="616"/>
      <c r="J270" s="616"/>
      <c r="K270" s="1670">
        <f>SUM(K263:K269)</f>
        <v>0</v>
      </c>
      <c r="L270" s="1670">
        <f>SUM(L263:L269)</f>
        <v>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0</v>
      </c>
      <c r="E279" s="616"/>
      <c r="F279" s="616"/>
      <c r="G279" s="616"/>
      <c r="H279" s="616"/>
      <c r="I279" s="616"/>
      <c r="J279" s="616"/>
      <c r="K279" s="1677">
        <f>SUM(K238,K243,K257,K261,K270,K277,K278)</f>
        <v>0</v>
      </c>
      <c r="L279" s="1677">
        <f>SUM(L238,L243,L257,L261,L270,L277,L278)</f>
        <v>0</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4" t="s">
        <v>505</v>
      </c>
      <c r="B295" s="2175"/>
      <c r="C295" s="616"/>
      <c r="D295" s="1670">
        <f>SUM(D229,D279,D280,D285)</f>
        <v>0</v>
      </c>
      <c r="E295" s="616"/>
      <c r="F295" s="616"/>
      <c r="G295" s="616"/>
      <c r="H295" s="1670">
        <f>H293</f>
        <v>0</v>
      </c>
      <c r="I295" s="616"/>
      <c r="J295" s="616"/>
      <c r="K295" s="1670">
        <f>SUM(K229,K279,K280,K285,K293,K294)</f>
        <v>0</v>
      </c>
      <c r="L295" s="1670">
        <f>SUM(L229,L279,L280,L285,L293,L294)</f>
        <v>0</v>
      </c>
    </row>
    <row r="296" spans="1:14" ht="13.5" thickTop="1" x14ac:dyDescent="0.2">
      <c r="A296" s="2183" t="s">
        <v>996</v>
      </c>
      <c r="B296" s="2184"/>
      <c r="C296" s="616"/>
      <c r="D296" s="618"/>
      <c r="E296" s="616"/>
      <c r="F296" s="616"/>
      <c r="G296" s="616"/>
      <c r="H296" s="687"/>
      <c r="I296" s="616"/>
      <c r="J296" s="616"/>
      <c r="K296" s="1684">
        <f>'Revenues 9-14'!G268-'Expenditures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6" t="s">
        <v>143</v>
      </c>
      <c r="B298" s="2160"/>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1" t="s">
        <v>277</v>
      </c>
      <c r="B312" s="2172"/>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7" t="s">
        <v>996</v>
      </c>
      <c r="B313" s="2168"/>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0" t="s">
        <v>149</v>
      </c>
      <c r="B315" s="2181"/>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2" t="s">
        <v>898</v>
      </c>
      <c r="B317" s="2181"/>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c r="D325" s="467"/>
      <c r="E325" s="467"/>
      <c r="F325" s="467"/>
      <c r="G325" s="467"/>
      <c r="H325" s="467"/>
      <c r="I325" s="467"/>
      <c r="J325" s="467"/>
      <c r="K325" s="1671">
        <f t="shared" si="24"/>
        <v>0</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0</v>
      </c>
      <c r="D330" s="1670">
        <f t="shared" ref="D330:J330" si="25">SUM(D319:D329)</f>
        <v>0</v>
      </c>
      <c r="E330" s="1670">
        <f t="shared" si="25"/>
        <v>0</v>
      </c>
      <c r="F330" s="1670">
        <f t="shared" si="25"/>
        <v>0</v>
      </c>
      <c r="G330" s="1670">
        <f t="shared" si="25"/>
        <v>0</v>
      </c>
      <c r="H330" s="1670">
        <f t="shared" si="25"/>
        <v>0</v>
      </c>
      <c r="I330" s="1670">
        <f t="shared" si="25"/>
        <v>0</v>
      </c>
      <c r="J330" s="1670">
        <f t="shared" si="25"/>
        <v>0</v>
      </c>
      <c r="K330" s="1670">
        <f>SUM(K319:K329)</f>
        <v>0</v>
      </c>
      <c r="L330" s="1670">
        <f>SUM(L319:L329)</f>
        <v>0</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0</v>
      </c>
      <c r="D342" s="1670">
        <f>SUM(D330)</f>
        <v>0</v>
      </c>
      <c r="E342" s="1670">
        <f>SUM(E330)</f>
        <v>0</v>
      </c>
      <c r="F342" s="1670">
        <f>SUM(F330)</f>
        <v>0</v>
      </c>
      <c r="G342" s="1670">
        <f>SUM(G330)</f>
        <v>0</v>
      </c>
      <c r="H342" s="1670">
        <f>SUM(H330,H334,H340)</f>
        <v>0</v>
      </c>
      <c r="I342" s="1670">
        <f>SUM(I330)</f>
        <v>0</v>
      </c>
      <c r="J342" s="1670">
        <f>SUM(J330)</f>
        <v>0</v>
      </c>
      <c r="K342" s="1670">
        <f>SUM(K330,K334,K340)</f>
        <v>0</v>
      </c>
      <c r="L342" s="1677">
        <f>SUM(L330,L334,L340,L341)</f>
        <v>0</v>
      </c>
    </row>
    <row r="343" spans="1:14" ht="12.75" customHeight="1" thickTop="1" x14ac:dyDescent="0.2">
      <c r="A343" s="2169" t="s">
        <v>996</v>
      </c>
      <c r="B343" s="2170"/>
      <c r="C343" s="616"/>
      <c r="D343" s="616"/>
      <c r="E343" s="616"/>
      <c r="F343" s="616"/>
      <c r="G343" s="616"/>
      <c r="H343" s="616"/>
      <c r="I343" s="616"/>
      <c r="J343" s="616"/>
      <c r="K343" s="1684">
        <f>'Revenues 9-14'!J268-'Expenditures 15-22'!K342</f>
        <v>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9" t="s">
        <v>966</v>
      </c>
      <c r="B345" s="2160"/>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83" t="s">
        <v>996</v>
      </c>
      <c r="B368" s="2184"/>
      <c r="C368" s="654"/>
      <c r="D368" s="654"/>
      <c r="E368" s="626"/>
      <c r="F368" s="626"/>
      <c r="G368" s="626"/>
      <c r="H368" s="626"/>
      <c r="I368" s="626"/>
      <c r="J368" s="623"/>
      <c r="K368" s="1671">
        <f>'Revenues 9-14'!K268-'Expenditures 15-22'!K367</f>
        <v>0</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56"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d21dc803-237d-4c68-8692-8d731fd29118"/>
    <ds:schemaRef ds:uri="http://schemas.openxmlformats.org/package/2006/metadata/core-properties"/>
    <ds:schemaRef ds:uri="http://www.w3.org/XML/1998/namespace"/>
    <ds:schemaRef ds:uri="http://schemas.microsoft.com/office/2006/documentManagement/types"/>
    <ds:schemaRef ds:uri="6ce3111e-7420-4802-b50a-75d4e9a0b980"/>
    <ds:schemaRef ds:uri="http://schemas.microsoft.com/office/2006/metadata/properties"/>
    <ds:schemaRef ds:uri="http://schemas.microsoft.com/office/infopath/2007/PartnerControls"/>
    <ds:schemaRef ds:uri="http://purl.org/dc/elements/1.1/"/>
    <ds:schemaRef ds:uri="4d435f69-8686-490b-bd6d-b153bf22ab50"/>
    <ds:schemaRef ds:uri="http://schemas.microsoft.com/sharepoint/v3"/>
    <ds:schemaRef ds:uri="http://purl.org/dc/dcmitype/"/>
    <ds:schemaRef ds:uri="http://purl.org/dc/terms/"/>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2019-11-13T17:41:39Z</cp:lastPrinted>
  <dcterms:created xsi:type="dcterms:W3CDTF">2003-10-29T19:06:34Z</dcterms:created>
  <dcterms:modified xsi:type="dcterms:W3CDTF">2019-12-26T15:09:45Z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