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464AA440-60C8-44C3-8ED4-B9FF86A19CA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19" sheetId="184" r:id="rId29"/>
    <sheet name="SEFA NOTES" sheetId="185" r:id="rId30"/>
    <sheet name="SF&amp;QC Sec-1" sheetId="186" r:id="rId31"/>
    <sheet name="Finding 2019-001" sheetId="183" r:id="rId32"/>
    <sheet name="SF&amp;QC Sec-3" sheetId="176" r:id="rId33"/>
    <sheet name="SSPAF" sheetId="177" r:id="rId34"/>
    <sheet name="CAP 2019-001" sheetId="187" r:id="rId35"/>
  </sheets>
  <definedNames>
    <definedName name="goof" localSheetId="28">#REF!</definedName>
    <definedName name="goof" localSheetId="29">#REF!</definedName>
    <definedName name="goof" localSheetId="30">#REF!</definedName>
    <definedName name="goof">#REF!</definedName>
    <definedName name="oops" localSheetId="28">#REF!</definedName>
    <definedName name="oops" localSheetId="29">#REF!</definedName>
    <definedName name="oops" localSheetId="30">#REF!</definedName>
    <definedName name="oops">#REF!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19'!$A$1:$T$78</definedName>
    <definedName name="_xlnm.Print_Area" localSheetId="29">'SEFA NOTES'!$A$1:$F$49</definedName>
    <definedName name="_xlnm.Print_Area" localSheetId="26">'SEFA Reconcile'!$A$1:$E$49</definedName>
    <definedName name="_xlnm.Print_Area" localSheetId="30">'SF&amp;QC Sec-1'!$A$1:$J$62</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8">'SEFA 19'!$B$15:$T$86</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19'!$A:$D,'SEFA 19'!$1:$12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4">#REF!</definedName>
    <definedName name="SCHADDRS" localSheetId="21">#REF!</definedName>
    <definedName name="SCHADDRS" localSheetId="4">#REF!</definedName>
    <definedName name="SCHADDRS" localSheetId="31">#REF!</definedName>
    <definedName name="SCHADDRS" localSheetId="28">#REF!</definedName>
    <definedName name="SCHADDRS" localSheetId="29">#REF!</definedName>
    <definedName name="SCHADDRS" localSheetId="26">#REF!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34">#REF!</definedName>
    <definedName name="SCHCTY" localSheetId="21">#REF!</definedName>
    <definedName name="SCHCTY" localSheetId="4">#REF!</definedName>
    <definedName name="SCHCTY" localSheetId="31">#REF!</definedName>
    <definedName name="SCHCTY" localSheetId="28">#REF!</definedName>
    <definedName name="SCHCTY" localSheetId="29">#REF!</definedName>
    <definedName name="SCHCTY" localSheetId="26">#REF!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34">#REF!</definedName>
    <definedName name="SCHNMBR" localSheetId="21">#REF!</definedName>
    <definedName name="SCHNMBR" localSheetId="4">#REF!</definedName>
    <definedName name="SCHNMBR" localSheetId="31">#REF!</definedName>
    <definedName name="SCHNMBR" localSheetId="28">#REF!</definedName>
    <definedName name="SCHNMBR" localSheetId="29">#REF!</definedName>
    <definedName name="SCHNMBR" localSheetId="26">#REF!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34">#REF!</definedName>
    <definedName name="SCHNME" localSheetId="21">#REF!</definedName>
    <definedName name="SCHNME" localSheetId="4">#REF!</definedName>
    <definedName name="SCHNME" localSheetId="31">#REF!</definedName>
    <definedName name="SCHNME" localSheetId="28">#REF!</definedName>
    <definedName name="SCHNME" localSheetId="29">#REF!</definedName>
    <definedName name="SCHNME" localSheetId="26">#REF!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34">#REF!</definedName>
    <definedName name="SUPT" localSheetId="21">#REF!</definedName>
    <definedName name="SUPT" localSheetId="4">#REF!</definedName>
    <definedName name="SUPT" localSheetId="31">#REF!</definedName>
    <definedName name="SUPT" localSheetId="28">#REF!</definedName>
    <definedName name="SUPT" localSheetId="29">#REF!</definedName>
    <definedName name="SUPT" localSheetId="26">#REF!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8" i="186" l="1"/>
  <c r="G42" i="186" s="1"/>
  <c r="E31" i="185" l="1"/>
  <c r="M9" i="184" l="1"/>
  <c r="K10" i="184"/>
  <c r="M10" i="184"/>
  <c r="R16" i="184"/>
  <c r="R17" i="184"/>
  <c r="K19" i="184"/>
  <c r="R19" i="184" s="1"/>
  <c r="R20" i="184"/>
  <c r="P29" i="184"/>
  <c r="P39" i="184" s="1"/>
  <c r="R29" i="184"/>
  <c r="R30" i="184"/>
  <c r="N38" i="184"/>
  <c r="G39" i="184"/>
  <c r="I39" i="184"/>
  <c r="I44" i="184" s="1"/>
  <c r="M39" i="184"/>
  <c r="R41" i="184"/>
  <c r="R42" i="184"/>
  <c r="G43" i="184"/>
  <c r="I43" i="184"/>
  <c r="K43" i="184"/>
  <c r="M43" i="184"/>
  <c r="M47" i="184" s="1"/>
  <c r="P43" i="184"/>
  <c r="I47" i="184"/>
  <c r="I72" i="184" s="1"/>
  <c r="R53" i="184"/>
  <c r="R54" i="184"/>
  <c r="G55" i="184"/>
  <c r="I55" i="184"/>
  <c r="I57" i="184" s="1"/>
  <c r="K55" i="184"/>
  <c r="M55" i="184"/>
  <c r="P55" i="184"/>
  <c r="R55" i="184"/>
  <c r="R62" i="184"/>
  <c r="R63" i="184"/>
  <c r="R64" i="184"/>
  <c r="G65" i="184"/>
  <c r="I65" i="184"/>
  <c r="K65" i="184"/>
  <c r="M65" i="184"/>
  <c r="M74" i="184" s="1"/>
  <c r="P65" i="184"/>
  <c r="I91" i="184"/>
  <c r="I68" i="184" l="1"/>
  <c r="P44" i="184"/>
  <c r="P47" i="184"/>
  <c r="R43" i="184"/>
  <c r="G74" i="184"/>
  <c r="K74" i="184"/>
  <c r="M44" i="184"/>
  <c r="R65" i="184"/>
  <c r="R74" i="184" s="1"/>
  <c r="R39" i="184"/>
  <c r="R44" i="184" s="1"/>
  <c r="P74" i="184"/>
  <c r="G47" i="184"/>
  <c r="G57" i="184" s="1"/>
  <c r="G68" i="184" s="1"/>
  <c r="M72" i="184"/>
  <c r="M76" i="184" s="1"/>
  <c r="D44" i="186" s="1"/>
  <c r="D46" i="186" s="1"/>
  <c r="M57" i="184"/>
  <c r="M68" i="184" s="1"/>
  <c r="I74" i="184"/>
  <c r="I76" i="184" s="1"/>
  <c r="D35" i="171" s="1"/>
  <c r="G44" i="184"/>
  <c r="K39" i="184"/>
  <c r="R47" i="184" l="1"/>
  <c r="R57" i="184" s="1"/>
  <c r="R68" i="184" s="1"/>
  <c r="P72" i="184"/>
  <c r="P76" i="184" s="1"/>
  <c r="P57" i="184"/>
  <c r="P68" i="184" s="1"/>
  <c r="G72" i="184"/>
  <c r="G76" i="184" s="1"/>
  <c r="K44" i="184"/>
  <c r="K47" i="184"/>
  <c r="R72" i="184" l="1"/>
  <c r="R76" i="184" s="1"/>
  <c r="K72" i="184"/>
  <c r="K76" i="184" s="1"/>
  <c r="K57" i="184"/>
  <c r="K68" i="184" s="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A1" i="171"/>
  <c r="B1" i="179"/>
  <c r="B2" i="176"/>
  <c r="B1" i="177"/>
  <c r="A1" i="170"/>
  <c r="A2" i="171"/>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82" i="36"/>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F31"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D24" i="37"/>
  <c r="B4270" i="106" s="1"/>
  <c r="D4270" i="106" s="1"/>
  <c r="L5" i="11"/>
  <c r="B2056" i="106" s="1"/>
  <c r="D2056" i="106" s="1"/>
  <c r="F72" i="34" l="1"/>
  <c r="B6289" i="106"/>
  <c r="D6289" i="106" s="1"/>
  <c r="F49" i="34"/>
  <c r="B1124" i="106"/>
  <c r="D1124" i="106" s="1"/>
  <c r="J210" i="29"/>
  <c r="B7072" i="106" s="1"/>
  <c r="D7072" i="106" s="1"/>
  <c r="I210" i="29"/>
  <c r="B7071" i="106" s="1"/>
  <c r="D7071" i="106" s="1"/>
  <c r="F69" i="34"/>
  <c r="F64" i="34"/>
  <c r="F50" i="34"/>
  <c r="H76" i="4"/>
  <c r="B3298" i="106" s="1"/>
  <c r="D3298" i="106" s="1"/>
  <c r="F36" i="108"/>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K184" i="29"/>
  <c r="F13" i="4" s="1"/>
  <c r="B2596" i="106" s="1"/>
  <c r="D2596" i="106" s="1"/>
  <c r="G210" i="29"/>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66" i="5"/>
  <c r="J24" i="12"/>
  <c r="B7730" i="106"/>
  <c r="D7730" i="106" s="1"/>
  <c r="B7270" i="106"/>
  <c r="J16" i="4" l="1"/>
  <c r="B6226" i="106" s="1"/>
  <c r="D6226" i="106" s="1"/>
  <c r="B1328" i="106"/>
  <c r="D1328" i="106" s="1"/>
  <c r="B3621" i="106"/>
  <c r="D3621"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K77" i="4"/>
  <c r="B3587" i="106" s="1"/>
  <c r="D3587" i="106" s="1"/>
  <c r="B5778" i="106"/>
  <c r="D5778" i="106" s="1"/>
  <c r="G6" i="4"/>
  <c r="B2604" i="106" s="1"/>
  <c r="D2604" i="106" s="1"/>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K82" i="4"/>
  <c r="J83" i="4"/>
  <c r="B6283" i="106" s="1"/>
  <c r="D6283" i="106" s="1"/>
  <c r="B6274" i="106"/>
  <c r="D6274" i="106" s="1"/>
  <c r="D82" i="4"/>
  <c r="B1644" i="106"/>
  <c r="D1644" i="106" s="1"/>
  <c r="C11" i="146"/>
  <c r="B6275" i="106" l="1"/>
  <c r="D6275" i="106" s="1"/>
  <c r="K83" i="4"/>
  <c r="B6284" i="106" s="1"/>
  <c r="D6284" i="106" s="1"/>
  <c r="B11" i="146"/>
  <c r="C82" i="4"/>
  <c r="B1630" i="106"/>
  <c r="D1630" i="106" s="1"/>
  <c r="G82" i="4"/>
  <c r="B1686" i="106"/>
  <c r="D1686" i="106" s="1"/>
  <c r="B1672" i="106"/>
  <c r="D1672" i="106" s="1"/>
  <c r="F82" i="4"/>
  <c r="D11" i="14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80" i="106" l="1"/>
  <c r="D280" i="106" s="1"/>
  <c r="M41" i="3"/>
  <c r="B281" i="106" l="1"/>
  <c r="D281" i="106" s="1"/>
  <c r="D54" i="36"/>
  <c r="B2912" i="106" l="1"/>
  <c r="D2912" i="106" s="1"/>
  <c r="I41" i="3"/>
  <c r="D63" i="36"/>
  <c r="B6215" i="106"/>
  <c r="D6215" i="106" s="1"/>
  <c r="J41" i="3"/>
  <c r="D64" i="36"/>
  <c r="B140" i="106"/>
  <c r="D140" i="106" s="1"/>
  <c r="E41" i="3"/>
  <c r="D59" i="36"/>
  <c r="D46" i="36" l="1"/>
  <c r="B141" i="106"/>
  <c r="D141" i="106" s="1"/>
  <c r="B6216" i="106"/>
  <c r="D6216" i="106" s="1"/>
  <c r="D51" i="36"/>
  <c r="D50" i="36"/>
  <c r="B2913" i="106"/>
  <c r="D2913" i="106" s="1"/>
  <c r="B189" i="106"/>
  <c r="D189" i="106" s="1"/>
  <c r="G41" i="3"/>
  <c r="D61" i="36"/>
  <c r="B190" i="106" l="1"/>
  <c r="D190" i="106" s="1"/>
  <c r="D48" i="36"/>
  <c r="B123" i="106"/>
  <c r="D123" i="106" s="1"/>
  <c r="D41" i="3"/>
  <c r="D58" i="36"/>
  <c r="B3567" i="106"/>
  <c r="D3567" i="106" s="1"/>
  <c r="K41" i="3"/>
  <c r="D65" i="36"/>
  <c r="N23" i="3"/>
  <c r="B282" i="106"/>
  <c r="D282" i="106" s="1"/>
  <c r="B212" i="106"/>
  <c r="D212" i="106" s="1"/>
  <c r="D62" i="36"/>
  <c r="H41" i="3"/>
  <c r="D52" i="36" l="1"/>
  <c r="B3568" i="106"/>
  <c r="D3568" i="106" s="1"/>
  <c r="D49" i="36"/>
  <c r="B213" i="106"/>
  <c r="D213" i="106" s="1"/>
  <c r="B92" i="106"/>
  <c r="D92" i="106" s="1"/>
  <c r="C41" i="3"/>
  <c r="D57" i="36"/>
  <c r="D76" i="36"/>
  <c r="D45" i="36"/>
  <c r="B124" i="106"/>
  <c r="D124" i="106" s="1"/>
  <c r="B170" i="106"/>
  <c r="D170" i="106" s="1"/>
  <c r="F41" i="3"/>
  <c r="D60" i="36"/>
  <c r="D55" i="36"/>
  <c r="B284" i="106"/>
  <c r="D284" i="106" s="1"/>
  <c r="B93" i="106" l="1"/>
  <c r="D93" i="106" s="1"/>
  <c r="D44" i="36"/>
  <c r="B171" i="106"/>
  <c r="D171" i="106" s="1"/>
  <c r="D47"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<sst xmlns="http://schemas.openxmlformats.org/spreadsheetml/2006/main" count="5281" uniqueCount="2195">
  <si>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</si>
  <si>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</si>
  <si>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</si>
  <si>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</si>
  <si>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</si>
  <si>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</si>
  <si>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</si>
  <si>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</si>
  <si>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</si>
  <si>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</si>
  <si>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</si>
  <si>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</si>
  <si>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</si>
  <si>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</si>
  <si>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</si>
  <si>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</si>
  <si>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</si>
  <si>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</si>
  <si>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</si>
  <si>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</si>
  <si>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</si>
  <si>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</si>
  <si>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</si>
  <si>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</si>
  <si>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</si>
  <si>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</si>
  <si>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</si>
  <si>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</si>
  <si>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</si>
  <si>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</si>
  <si>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</si>
  <si>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</si>
  <si>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</si>
  <si>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</si>
  <si>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</si>
  <si>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</si>
  <si>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</si>
  <si>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</si>
  <si>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</si>
  <si>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</si>
  <si>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</si>
  <si>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</si>
  <si>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</si>
  <si>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</si>
  <si>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</si>
  <si>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</si>
  <si>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</si>
  <si>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</si>
  <si>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</si>
  <si>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</si>
  <si>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</si>
  <si>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</si>
  <si>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</si>
  <si>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</si>
  <si>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</si>
  <si>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</si>
  <si>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</si>
  <si>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</si>
  <si>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</si>
  <si>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</si>
  <si>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</si>
  <si>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</si>
  <si>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</si>
  <si>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</si>
  <si>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</si>
  <si>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</si>
  <si>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</si>
  <si>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</si>
  <si>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</si>
  <si>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</si>
  <si>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</si>
  <si>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</si>
  <si>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</si>
  <si>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</si>
  <si>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</si>
  <si>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</si>
  <si>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</si>
  <si>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</si>
  <si>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</si>
  <si>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</si>
  <si>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</si>
  <si>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</si>
  <si>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</si>
  <si>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</si>
  <si>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</si>
  <si>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</si>
  <si>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</si>
  <si>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</si>
  <si>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</si>
  <si>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</si>
  <si>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</si>
  <si>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</si>
  <si>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</si>
  <si>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</si>
  <si>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</si>
  <si>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</si>
  <si>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</si>
  <si>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</si>
  <si>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</si>
  <si>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</si>
  <si>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</si>
  <si>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</si>
  <si>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</si>
  <si>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</si>
  <si>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</si>
  <si>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</si>
  <si>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</si>
  <si>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</si>
  <si>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</si>
  <si>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</si>
  <si>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</si>
  <si>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</si>
  <si>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</si>
  <si>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</si>
  <si>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</si>
  <si>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</si>
  <si>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</si>
  <si>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</si>
  <si>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</si>
  <si>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</si>
  <si>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</si>
  <si>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</si>
  <si>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</si>
  <si>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</si>
  <si>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</si>
  <si>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</si>
  <si>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</si>
  <si>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</si>
  <si>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</si>
  <si>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</si>
  <si>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</si>
  <si>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</si>
  <si>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</si>
  <si>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</si>
  <si>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</si>
  <si>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</si>
  <si>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</si>
  <si>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</si>
  <si>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</si>
  <si>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</si>
  <si>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</si>
  <si>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</si>
  <si>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</si>
  <si>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</si>
  <si>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</si>
  <si>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</si>
  <si>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</si>
  <si>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</si>
  <si>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</si>
  <si>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</si>
  <si>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</si>
  <si>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</si>
  <si>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</si>
  <si>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</si>
  <si>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</si>
  <si>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</si>
  <si>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</si>
  <si>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</si>
  <si>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</si>
  <si>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</si>
  <si>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</si>
  <si>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</si>
  <si>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</si>
  <si>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</si>
  <si>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</si>
  <si>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</si>
  <si>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</si>
  <si>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</si>
  <si>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</si>
  <si>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</si>
  <si>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</si>
  <si>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</si>
  <si>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</si>
  <si>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</si>
  <si>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</si>
  <si>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</si>
  <si>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</si>
  <si>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</si>
  <si>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</si>
  <si>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</si>
  <si>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</si>
  <si>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</si>
  <si>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</si>
  <si>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</si>
  <si>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</si>
  <si>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</si>
  <si>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</si>
  <si>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</si>
  <si>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</si>
  <si>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</si>
  <si>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</si>
  <si>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</si>
  <si>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</si>
  <si>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</si>
  <si>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</si>
  <si>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</si>
  <si>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</si>
  <si>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</si>
  <si>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</si>
  <si>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</si>
  <si>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</si>
  <si>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</si>
  <si>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</si>
  <si>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</si>
  <si>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</si>
  <si>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</si>
  <si>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</si>
  <si>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</si>
  <si>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</si>
  <si>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</si>
  <si>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</si>
  <si>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</si>
  <si>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</si>
  <si>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</si>
  <si>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</si>
  <si>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</si>
  <si>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</si>
  <si>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</si>
  <si>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</si>
  <si>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</si>
  <si>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</si>
  <si>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</si>
  <si>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</si>
  <si>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</si>
  <si>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</si>
  <si>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</si>
  <si>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</si>
  <si>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</si>
  <si>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</si>
  <si>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</si>
  <si>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</si>
  <si>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</si>
  <si>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</si>
  <si>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</si>
  <si>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</si>
  <si>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</si>
  <si>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</si>
  <si>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</si>
  <si>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</si>
  <si>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</si>
  <si>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</si>
  <si>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</si>
  <si>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</si>
  <si>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</si>
  <si>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</si>
  <si>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</si>
  <si>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</si>
  <si>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</si>
  <si>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</si>
  <si>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</si>
  <si>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</si>
  <si>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</si>
  <si>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</si>
  <si>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</si>
  <si>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</si>
  <si>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</si>
  <si>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</si>
  <si>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</si>
  <si>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</si>
  <si>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</si>
  <si>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</si>
  <si>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</si>
  <si>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</si>
  <si>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</si>
  <si>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</si>
  <si>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</si>
  <si>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</si>
  <si>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</si>
  <si>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</si>
  <si>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</si>
  <si>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</si>
  <si>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</si>
  <si>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</si>
  <si>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</si>
  <si>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</si>
  <si>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</si>
  <si>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</si>
  <si>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</si>
  <si>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</si>
  <si>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</si>
  <si>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</si>
  <si>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</si>
  <si>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</si>
  <si>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</si>
  <si>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</si>
  <si>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</si>
  <si>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</si>
  <si>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</si>
  <si>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</si>
  <si>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</si>
  <si>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</si>
  <si>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</si>
  <si>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</si>
  <si>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</si>
  <si>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</si>
  <si>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</si>
  <si>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</si>
  <si>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</si>
  <si>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</si>
  <si>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</si>
  <si>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</si>
  <si>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</si>
  <si>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</si>
  <si>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</si>
  <si>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</si>
  <si>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</si>
  <si>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</si>
  <si>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</si>
  <si>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</si>
  <si>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</si>
  <si>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</si>
  <si>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</si>
  <si>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</si>
  <si>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</si>
  <si>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</si>
  <si>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</si>
  <si>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</si>
  <si>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</si>
  <si>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</si>
  <si>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</si>
  <si>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</si>
  <si>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</si>
  <si>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</si>
  <si>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</si>
  <si>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</si>
  <si>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</si>
  <si>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</si>
  <si>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</si>
  <si>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</si>
  <si>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</si>
  <si>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</si>
  <si>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</si>
  <si>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</si>
  <si>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</si>
  <si>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</si>
  <si>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</si>
  <si>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</si>
  <si>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</si>
  <si>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</si>
  <si>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</si>
  <si>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</si>
  <si>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</si>
  <si>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</si>
  <si>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</si>
  <si>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</si>
  <si>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</si>
  <si>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</si>
  <si>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</si>
  <si>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</si>
  <si>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</si>
  <si>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</si>
  <si>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</si>
  <si>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</si>
  <si>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</si>
  <si>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</si>
  <si>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</si>
  <si>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</si>
  <si>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</si>
  <si>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</si>
  <si>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</si>
  <si>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</si>
  <si>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</si>
  <si>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</si>
  <si>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</si>
  <si>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</si>
  <si>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</si>
  <si>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</si>
  <si>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</si>
  <si>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</si>
  <si>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</si>
  <si>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</si>
  <si>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</si>
  <si>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</si>
  <si>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</si>
  <si>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</si>
  <si>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</si>
  <si>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</si>
  <si>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</si>
  <si>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</si>
  <si>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</si>
  <si>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</si>
  <si>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</si>
  <si>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</si>
  <si>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</si>
  <si>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</si>
  <si>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</si>
  <si>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</si>
  <si>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</si>
  <si>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</si>
  <si>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</si>
  <si>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</si>
  <si>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</si>
  <si>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</si>
  <si>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</si>
  <si>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</si>
  <si>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</si>
  <si>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</si>
  <si>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</si>
  <si>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</si>
  <si>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</si>
  <si>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</si>
  <si>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</si>
  <si>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</si>
  <si>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</si>
  <si>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</si>
  <si>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</si>
  <si>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</si>
  <si>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</si>
  <si>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</si>
  <si>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</si>
  <si>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</si>
  <si>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</si>
  <si>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</si>
  <si>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</si>
  <si>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</si>
  <si>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</si>
  <si>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</si>
  <si>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</si>
  <si>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</si>
  <si>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</si>
  <si>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</si>
  <si>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</si>
  <si>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</si>
  <si>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</si>
  <si>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</si>
  <si>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</si>
  <si>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</si>
  <si>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</si>
  <si>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</si>
  <si>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</si>
  <si>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</si>
  <si>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</si>
  <si>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</si>
  <si>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</si>
  <si>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</si>
  <si>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</si>
  <si>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</si>
  <si>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</si>
  <si>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</si>
  <si>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</si>
  <si>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</si>
  <si>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</si>
  <si>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</si>
  <si>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</si>
  <si>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</si>
  <si>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</si>
  <si>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</si>
  <si>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</si>
  <si>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</si>
  <si>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</si>
  <si>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</si>
  <si>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</si>
  <si>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</si>
  <si>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</si>
  <si>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</si>
  <si>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</si>
  <si>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</si>
  <si>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</si>
  <si>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</si>
  <si>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</si>
  <si>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</si>
  <si>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</si>
  <si>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</si>
  <si>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</si>
  <si>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</si>
  <si>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</si>
  <si>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</si>
  <si>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</si>
  <si>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</si>
  <si>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</si>
  <si>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</si>
  <si>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</si>
  <si>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</si>
  <si>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</si>
  <si>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</si>
  <si>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</si>
  <si>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</si>
  <si>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</si>
  <si>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</si>
  <si>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</si>
  <si>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</si>
  <si>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</si>
  <si>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</si>
  <si>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</si>
  <si>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</si>
  <si>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</si>
  <si>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</si>
  <si>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</si>
  <si>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</si>
  <si>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</si>
  <si>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</si>
  <si>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</si>
  <si>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</si>
  <si>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</si>
  <si>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</si>
  <si>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</si>
  <si>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</si>
  <si>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</si>
  <si>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</si>
  <si>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</si>
  <si>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</si>
  <si>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</si>
  <si>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</si>
  <si>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</si>
  <si>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</si>
  <si>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</si>
  <si>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</si>
  <si>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</si>
  <si>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</si>
  <si>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</si>
  <si>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</si>
  <si>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</si>
  <si>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</si>
  <si>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</si>
  <si>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</si>
  <si>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</si>
  <si>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</si>
  <si>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</si>
  <si>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</si>
  <si>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</si>
  <si>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</si>
  <si>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</si>
  <si>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</si>
  <si>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</si>
  <si>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</si>
  <si>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</si>
  <si>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</si>
  <si>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</si>
  <si>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</si>
  <si>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</si>
  <si>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</si>
  <si>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</si>
  <si>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</si>
  <si>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</si>
  <si>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</si>
  <si>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</si>
  <si>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</si>
  <si>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</si>
  <si>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</si>
  <si>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</si>
  <si>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</si>
  <si>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</si>
  <si>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</si>
  <si>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</si>
  <si>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</si>
  <si>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</si>
  <si>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</si>
  <si>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</si>
  <si>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</si>
  <si>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</si>
  <si>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</si>
  <si>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</si>
  <si>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</si>
  <si>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</si>
  <si>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</si>
  <si>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</si>
  <si>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</si>
  <si>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</si>
  <si>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</si>
  <si>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</si>
  <si>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</si>
  <si>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</si>
  <si>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</si>
  <si>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</si>
  <si>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</si>
  <si>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</si>
  <si>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</si>
  <si>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</si>
  <si>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</si>
  <si>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</si>
  <si>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</si>
  <si>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</si>
  <si>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</si>
  <si>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</si>
  <si>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</si>
  <si>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</si>
  <si>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</si>
  <si>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</si>
  <si>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</si>
  <si>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</si>
  <si>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</si>
  <si>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</si>
  <si>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</si>
  <si>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</si>
  <si>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</si>
  <si>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</si>
  <si>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</si>
  <si>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</si>
  <si>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</si>
  <si>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</si>
  <si>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</si>
  <si>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</si>
  <si>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</si>
  <si>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</si>
  <si>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</si>
  <si>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</si>
  <si>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</si>
  <si>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</si>
  <si>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</si>
  <si>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</si>
  <si>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</si>
  <si>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</si>
  <si>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</si>
  <si>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</si>
  <si>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</si>
  <si>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</si>
  <si>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</si>
  <si>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</si>
  <si>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</si>
  <si>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</si>
  <si>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</si>
  <si>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</si>
  <si>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</si>
  <si>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</si>
  <si>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</si>
  <si>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</si>
  <si>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</si>
  <si>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</si>
  <si>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</si>
  <si>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</si>
  <si>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</si>
  <si>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</si>
  <si>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</si>
  <si>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</si>
  <si>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</si>
  <si>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</si>
  <si>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</si>
  <si>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</si>
  <si>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</si>
  <si>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</si>
  <si>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</si>
  <si>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</si>
  <si>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</si>
  <si>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</si>
  <si>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</si>
  <si>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</si>
  <si>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</si>
  <si>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</si>
  <si>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</si>
  <si>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</si>
  <si>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</si>
  <si>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</si>
  <si>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</si>
  <si>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</si>
  <si>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</si>
  <si>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</si>
  <si>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</si>
  <si>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</si>
  <si>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</si>
  <si>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</si>
  <si>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</si>
  <si>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</si>
  <si>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</si>
  <si>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</si>
  <si>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</si>
  <si>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</si>
  <si>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</si>
  <si>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</si>
  <si>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</si>
  <si>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</si>
  <si>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</si>
  <si>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</si>
  <si>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</si>
  <si>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</si>
  <si>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</si>
  <si>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</si>
  <si>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</si>
  <si>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</si>
  <si>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</si>
  <si>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</si>
  <si>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</si>
  <si>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</si>
  <si>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</si>
  <si>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</si>
  <si>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</si>
  <si>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</si>
  <si>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</si>
  <si>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</si>
  <si>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</si>
  <si>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</si>
  <si>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</si>
  <si>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</si>
  <si>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</si>
  <si>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</si>
  <si>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</si>
  <si>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</si>
  <si>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</si>
  <si>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</si>
  <si>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</si>
  <si>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</si>
  <si>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</si>
  <si>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</si>
  <si>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</si>
  <si>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</si>
  <si>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</si>
  <si>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</si>
  <si>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</si>
  <si>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</si>
  <si>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</si>
  <si>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</si>
  <si>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</si>
  <si>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</si>
  <si>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</si>
  <si>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</si>
  <si>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</si>
  <si>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</si>
  <si>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</si>
  <si>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</si>
  <si>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</si>
  <si>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</si>
  <si>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</si>
  <si>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</si>
  <si>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</si>
  <si>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</si>
  <si>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</si>
  <si>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</si>
  <si>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</si>
  <si>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</si>
  <si>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</si>
  <si>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</si>
  <si>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</si>
  <si>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</si>
  <si>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</si>
  <si>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</si>
  <si>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</si>
  <si>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</si>
  <si>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</si>
  <si>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</si>
  <si>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</si>
  <si>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</si>
  <si>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</si>
  <si>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</si>
  <si>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</si>
  <si>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</si>
  <si>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</si>
  <si>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</si>
  <si>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</si>
  <si>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</si>
  <si>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</si>
  <si>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</si>
  <si>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</si>
  <si>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</si>
  <si>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</si>
  <si>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</si>
  <si>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</si>
  <si>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</si>
  <si>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</si>
  <si>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</si>
  <si>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</si>
  <si>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</si>
  <si>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</si>
  <si>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</si>
  <si>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</si>
  <si>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</si>
  <si>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</si>
  <si>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</si>
  <si>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</si>
  <si>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</si>
  <si>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</si>
  <si>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</si>
  <si>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</si>
  <si>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</si>
  <si>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</si>
  <si>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</si>
  <si>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</si>
  <si>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</si>
  <si>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</si>
  <si>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</si>
  <si>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</si>
  <si>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</si>
  <si>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</si>
  <si>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</si>
  <si>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</si>
  <si>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</si>
  <si>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</si>
  <si>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</si>
  <si>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</si>
  <si>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</si>
  <si>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</si>
  <si>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</si>
  <si>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</si>
  <si>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</si>
  <si>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</si>
  <si>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</si>
  <si>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</si>
  <si>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</si>
  <si>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</si>
  <si>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</si>
  <si>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</si>
  <si>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</si>
  <si>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</si>
  <si>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</si>
  <si>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</si>
  <si>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</si>
  <si>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</si>
  <si>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</si>
  <si>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</si>
  <si>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</si>
  <si>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</si>
  <si>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</si>
  <si>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</si>
  <si>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</si>
  <si>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</si>
  <si>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</si>
  <si>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</si>
  <si>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</si>
  <si>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</si>
  <si>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</si>
  <si>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</si>
  <si>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</si>
  <si>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</si>
  <si>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</si>
  <si>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</si>
  <si>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</si>
  <si>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</si>
  <si>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</si>
  <si>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</si>
  <si>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</si>
  <si>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</si>
  <si>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</si>
  <si>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</si>
  <si>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</si>
  <si>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</si>
  <si>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</si>
  <si>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</si>
  <si>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</si>
  <si>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</si>
  <si>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</si>
  <si>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</si>
  <si>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</si>
  <si>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</si>
  <si>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</si>
  <si>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</si>
  <si>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</si>
  <si>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</si>
  <si>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</si>
  <si>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</si>
  <si>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</si>
  <si>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</si>
  <si>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</si>
  <si>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</si>
  <si>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</si>
  <si>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</si>
  <si>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</si>
  <si>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</si>
  <si>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</si>
  <si>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</si>
  <si>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</si>
  <si>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</si>
  <si>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</si>
  <si>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</si>
  <si>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</si>
  <si>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</si>
  <si>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</si>
  <si>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</si>
  <si>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</si>
  <si>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</si>
  <si>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</si>
  <si>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</si>
  <si>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</si>
  <si>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</si>
  <si>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</si>
  <si>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</si>
  <si>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</si>
  <si>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</si>
  <si>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</si>
  <si>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</si>
  <si>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</si>
  <si>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</si>
  <si>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</si>
  <si>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</si>
  <si>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</si>
  <si>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</si>
  <si>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</si>
  <si>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</si>
  <si>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</si>
  <si>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</si>
  <si>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</si>
  <si>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</si>
  <si>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</si>
  <si>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</si>
  <si>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</si>
  <si>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</si>
  <si>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</si>
  <si>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</si>
  <si>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</si>
  <si>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</si>
  <si>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</si>
  <si>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</si>
  <si>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</si>
  <si>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</si>
  <si>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</si>
  <si>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</si>
  <si>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</si>
  <si>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</si>
  <si>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</si>
  <si>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</si>
  <si>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</si>
  <si>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</si>
  <si>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</si>
  <si>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</si>
  <si>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</si>
  <si>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</si>
  <si>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</si>
  <si>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</si>
  <si>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</si>
  <si>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</si>
  <si>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</si>
  <si>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</si>
  <si>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</si>
  <si>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</si>
  <si>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</si>
  <si>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</si>
  <si>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</si>
  <si>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</si>
  <si>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</si>
  <si>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</si>
  <si>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</si>
  <si>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</si>
  <si>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</si>
  <si>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</si>
  <si>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</si>
  <si>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</si>
  <si>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</si>
  <si>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</si>
  <si>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</si>
  <si>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</si>
  <si>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</si>
  <si>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</si>
  <si>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</si>
  <si>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</si>
  <si>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</si>
  <si>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</si>
  <si>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</si>
  <si>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</si>
  <si>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</si>
  <si>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</si>
  <si>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</si>
  <si>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</si>
  <si>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</si>
  <si>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</si>
  <si>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</si>
  <si>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</si>
  <si>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</si>
  <si>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</si>
  <si>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</si>
  <si>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</si>
  <si>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</si>
  <si>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</si>
  <si>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</si>
  <si>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</si>
  <si>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</si>
  <si>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</si>
  <si>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</si>
  <si>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</si>
  <si>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</si>
  <si>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</si>
  <si>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</si>
  <si>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</si>
  <si>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</si>
  <si>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</si>
  <si>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</si>
  <si>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</si>
  <si>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</si>
  <si>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</si>
  <si>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</si>
  <si>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</si>
  <si>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</si>
  <si>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</si>
  <si>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</si>
  <si>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</si>
  <si>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</si>
  <si>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</si>
  <si>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</si>
  <si>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</si>
  <si>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</si>
  <si>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</si>
  <si>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</si>
  <si>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</si>
  <si>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</si>
  <si>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</si>
  <si>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</si>
  <si>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</si>
  <si>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</si>
  <si>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</si>
  <si>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</si>
  <si>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</si>
  <si>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</si>
  <si>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</si>
  <si>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</si>
  <si>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</si>
  <si>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</si>
  <si>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</si>
  <si>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</si>
  <si>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</si>
  <si>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</si>
  <si>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</si>
  <si>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</si>
  <si>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</si>
  <si>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</si>
  <si>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</si>
  <si>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</si>
  <si>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</si>
  <si>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</si>
  <si>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</si>
  <si>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</si>
  <si>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</si>
  <si>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</si>
  <si>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</si>
  <si>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</si>
  <si>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</si>
  <si>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</si>
  <si>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</si>
  <si>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</si>
  <si>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</si>
  <si>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</si>
  <si>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</si>
  <si>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</si>
  <si>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</si>
  <si>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</si>
  <si>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</si>
  <si>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</si>
  <si>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</si>
  <si>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</si>
  <si>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</si>
  <si>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</si>
  <si>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</si>
  <si>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</si>
  <si>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</si>
  <si>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</si>
  <si>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</si>
  <si>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</si>
  <si>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</si>
  <si>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</si>
  <si>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</si>
  <si>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</si>
  <si>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</si>
  <si>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</si>
  <si>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</si>
  <si>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</si>
  <si>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</si>
  <si>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</si>
  <si>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</si>
  <si>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</si>
  <si>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</si>
  <si>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</si>
  <si>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</si>
  <si>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</si>
  <si>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</si>
  <si>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</si>
  <si>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</si>
  <si>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</si>
  <si>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</si>
  <si>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</si>
  <si>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</si>
  <si>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</si>
  <si>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</si>
  <si>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</si>
  <si>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</si>
  <si>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</si>
  <si>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</si>
  <si>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</si>
  <si>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</si>
  <si>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</si>
  <si>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</si>
  <si>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</si>
  <si>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</si>
  <si>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</si>
  <si>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</si>
  <si>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</si>
  <si>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</si>
  <si>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</si>
  <si>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</si>
  <si>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</si>
  <si>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</si>
  <si>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</si>
  <si>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</si>
  <si>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</si>
  <si>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</si>
  <si>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</si>
  <si>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</si>
  <si>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</si>
  <si>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</si>
  <si>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</si>
  <si>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</si>
  <si>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</si>
  <si>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</si>
  <si>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</si>
  <si>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</si>
  <si>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</si>
  <si>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</si>
  <si>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</si>
  <si>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</si>
  <si>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</si>
  <si>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</si>
  <si>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</si>
  <si>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</si>
  <si>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</si>
  <si>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</si>
  <si>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</si>
  <si>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</si>
  <si>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</si>
  <si>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</si>
  <si>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</si>
  <si>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</si>
  <si>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</si>
  <si>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</si>
  <si>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</si>
  <si>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</si>
  <si>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</si>
  <si>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</si>
  <si>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</si>
  <si>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</si>
  <si>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</si>
  <si>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</si>
  <si>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</si>
  <si>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</si>
  <si>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</si>
  <si>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</si>
  <si>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</si>
  <si>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</si>
  <si>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</si>
  <si>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</si>
  <si>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</si>
  <si>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</si>
  <si>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</si>
  <si>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</si>
  <si>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</si>
  <si>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</si>
  <si>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</si>
  <si>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</si>
  <si>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</si>
  <si>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</si>
  <si>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</si>
  <si>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</si>
  <si>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</si>
  <si>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</si>
  <si>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</si>
  <si>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</si>
  <si>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</si>
  <si>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</si>
  <si>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</si>
  <si>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</si>
  <si>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</si>
  <si>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</si>
  <si>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</si>
  <si>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</si>
  <si>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</si>
  <si>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</si>
  <si>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</si>
  <si>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</si>
  <si>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</si>
  <si>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</si>
  <si>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</si>
  <si>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</si>
  <si>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</si>
  <si>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</si>
  <si>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</si>
  <si>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</si>
  <si>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</si>
  <si>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</si>
  <si>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</si>
  <si>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</si>
  <si>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</si>
  <si>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</si>
  <si>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</si>
  <si>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</si>
  <si>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</si>
  <si>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</si>
  <si>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</si>
  <si>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</si>
  <si>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</si>
  <si>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</si>
  <si>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</si>
  <si>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</si>
  <si>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</si>
  <si>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</si>
  <si>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</si>
  <si>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</si>
  <si>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</si>
  <si>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</si>
  <si>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</si>
  <si>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</si>
  <si>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</si>
  <si>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</si>
  <si>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</si>
  <si>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</si>
  <si>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</si>
  <si>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</si>
  <si>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</si>
  <si>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</si>
  <si>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</si>
  <si>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</si>
  <si>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</si>
  <si>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</si>
  <si>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</si>
  <si>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</si>
  <si>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</si>
  <si>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</si>
  <si>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</si>
  <si>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</si>
  <si>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</si>
  <si>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</si>
  <si>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</si>
  <si>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</si>
  <si>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</si>
  <si>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</si>
  <si>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</si>
  <si>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</si>
  <si>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</si>
  <si>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</si>
  <si>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</si>
  <si>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</si>
  <si>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</si>
  <si>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</si>
  <si>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</si>
  <si>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</si>
  <si>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</si>
  <si>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</si>
  <si>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</si>
  <si>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</si>
  <si>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</si>
  <si>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</si>
  <si>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</si>
  <si>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</si>
  <si>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</si>
  <si>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</si>
  <si>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</si>
  <si>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</si>
  <si>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</si>
  <si>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</si>
  <si>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</si>
  <si>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</si>
  <si>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</si>
  <si>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</si>
  <si>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</si>
  <si>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</si>
  <si>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</si>
  <si>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</si>
  <si>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</si>
  <si>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</si>
  <si>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</si>
  <si>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</si>
  <si>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</si>
  <si>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</si>
  <si>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</si>
  <si>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</si>
  <si>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</si>
  <si>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</si>
  <si>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</si>
  <si>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</si>
  <si>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</si>
  <si>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</si>
  <si>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</si>
  <si>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</si>
  <si>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</si>
  <si>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</si>
  <si>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</si>
  <si>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</si>
  <si>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</si>
  <si>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</si>
  <si>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</si>
  <si>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</si>
  <si>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</si>
  <si>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</si>
  <si>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</si>
  <si>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</si>
  <si>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</si>
  <si>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</si>
  <si>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</si>
  <si>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</si>
  <si>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</si>
  <si>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</si>
  <si>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</si>
  <si>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</si>
  <si>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</si>
  <si>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</si>
  <si>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</si>
  <si>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</si>
  <si>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</si>
  <si>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</si>
  <si>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</si>
  <si>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</si>
  <si>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</si>
  <si>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</si>
  <si>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</si>
  <si>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</si>
  <si>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</si>
  <si>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</si>
  <si>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</si>
  <si>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</si>
  <si>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</si>
  <si>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</si>
  <si>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</si>
  <si>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</si>
  <si>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</si>
  <si>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</si>
  <si>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</si>
  <si>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</si>
  <si>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</si>
  <si>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</si>
  <si>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</si>
  <si>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</si>
  <si>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</si>
  <si>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</si>
  <si>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</si>
  <si>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</si>
  <si>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</si>
  <si>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</si>
  <si>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</si>
  <si>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</si>
  <si>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</si>
  <si>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</si>
  <si>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</si>
  <si>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</si>
  <si>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</si>
  <si>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</si>
  <si>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</si>
  <si>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</si>
  <si>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</si>
  <si>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</si>
  <si>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</si>
  <si>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</si>
  <si>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</si>
  <si>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</si>
  <si>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</si>
  <si>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</si>
  <si>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</si>
  <si>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</si>
  <si>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</si>
  <si>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</si>
  <si>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</si>
  <si>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</si>
  <si>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</si>
  <si>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</si>
  <si>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</si>
  <si>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</si>
  <si>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</si>
  <si>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</si>
  <si>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</si>
  <si>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</si>
  <si>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</si>
  <si>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</si>
  <si>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</si>
  <si>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</si>
  <si>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</si>
  <si>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</si>
  <si>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</si>
  <si>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</si>
  <si>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</si>
  <si>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</si>
  <si>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</si>
  <si>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</si>
  <si>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</si>
  <si>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</si>
  <si>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</si>
  <si>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</si>
  <si>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</si>
  <si>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</si>
  <si>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</si>
  <si>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</si>
  <si>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</si>
  <si>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</si>
  <si>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</si>
  <si>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</si>
  <si>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</si>
  <si>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</si>
  <si>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</si>
  <si>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</si>
  <si>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</si>
  <si>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</si>
  <si>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</si>
  <si>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</si>
  <si>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</si>
  <si>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</si>
  <si>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</si>
  <si>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</si>
  <si>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</si>
  <si>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</si>
  <si>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</si>
  <si>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</si>
  <si>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</si>
  <si>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</si>
  <si>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</si>
  <si>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</si>
  <si>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</si>
  <si>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</si>
  <si>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</si>
  <si>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</si>
  <si>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</si>
  <si>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</si>
  <si>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</si>
  <si>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</si>
  <si>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</si>
  <si>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</si>
  <si>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</si>
  <si>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</si>
  <si>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</si>
  <si>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</si>
  <si>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</si>
  <si>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</si>
  <si>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</si>
  <si>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</si>
  <si>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</si>
  <si>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</si>
  <si>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</si>
  <si>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</si>
  <si>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</si>
  <si>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</si>
  <si>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</si>
  <si>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</si>
  <si>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</si>
  <si>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</si>
  <si>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</si>
  <si>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</si>
  <si>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</si>
  <si>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</si>
  <si>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</si>
  <si>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</si>
  <si>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</si>
  <si>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</si>
  <si>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</si>
  <si>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</si>
  <si>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</si>
  <si>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</si>
  <si>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</si>
  <si>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</si>
  <si>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</si>
  <si>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</si>
  <si>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</si>
  <si>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</si>
  <si>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</si>
  <si>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</si>
  <si>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</si>
  <si>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</si>
  <si>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</si>
  <si>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</si>
  <si>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</si>
  <si>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</si>
  <si>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</si>
  <si>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</si>
  <si>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</si>
  <si>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</si>
  <si>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</si>
  <si>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</si>
  <si>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</si>
  <si>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</si>
  <si>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</si>
  <si>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</si>
  <si>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</si>
  <si>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</si>
  <si>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</si>
  <si>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</si>
  <si>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</si>
  <si>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</si>
  <si>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</si>
  <si>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</si>
  <si>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</si>
  <si>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</si>
  <si>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</si>
  <si>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</si>
  <si>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</si>
  <si>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</si>
  <si>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</si>
  <si>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</si>
  <si>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</si>
  <si>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</si>
  <si>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</si>
  <si>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</si>
  <si>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</si>
  <si>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</si>
  <si>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</si>
  <si>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</si>
  <si>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</si>
  <si>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</si>
  <si>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</si>
  <si>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</si>
  <si>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</si>
  <si>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</si>
  <si>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</si>
  <si>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</si>
  <si>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</si>
  <si>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</si>
  <si>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</si>
  <si>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</si>
  <si>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</si>
  <si>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</si>
  <si>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</si>
  <si>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</si>
  <si>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</si>
  <si>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</si>
  <si>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</si>
  <si>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</si>
  <si>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</si>
  <si>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</si>
  <si>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</si>
  <si>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</si>
  <si>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</si>
  <si>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</si>
  <si>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</si>
  <si>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</si>
  <si>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</si>
  <si>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</si>
  <si>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</si>
  <si>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</si>
  <si>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</si>
  <si>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</si>
  <si>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</si>
  <si>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</si>
  <si>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</si>
  <si>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</si>
  <si>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</si>
  <si>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</si>
  <si>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</si>
  <si>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</si>
  <si>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</si>
  <si>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</si>
  <si>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</si>
  <si>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</si>
  <si>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</si>
  <si>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</si>
  <si>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</si>
  <si>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</si>
  <si>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</si>
  <si>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</si>
  <si>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</si>
  <si>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</si>
  <si>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</si>
  <si>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</si>
  <si>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</si>
  <si>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</si>
  <si>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</si>
  <si>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</si>
  <si>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</si>
  <si>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</si>
  <si>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</si>
  <si>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</si>
  <si>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</si>
  <si>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</si>
  <si>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</si>
  <si>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</si>
  <si>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</si>
  <si>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</si>
  <si>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</si>
  <si>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</si>
  <si>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</si>
  <si>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</si>
  <si>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</si>
  <si>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</si>
  <si>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</si>
  <si>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</si>
  <si>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</si>
  <si>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</si>
  <si>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</si>
  <si>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</si>
  <si>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</si>
  <si>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</si>
  <si>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</si>
  <si>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</si>
  <si>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</si>
  <si>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</si>
  <si>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</si>
  <si>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</si>
  <si>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</si>
  <si>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</si>
  <si>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</si>
  <si>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</si>
  <si>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</si>
  <si>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</si>
  <si>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</si>
  <si>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</si>
  <si>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</si>
  <si>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</si>
  <si>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</si>
  <si>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</si>
  <si>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</si>
  <si>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</si>
  <si>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</si>
  <si>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</si>
  <si>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</si>
  <si>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</si>
  <si>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</si>
  <si>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</si>
  <si>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</si>
  <si>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</si>
  <si>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</si>
  <si>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</si>
  <si>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</si>
  <si>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</si>
  <si>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</si>
  <si>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</si>
  <si>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</si>
  <si>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</si>
  <si>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</si>
  <si>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</si>
  <si>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</si>
  <si>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</si>
  <si>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</si>
  <si>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</si>
  <si>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</si>
  <si>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</si>
  <si>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</si>
  <si>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</si>
  <si>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</si>
  <si>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</si>
  <si>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</si>
  <si>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</si>
  <si>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</si>
  <si>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</si>
  <si>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</si>
  <si>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</si>
  <si>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</si>
  <si>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</si>
  <si>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</si>
  <si>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</si>
  <si>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</si>
  <si>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</si>
  <si>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</si>
  <si>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</si>
  <si>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</si>
  <si>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</si>
  <si>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</si>
  <si>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</si>
  <si>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</si>
  <si>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</si>
  <si>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</si>
  <si>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</si>
  <si>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</si>
  <si>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</si>
  <si>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</si>
  <si>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</si>
  <si>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</si>
  <si>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</si>
  <si>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</si>
  <si>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</si>
  <si>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</si>
  <si>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</si>
  <si>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</si>
  <si>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</si>
  <si>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</si>
  <si>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</si>
  <si>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</si>
  <si>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</si>
  <si>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</si>
  <si>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</si>
  <si>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</si>
  <si>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</si>
  <si>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</si>
  <si>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</si>
  <si>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</si>
  <si>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</si>
  <si>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</si>
  <si>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</si>
  <si>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</si>
  <si>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</si>
  <si>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</si>
  <si>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</si>
  <si>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</si>
  <si>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</si>
  <si>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</si>
  <si>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</si>
  <si>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</si>
  <si>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</si>
  <si>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</si>
  <si>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</si>
  <si>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</si>
  <si>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</si>
  <si>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</si>
  <si>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</si>
  <si>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</si>
  <si>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</si>
  <si>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</si>
  <si>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</si>
  <si>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</si>
  <si>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</si>
  <si>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</si>
  <si>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</si>
  <si>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</si>
  <si>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</si>
  <si>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</si>
  <si>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</si>
  <si>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</si>
  <si>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</si>
  <si>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</si>
  <si>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</si>
  <si>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</si>
  <si>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</si>
  <si>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</si>
  <si>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</si>
  <si>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</si>
  <si>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</si>
  <si>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</si>
  <si>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</si>
  <si>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</si>
  <si>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</si>
  <si>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</si>
  <si>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</si>
  <si>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</si>
  <si>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</si>
  <si>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</si>
  <si>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</si>
  <si>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</si>
  <si>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</si>
  <si>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</si>
  <si>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</si>
  <si>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</si>
  <si>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</si>
  <si>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</si>
  <si>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</si>
  <si>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</si>
  <si>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</si>
  <si>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</si>
  <si>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</si>
  <si>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</si>
  <si>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</si>
  <si>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</si>
  <si>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</si>
  <si>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</si>
  <si>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</si>
  <si>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</si>
  <si>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</si>
  <si>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</si>
  <si>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</si>
  <si>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</si>
  <si>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</si>
  <si>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</si>
  <si>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</si>
  <si>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</si>
  <si>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</si>
  <si>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</si>
  <si>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</si>
  <si>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</si>
  <si>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</si>
  <si>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</si>
  <si>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</si>
  <si>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</si>
  <si>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</si>
  <si>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</si>
  <si>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</si>
  <si>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</si>
  <si>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</si>
  <si>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</si>
  <si>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</si>
  <si>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</si>
  <si>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</si>
  <si>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</si>
  <si>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</si>
  <si>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</si>
  <si>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</si>
  <si>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</si>
  <si>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</si>
  <si>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</si>
  <si>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</si>
  <si>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</si>
  <si>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</si>
  <si>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</si>
  <si>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</si>
  <si>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</si>
  <si>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</si>
  <si>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</si>
  <si>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</si>
  <si>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</si>
  <si>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</si>
  <si>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</si>
  <si>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</si>
  <si>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</si>
  <si>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</si>
  <si>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</si>
  <si>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</si>
  <si>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</si>
  <si>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</si>
  <si>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</si>
  <si>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</si>
  <si>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</si>
  <si>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</si>
  <si>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</si>
  <si>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</si>
  <si>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</si>
  <si>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</si>
  <si>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</si>
  <si>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</si>
  <si>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</si>
  <si>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</si>
  <si>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</si>
  <si>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</si>
  <si>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</si>
  <si>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</si>
  <si>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</si>
  <si>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</si>
  <si>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</si>
  <si>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</si>
  <si>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</si>
  <si>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</si>
  <si>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</si>
  <si>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</si>
  <si>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</si>
  <si>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</si>
  <si>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</si>
  <si>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</si>
  <si>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</si>
  <si>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</si>
  <si>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</si>
  <si>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</si>
  <si>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</si>
  <si>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</si>
  <si>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</si>
  <si>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</si>
  <si>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</si>
  <si>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</si>
  <si>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</si>
  <si>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</si>
  <si>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</si>
  <si>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</si>
  <si>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</si>
  <si>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</si>
  <si>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</si>
  <si>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</si>
  <si>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</si>
  <si>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</si>
  <si>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</si>
  <si>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</si>
  <si>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</si>
  <si>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</si>
  <si>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</si>
  <si>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</si>
  <si>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</si>
  <si>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</si>
  <si>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</si>
  <si>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</si>
  <si>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</si>
  <si>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</si>
  <si>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</si>
  <si>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</si>
  <si>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</si>
  <si>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</si>
  <si>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</si>
  <si>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</si>
  <si>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</si>
  <si>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</si>
  <si>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</si>
  <si>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</si>
  <si>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</si>
  <si>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</si>
  <si>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</si>
  <si>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</si>
  <si>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</si>
  <si>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</si>
  <si>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</si>
  <si>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</si>
  <si>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</si>
  <si>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</si>
  <si>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</si>
  <si>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</si>
  <si>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</si>
  <si>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</si>
  <si>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</si>
  <si>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</si>
  <si>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</si>
  <si>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</si>
  <si>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</si>
  <si>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</si>
  <si>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</si>
  <si>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</si>
  <si>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</si>
  <si>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</si>
  <si>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</si>
  <si>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</si>
  <si>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</si>
  <si>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</si>
  <si>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</si>
  <si>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</si>
  <si>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</si>
  <si>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</si>
  <si>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</si>
  <si>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</si>
  <si>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</si>
  <si>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</si>
  <si>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</si>
  <si>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</si>
  <si>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</si>
  <si>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</si>
  <si>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</si>
  <si>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</si>
  <si>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</si>
  <si>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</si>
  <si>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</si>
  <si>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</si>
  <si>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</si>
  <si>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</si>
  <si>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</si>
  <si>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</si>
  <si>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</si>
  <si>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</si>
  <si>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</si>
  <si>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</si>
  <si>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</si>
  <si>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</si>
  <si>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</si>
  <si>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</si>
  <si>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</si>
  <si>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</si>
  <si>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</si>
  <si>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</si>
  <si>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</si>
  <si>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</si>
  <si>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</si>
  <si>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</si>
  <si>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</si>
  <si>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</si>
  <si>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</si>
  <si>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</si>
  <si>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</si>
  <si>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</si>
  <si>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</si>
  <si>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</si>
  <si>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</si>
  <si>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</si>
  <si>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</si>
  <si>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</si>
  <si>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</si>
  <si>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</si>
  <si>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</si>
  <si>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</si>
  <si>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</si>
  <si>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</si>
  <si>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</si>
  <si>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</si>
  <si>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</si>
  <si>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</si>
  <si>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</si>
  <si>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</si>
  <si>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</si>
  <si>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</si>
  <si>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</si>
  <si>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</si>
  <si>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</si>
  <si>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</si>
  <si>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</si>
  <si>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</si>
  <si>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</si>
  <si>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</si>
  <si>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</si>
  <si>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</si>
  <si>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</si>
  <si>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</si>
  <si>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</si>
  <si>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</si>
  <si>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</si>
  <si>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</si>
  <si>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</si>
  <si>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</si>
  <si>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</si>
  <si>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</si>
  <si>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</si>
  <si>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</si>
  <si>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</si>
  <si>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</si>
  <si>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</si>
  <si>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</si>
  <si>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</si>
  <si>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</si>
  <si>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</si>
  <si>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</si>
  <si>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</si>
  <si>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</si>
  <si>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</si>
  <si>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</si>
  <si>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</si>
  <si>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</si>
  <si>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</si>
  <si>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</si>
  <si>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</si>
  <si>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</si>
  <si>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</si>
  <si>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</si>
  <si>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</si>
  <si>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</si>
  <si>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</si>
  <si>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</si>
  <si>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</si>
  <si>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</si>
  <si>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</si>
  <si>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</si>
  <si>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</si>
  <si>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</si>
  <si>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</si>
  <si>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</si>
  <si>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</si>
  <si>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</si>
  <si>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</si>
  <si>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</si>
  <si>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</si>
  <si>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</si>
  <si>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</si>
  <si>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</si>
  <si>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</si>
  <si>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</si>
  <si>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</si>
  <si>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</si>
  <si>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</si>
  <si>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</si>
  <si>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</si>
  <si>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</si>
  <si>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</si>
  <si>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</si>
  <si>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</si>
  <si>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</si>
  <si>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</si>
  <si>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</si>
  <si>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</si>
  <si>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</si>
  <si>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</si>
  <si>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</si>
  <si>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</si>
  <si>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</si>
  <si>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</si>
  <si>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</si>
  <si>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</si>
  <si>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</si>
  <si>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</si>
  <si>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</si>
  <si>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</si>
  <si>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</si>
  <si>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</si>
  <si>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</si>
  <si>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</si>
  <si>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</si>
  <si>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</si>
  <si>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</si>
  <si>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</si>
  <si>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</si>
  <si>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</si>
  <si>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</si>
  <si>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</si>
  <si>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</si>
  <si>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</si>
  <si>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</si>
  <si>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</si>
  <si>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</si>
  <si>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</si>
  <si>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</si>
  <si>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</si>
  <si>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</si>
  <si>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</si>
  <si>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</si>
  <si>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</si>
  <si>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</si>
  <si>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</si>
  <si>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</si>
  <si>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</si>
  <si>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</si>
  <si>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</si>
  <si>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</si>
  <si>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</si>
  <si>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</si>
  <si>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</si>
  <si>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</si>
  <si>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</si>
  <si>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</si>
  <si>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</si>
  <si>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</si>
  <si>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</si>
  <si>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</si>
  <si>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</si>
  <si>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</si>
  <si>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</si>
  <si>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</si>
  <si>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Woodford</t>
  </si>
  <si>
    <t>Woodford County Special Education Association</t>
  </si>
  <si>
    <t>205 S. Engelwood Dr.</t>
  </si>
  <si>
    <t>Metamora</t>
  </si>
  <si>
    <t>escroggs@wcsea.us</t>
  </si>
  <si>
    <t>Eric Scroggs</t>
  </si>
  <si>
    <t>Tim C. Custis, CPA</t>
  </si>
  <si>
    <t>tcustis@gorenzcpa.com</t>
  </si>
  <si>
    <t>53-102-8010-60</t>
  </si>
  <si>
    <t>NONE</t>
  </si>
  <si>
    <t>There were no findings for the prior year ending June 30, 2018.</t>
  </si>
  <si>
    <t>FY'12</t>
  </si>
  <si>
    <t>(2) Medicaid AO</t>
  </si>
  <si>
    <t xml:space="preserve">    (M) Indicates Major Federal Financial Assistance Program.</t>
  </si>
  <si>
    <t>Total Federal Awards</t>
  </si>
  <si>
    <t>Total Federal Awards Passes Through Other Entities</t>
  </si>
  <si>
    <t>Total  Federal Awards Passed Through Illinois State Board of Education</t>
  </si>
  <si>
    <t>Total U.S. Department of Health and Human Services - Pass-through programs</t>
  </si>
  <si>
    <t>N/A</t>
  </si>
  <si>
    <t>10-4991-00</t>
  </si>
  <si>
    <t>Medicaid-Administrative Outreach</t>
  </si>
  <si>
    <t>19-4991-00</t>
  </si>
  <si>
    <t>18-4991-00</t>
  </si>
  <si>
    <t xml:space="preserve">   Illinois Department of Health Care and Family Services</t>
  </si>
  <si>
    <t xml:space="preserve">   Pass-through program from</t>
  </si>
  <si>
    <t>U.S. Department of Health and Human Services -</t>
  </si>
  <si>
    <t>Total U.S. Department of Education - Pass-through programs</t>
  </si>
  <si>
    <t xml:space="preserve">  Total 84.126</t>
  </si>
  <si>
    <t>46CXF00046</t>
  </si>
  <si>
    <t>S.T.E.P.    (Note #5)</t>
  </si>
  <si>
    <t>46CWF00046</t>
  </si>
  <si>
    <t xml:space="preserve">   Illinois Department of Human Services</t>
  </si>
  <si>
    <t>U.S. Department of Education-</t>
  </si>
  <si>
    <t xml:space="preserve">   From Illinois State Board of Education</t>
  </si>
  <si>
    <t>Total IDEA Cluster</t>
  </si>
  <si>
    <t>Total 84.173</t>
  </si>
  <si>
    <t>19-4600-00</t>
  </si>
  <si>
    <t>84.173</t>
  </si>
  <si>
    <t>Preschool Flow Through</t>
  </si>
  <si>
    <t>(M)</t>
  </si>
  <si>
    <t>18-4600-00</t>
  </si>
  <si>
    <t>Total 84.027</t>
  </si>
  <si>
    <t>Subrecipient - Eureka #140</t>
  </si>
  <si>
    <t>Subrecipient - Metamora High #122</t>
  </si>
  <si>
    <t>Subrecipient - Germantown Hills #69</t>
  </si>
  <si>
    <t>Subrecipient - Roanoke Benson #60</t>
  </si>
  <si>
    <t>Subrecipient - Lowpoint Wshburn #21</t>
  </si>
  <si>
    <t>Subrecipient - Fieldcrest #6</t>
  </si>
  <si>
    <t>Subrecipient -Riverview #2</t>
  </si>
  <si>
    <t>Subrecipient - Metamora Grade #1</t>
  </si>
  <si>
    <t>19-2200-00</t>
  </si>
  <si>
    <t>84.027</t>
  </si>
  <si>
    <t>IDEA - Flow-Through</t>
  </si>
  <si>
    <t>19-4620-00</t>
  </si>
  <si>
    <t>18-2200-00</t>
  </si>
  <si>
    <t>18-4620-00</t>
  </si>
  <si>
    <t>14-4630-00</t>
  </si>
  <si>
    <t>IDEA - Discretionary</t>
  </si>
  <si>
    <t xml:space="preserve">   Illinois State Board of Education</t>
  </si>
  <si>
    <t xml:space="preserve">US Department of Education - </t>
  </si>
  <si>
    <t xml:space="preserve">         (I)         </t>
  </si>
  <si>
    <t xml:space="preserve">         (H)         </t>
  </si>
  <si>
    <t xml:space="preserve">         (G)         </t>
  </si>
  <si>
    <t xml:space="preserve">         (F)         </t>
  </si>
  <si>
    <t xml:space="preserve">         (E)         </t>
  </si>
  <si>
    <t xml:space="preserve">         (D)         </t>
  </si>
  <si>
    <t xml:space="preserve">         (C)         </t>
  </si>
  <si>
    <t xml:space="preserve">         (B)         </t>
  </si>
  <si>
    <t xml:space="preserve">        (A)        </t>
  </si>
  <si>
    <t>Program Title &amp; Major Program Designation</t>
  </si>
  <si>
    <t>Encumbrances</t>
  </si>
  <si>
    <t>6/30/19</t>
  </si>
  <si>
    <t>7/01/18</t>
  </si>
  <si>
    <t>Number</t>
  </si>
  <si>
    <t>Federal Grantor/Pass-Through Grantor,</t>
  </si>
  <si>
    <t>Final</t>
  </si>
  <si>
    <t>Prior to</t>
  </si>
  <si>
    <t>7/01/18 -</t>
  </si>
  <si>
    <t>Project</t>
  </si>
  <si>
    <t xml:space="preserve">  Expenditures/Disbursements  </t>
  </si>
  <si>
    <t xml:space="preserve">          Receipts/Revenues          </t>
  </si>
  <si>
    <t>ISBE</t>
  </si>
  <si>
    <t xml:space="preserve">                                     Year Ended June 30, 2019                                     </t>
  </si>
  <si>
    <t>Woodford County, Illinois</t>
  </si>
  <si>
    <t>Note 6:  Other Information</t>
  </si>
  <si>
    <r>
      <t xml:space="preserve">The following amounts were expended in the form of non-cash assistance by </t>
    </r>
    <r>
      <rPr>
        <b/>
        <sz val="9"/>
        <rFont val="Calibri"/>
        <family val="2"/>
        <scheme val="minor"/>
      </rPr>
      <t>Woodford County Special Education Association</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</si>
  <si>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Note 5:  Non-Cash Assistance</t>
  </si>
  <si>
    <t>Note 4: - Relationship to Basic Financial Statements and Program Financial Reports</t>
  </si>
  <si>
    <t>IDEA - Flow-Through - See SEFA for Detail</t>
  </si>
  <si>
    <r>
      <t xml:space="preserve">Of the federal expenditures presented in the schedule, </t>
    </r>
    <r>
      <rPr>
        <b/>
        <sz val="9"/>
        <rFont val="Calibri"/>
        <family val="2"/>
        <scheme val="minor"/>
      </rPr>
      <t>Woodford County Special Education Association</t>
    </r>
    <r>
      <rPr>
        <sz val="9"/>
        <rFont val="Calibri"/>
        <family val="2"/>
        <scheme val="minor"/>
      </rPr>
      <t xml:space="preserve"> provided federal awards to subrecipients as follows:</t>
    </r>
  </si>
  <si>
    <t>x</t>
  </si>
  <si>
    <r>
      <t xml:space="preserve">The accompanying Schedule of Expenditures of Federal Awards includes the federal grant activity of </t>
    </r>
    <r>
      <rPr>
        <b/>
        <sz val="9"/>
        <rFont val="Calibri"/>
        <family val="2"/>
        <scheme val="minor"/>
      </rPr>
      <t>Woodford County Special Education Association</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</si>
  <si>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Unmodified</t>
  </si>
  <si>
    <t>84.024 &amp; 84.173</t>
  </si>
  <si>
    <t>IDEA Cluster</t>
  </si>
  <si>
    <t>Federal awards received are reflected in the Association's financial statements within the Educational Fund as receipts from federal sources anf federal flow through sources. Amounts recorded in the accompanying Schedule of Financial Awards agree with the amounts reported in the Program Financial Reports for programs which have filed final reports as of June 30, 2019 with ISBE.</t>
  </si>
  <si>
    <t>S.T.E.P.  46CXF00046  $128,482</t>
  </si>
  <si>
    <t>Total Federal Expenditures for 7/1/18-6/30/19</t>
  </si>
  <si>
    <t>105ILCS 5/8-2 Bond of Treasurer requires that every school treasurer post a surety bond "before entering upon his duties". The bond must provide a penalty of 25% of "all bonds, notes, mortgage, moneys and effects of which the treasurer has custody at any time". The bond must be approved by the governing school board and filed with the regional superintendent of schools.</t>
  </si>
  <si>
    <t>During the fiscal year under audit, management failed to cover 25% of the highest available balance (cash &amp; investments) with a School District Treasurer's Bond.</t>
  </si>
  <si>
    <t>During the fiscal year under audit, the Association's highest available balance (cash and investments) was $2,681,249. 25% of that amount is $670,312. The Association's Treasurer's Bond was for $650,000.</t>
  </si>
  <si>
    <t>For one month during the fiscal year, the Association was not adequately covered by a Treasurer's Bond. Coverage was
adequate as of June 30, 2019.</t>
  </si>
  <si>
    <t>The Association's available balances were higher during the year than anticipated.</t>
  </si>
  <si>
    <t>The Association should raise the Treasurer's Bond coverage to ensure covering 25% of the maximum amounts available during the year, or monitor cash and investment balances more closely, in order that more coverage be purchased when needed.</t>
  </si>
  <si>
    <t>The District will monitor cash and investment balances more closely during the year.</t>
  </si>
  <si>
    <r>
      <t>21</t>
    </r>
    <r>
      <rPr>
        <sz val="8"/>
        <rFont val="Arial"/>
        <family val="2"/>
      </rPr>
      <t xml:space="preserve">  Must address </t>
    </r>
    <r>
      <rPr>
        <b/>
        <sz val="8"/>
        <rFont val="Arial"/>
        <family val="2"/>
      </rPr>
      <t>each</t>
    </r>
    <r>
      <rPr>
        <sz val="8"/>
        <rFont val="Arial"/>
        <family val="2"/>
      </rPr>
      <t xml:space="preserve"> audit finding  - §200.511 ( c)</t>
    </r>
  </si>
  <si>
    <t>The Association will monitor cash and investment balances more closely.</t>
  </si>
  <si>
    <t>Management Response:</t>
  </si>
  <si>
    <t>Eric Scroggs, Director</t>
  </si>
  <si>
    <t>Name of Contact Person:</t>
  </si>
  <si>
    <t>July, 2020</t>
  </si>
  <si>
    <t>Anticipated Date of Completion:</t>
  </si>
  <si>
    <t>The Association will monitor cash and investment balances more closely and raise the Treasurer's Bond coverage to ensure covering 25% of the maximum amounts available during the year.</t>
  </si>
  <si>
    <t>Plan:</t>
  </si>
  <si>
    <t>Condition:</t>
  </si>
  <si>
    <t>Finding No.:</t>
  </si>
  <si>
    <t>Corrective Action Plan</t>
  </si>
  <si>
    <r>
      <t>CORRECTIVE ACTION PLAN FOR CURRENT YEAR AUDIT FINDINGS</t>
    </r>
    <r>
      <rPr>
        <b/>
        <vertAlign val="superscript"/>
        <sz val="9"/>
        <rFont val="Arial"/>
        <family val="2"/>
      </rPr>
      <t>21</t>
    </r>
  </si>
  <si>
    <t>Page 10, Line 74 - Snack Revenue</t>
  </si>
  <si>
    <t>Page 14, Line 272 - STEP Revenue</t>
  </si>
  <si>
    <t>Page 16, Line 83 - Admin Fee to Germantown Hills</t>
  </si>
  <si>
    <t>Part A - 2 - See Finding 2019-001</t>
  </si>
  <si>
    <t>Advocate Hospital</t>
  </si>
  <si>
    <t>10-2100-300</t>
  </si>
  <si>
    <t>Ed -Support Services - Pupil - Purchased Services</t>
  </si>
  <si>
    <t>Gorenz and Associates, Ltd</t>
  </si>
  <si>
    <t>See PDF version</t>
  </si>
  <si>
    <t>Woodford County Spec Educ Assn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</si>
</sst>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 &quot;_);_(@_)"/>
    <numFmt numFmtId="182" formatCode="0.000_)"/>
    <numFmt numFmtId="183" formatCode="_(* #,##0_);_(* \(#,##0\);_(* &quot;-&quot;??_);_(@_)"/>
    <numFmt numFmtId="184" formatCode="_(* #,##0_);_(* \(#,##0\);_(* &quot;0&quot;_);_(@_)"/>
    <numFmt numFmtId="185" formatCode="&quot;$&quot;#,##0"/>
  </numFmts>
  <fonts count="1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vertAlign val="superscript"/>
      <sz val="8"/>
      <name val="Arial"/>
      <family val="2"/>
    </font>
    <font>
      <u val="doubleAccounting"/>
      <sz val="10"/>
      <name val="Garamond"/>
      <family val="1"/>
    </font>
    <font>
      <sz val="10"/>
      <name val="Garamond"/>
      <family val="1"/>
    </font>
    <font>
      <u val="singleAccounting"/>
      <sz val="10"/>
      <name val="Garamond"/>
      <family val="1"/>
    </font>
    <font>
      <u val="double"/>
      <sz val="10"/>
      <name val="Garamond"/>
      <family val="1"/>
    </font>
    <font>
      <sz val="10"/>
      <name val="Courier"/>
      <family val="3"/>
    </font>
    <font>
      <b/>
      <u val="singleAccounting"/>
      <sz val="10"/>
      <name val="Garamond"/>
      <family val="1"/>
    </font>
    <font>
      <b/>
      <sz val="10"/>
      <name val="Garamond"/>
      <family val="1"/>
    </font>
    <font>
      <u/>
      <sz val="10"/>
      <name val="Garamond"/>
      <family val="1"/>
    </font>
    <font>
      <b/>
      <sz val="11"/>
      <name val="Garamond"/>
      <family val="1"/>
    </font>
    <font>
      <b/>
      <u/>
      <sz val="11"/>
      <name val="Garamond"/>
      <family val="1"/>
    </font>
    <font>
      <b/>
      <sz val="12"/>
      <name val="Garamond"/>
      <family val="1"/>
    </font>
    <font>
      <b/>
      <i/>
      <sz val="10"/>
      <name val="Arial"/>
      <family val="2"/>
    </font>
    <font>
      <b/>
      <u/>
      <sz val="8"/>
      <name val="Arial"/>
      <family val="2"/>
    </font>
    <font>
      <b/>
      <vertAlign val="superscript"/>
      <sz val="9"/>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5">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37" fontId="139" fillId="0" borderId="0"/>
    <xf numFmtId="43" fontId="46" fillId="0" borderId="0" applyFont="0" applyFill="0" applyBorder="0" applyAlignment="0" applyProtection="0"/>
    <xf numFmtId="0" fontId="3" fillId="0" borderId="0"/>
    <xf numFmtId="37" fontId="145" fillId="0" borderId="0" applyProtection="0"/>
    <xf numFmtId="9" fontId="46" fillId="0" borderId="0" applyFont="0" applyFill="0" applyBorder="0" applyAlignment="0" applyProtection="0"/>
    <xf numFmtId="9" fontId="2" fillId="0" borderId="0" applyFont="0" applyFill="0" applyBorder="0" applyAlignment="0" applyProtection="0"/>
  </cellStyleXfs>
  <cellXfs count="260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0" fontId="55" fillId="0" borderId="0" xfId="3" applyFont="1" applyProtection="1"/>
    <xf numFmtId="0" fontId="55" fillId="0" borderId="0" xfId="3" applyFont="1" applyFill="1" applyProtection="1"/>
    <xf numFmtId="0" fontId="58" fillId="0" borderId="0" xfId="3" applyFont="1" applyFill="1" applyProtection="1"/>
    <xf numFmtId="0" fontId="56" fillId="0" borderId="0" xfId="3" applyFont="1" applyProtection="1"/>
    <xf numFmtId="0" fontId="66" fillId="0" borderId="0" xfId="3" applyFont="1" applyAlignment="1" applyProtection="1">
      <alignment horizontal="center"/>
    </xf>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58" fillId="0" borderId="78" xfId="3" applyFont="1" applyBorder="1" applyProtection="1"/>
    <xf numFmtId="0" fontId="63" fillId="0" borderId="0" xfId="3" applyFont="1" applyProtection="1"/>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9" xfId="3" applyFont="1" applyBorder="1" applyProtection="1">
      <protection locked="0"/>
    </xf>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120" fillId="0" borderId="0" xfId="3" applyFont="1" applyBorder="1" applyProtection="1"/>
    <xf numFmtId="0" fontId="120" fillId="0" borderId="0" xfId="3" applyFont="1" applyProtection="1"/>
    <xf numFmtId="0" fontId="58" fillId="0" borderId="9" xfId="3" applyFont="1" applyBorder="1" applyProtection="1"/>
    <xf numFmtId="0" fontId="58" fillId="0" borderId="9" xfId="3" applyFont="1" applyBorder="1" applyAlignment="1" applyProtection="1">
      <alignment horizontal="center"/>
    </xf>
    <xf numFmtId="0" fontId="58" fillId="0" borderId="0" xfId="3" applyFont="1" applyBorder="1" applyAlignment="1" applyProtection="1"/>
    <xf numFmtId="0" fontId="58" fillId="0" borderId="9" xfId="3" applyFont="1" applyBorder="1" applyAlignment="1" applyProtection="1">
      <alignment horizontal="center" vertical="center"/>
      <protection locked="0"/>
    </xf>
    <xf numFmtId="169" fontId="63" fillId="0" borderId="77" xfId="3" applyNumberFormat="1" applyFont="1" applyBorder="1" applyAlignment="1" applyProtection="1">
      <alignment horizontal="center"/>
      <protection locked="0"/>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55" fillId="0" borderId="0" xfId="3" applyFont="1" applyAlignment="1">
      <alignment horizontal="center" vertical="center"/>
    </xf>
    <xf numFmtId="0" fontId="58" fillId="0" borderId="0" xfId="3" applyFont="1" applyAlignment="1">
      <alignment horizontal="center" vertical="center"/>
    </xf>
    <xf numFmtId="0" fontId="58" fillId="0" borderId="0" xfId="3" applyFont="1" applyAlignment="1">
      <alignment horizontal="center"/>
    </xf>
    <xf numFmtId="0" fontId="65" fillId="0" borderId="0" xfId="3" applyFont="1" applyAlignment="1">
      <alignment horizontal="center" vertical="top" textRotation="180"/>
    </xf>
    <xf numFmtId="0" fontId="120" fillId="0" borderId="0" xfId="3" applyFont="1"/>
    <xf numFmtId="0" fontId="58" fillId="0" borderId="78" xfId="3" applyFont="1" applyBorder="1"/>
    <xf numFmtId="0" fontId="58" fillId="0" borderId="78" xfId="3" applyFont="1" applyBorder="1" applyAlignment="1">
      <alignment horizontal="center"/>
    </xf>
    <xf numFmtId="0" fontId="58" fillId="0" borderId="144" xfId="3" applyFont="1" applyBorder="1"/>
    <xf numFmtId="0" fontId="58" fillId="0" borderId="144" xfId="3" applyFont="1" applyBorder="1" applyAlignment="1">
      <alignment horizontal="center"/>
    </xf>
    <xf numFmtId="0" fontId="66" fillId="0" borderId="144" xfId="3" applyFont="1" applyBorder="1"/>
    <xf numFmtId="0" fontId="65" fillId="0" borderId="144" xfId="3" applyFont="1" applyBorder="1" applyAlignment="1">
      <alignment horizontal="left"/>
    </xf>
    <xf numFmtId="0" fontId="65" fillId="0" borderId="144" xfId="3" applyFont="1" applyBorder="1"/>
    <xf numFmtId="0" fontId="65" fillId="0" borderId="144" xfId="3" quotePrefix="1" applyFont="1" applyBorder="1" applyAlignment="1">
      <alignment horizontal="left"/>
    </xf>
    <xf numFmtId="8" fontId="58" fillId="0" borderId="0" xfId="3" applyNumberFormat="1" applyFont="1" applyAlignment="1">
      <alignment horizontal="left"/>
    </xf>
    <xf numFmtId="0" fontId="56" fillId="0" borderId="144" xfId="3" applyFont="1" applyBorder="1"/>
    <xf numFmtId="0" fontId="56" fillId="0" borderId="144" xfId="3" applyFont="1" applyBorder="1" applyAlignment="1">
      <alignment horizontal="center"/>
    </xf>
    <xf numFmtId="0" fontId="66" fillId="0" borderId="0" xfId="3" applyFont="1"/>
    <xf numFmtId="0" fontId="65" fillId="0" borderId="0" xfId="3" applyFont="1" applyAlignment="1">
      <alignment horizontal="left"/>
    </xf>
    <xf numFmtId="0" fontId="65" fillId="0" borderId="0" xfId="3" applyFont="1" applyAlignment="1">
      <alignment horizontal="left" indent="1"/>
    </xf>
    <xf numFmtId="0" fontId="58" fillId="0" borderId="0" xfId="3" applyFont="1" applyAlignment="1">
      <alignment horizontal="left" indent="1"/>
    </xf>
    <xf numFmtId="0" fontId="66" fillId="0" borderId="0" xfId="3" applyFont="1" applyAlignment="1">
      <alignment horizontal="right"/>
    </xf>
    <xf numFmtId="0" fontId="66" fillId="0" borderId="0" xfId="3" applyFont="1" applyAlignment="1">
      <alignment horizontal="centerContinuous"/>
    </xf>
    <xf numFmtId="166" fontId="66" fillId="0" borderId="0" xfId="3" applyNumberFormat="1" applyFont="1" applyAlignment="1">
      <alignment horizontal="center" vertical="top"/>
    </xf>
    <xf numFmtId="165" fontId="55" fillId="0" borderId="0" xfId="3" applyNumberFormat="1" applyFont="1" applyAlignment="1">
      <alignment horizontal="center" vertical="center"/>
    </xf>
    <xf numFmtId="49" fontId="66" fillId="0" borderId="0" xfId="3" applyNumberFormat="1" applyFont="1" applyAlignment="1">
      <alignment horizontal="center" vertical="top"/>
    </xf>
    <xf numFmtId="37" fontId="139" fillId="0" borderId="0" xfId="19" applyAlignment="1">
      <alignment vertical="center"/>
    </xf>
    <xf numFmtId="37" fontId="139" fillId="0" borderId="0" xfId="19" applyAlignment="1">
      <alignment horizontal="center" vertical="center"/>
    </xf>
    <xf numFmtId="37" fontId="46" fillId="0" borderId="0" xfId="19" applyFont="1" applyAlignment="1">
      <alignment horizontal="center" vertical="center"/>
    </xf>
    <xf numFmtId="37" fontId="139" fillId="0" borderId="0" xfId="19" applyProtection="1">
      <protection locked="0"/>
    </xf>
    <xf numFmtId="37" fontId="14" fillId="0" borderId="0" xfId="19" applyFont="1" applyAlignment="1">
      <alignment vertical="center"/>
    </xf>
    <xf numFmtId="37" fontId="139" fillId="0" borderId="0" xfId="19" applyAlignment="1" applyProtection="1">
      <alignment horizontal="center"/>
      <protection locked="0"/>
    </xf>
    <xf numFmtId="1" fontId="139" fillId="0" borderId="0" xfId="19" applyNumberFormat="1" applyProtection="1">
      <protection locked="0"/>
    </xf>
    <xf numFmtId="169" fontId="139" fillId="0" borderId="0" xfId="19" applyNumberFormat="1" applyProtection="1">
      <protection locked="0"/>
    </xf>
    <xf numFmtId="37" fontId="139" fillId="0" borderId="0" xfId="19" applyAlignment="1">
      <alignment horizontal="left"/>
    </xf>
    <xf numFmtId="1" fontId="139" fillId="0" borderId="0" xfId="19" applyNumberFormat="1" applyAlignment="1">
      <alignment horizontal="left"/>
    </xf>
    <xf numFmtId="169" fontId="139" fillId="0" borderId="0" xfId="19" applyNumberFormat="1" applyAlignment="1">
      <alignment horizontal="left"/>
    </xf>
    <xf numFmtId="37" fontId="12" fillId="0" borderId="0" xfId="19" applyFont="1" applyAlignment="1">
      <alignment horizontal="left"/>
    </xf>
    <xf numFmtId="1" fontId="12" fillId="0" borderId="0" xfId="19" applyNumberFormat="1" applyFont="1" applyAlignment="1">
      <alignment horizontal="left"/>
    </xf>
    <xf numFmtId="169" fontId="12" fillId="0" borderId="0" xfId="19" applyNumberFormat="1" applyFont="1" applyAlignment="1">
      <alignment horizontal="left"/>
    </xf>
    <xf numFmtId="37" fontId="140" fillId="0" borderId="0" xfId="19" applyFont="1" applyAlignment="1">
      <alignment horizontal="left"/>
    </xf>
    <xf numFmtId="37" fontId="12" fillId="0" borderId="0" xfId="19" applyFont="1"/>
    <xf numFmtId="37" fontId="139" fillId="0" borderId="78" xfId="19" applyBorder="1" applyAlignment="1">
      <alignment vertical="center"/>
    </xf>
    <xf numFmtId="181" fontId="139" fillId="0" borderId="0" xfId="19" applyNumberFormat="1" applyAlignment="1">
      <alignment vertical="center"/>
    </xf>
    <xf numFmtId="181" fontId="139" fillId="0" borderId="0" xfId="19" applyNumberFormat="1" applyAlignment="1">
      <alignment horizontal="center" vertical="center"/>
    </xf>
    <xf numFmtId="182" fontId="139" fillId="0" borderId="0" xfId="19" applyNumberFormat="1" applyAlignment="1">
      <alignment vertical="center"/>
    </xf>
    <xf numFmtId="183" fontId="141" fillId="0" borderId="0" xfId="20" applyNumberFormat="1" applyFont="1" applyAlignment="1">
      <alignment vertical="center"/>
    </xf>
    <xf numFmtId="37" fontId="142" fillId="0" borderId="0" xfId="19" applyFont="1" applyAlignment="1">
      <alignment vertical="center"/>
    </xf>
    <xf numFmtId="183" fontId="143" fillId="0" borderId="0" xfId="20" applyNumberFormat="1" applyFont="1"/>
    <xf numFmtId="37" fontId="142" fillId="0" borderId="0" xfId="19" applyFont="1"/>
    <xf numFmtId="184" fontId="142" fillId="0" borderId="0" xfId="19" applyNumberFormat="1" applyFont="1"/>
    <xf numFmtId="184" fontId="142" fillId="0" borderId="0" xfId="19" applyNumberFormat="1" applyFont="1" applyAlignment="1">
      <alignment horizontal="center"/>
    </xf>
    <xf numFmtId="183" fontId="142" fillId="0" borderId="0" xfId="20" applyNumberFormat="1" applyFont="1"/>
    <xf numFmtId="37" fontId="142" fillId="0" borderId="0" xfId="19" applyFont="1" applyAlignment="1">
      <alignment horizontal="center"/>
    </xf>
    <xf numFmtId="37" fontId="142" fillId="0" borderId="0" xfId="19" applyFont="1" applyAlignment="1">
      <alignment horizontal="left"/>
    </xf>
    <xf numFmtId="37" fontId="142" fillId="0" borderId="0" xfId="19" quotePrefix="1" applyFont="1" applyAlignment="1">
      <alignment horizontal="center"/>
    </xf>
    <xf numFmtId="184" fontId="142" fillId="0" borderId="0" xfId="19" applyNumberFormat="1" applyFont="1" applyAlignment="1">
      <alignment horizontal="left"/>
    </xf>
    <xf numFmtId="184" fontId="144" fillId="0" borderId="0" xfId="19" applyNumberFormat="1" applyFont="1"/>
    <xf numFmtId="182" fontId="142" fillId="0" borderId="0" xfId="19" applyNumberFormat="1" applyFont="1"/>
    <xf numFmtId="184" fontId="143" fillId="0" borderId="0" xfId="19" applyNumberFormat="1" applyFont="1"/>
    <xf numFmtId="37" fontId="46" fillId="0" borderId="0" xfId="19" applyFont="1" applyAlignment="1">
      <alignment vertical="center"/>
    </xf>
    <xf numFmtId="181" fontId="145" fillId="0" borderId="0" xfId="22" applyNumberFormat="1" applyAlignment="1">
      <alignment horizontal="center" vertical="center"/>
    </xf>
    <xf numFmtId="181" fontId="46" fillId="0" borderId="0" xfId="22" applyNumberFormat="1" applyFont="1" applyAlignment="1">
      <alignment horizontal="center" vertical="center"/>
    </xf>
    <xf numFmtId="184" fontId="146" fillId="0" borderId="0" xfId="19" applyNumberFormat="1" applyFont="1" applyAlignment="1">
      <alignment horizontal="center"/>
    </xf>
    <xf numFmtId="184" fontId="143" fillId="0" borderId="0" xfId="19" applyNumberFormat="1" applyFont="1" applyAlignment="1">
      <alignment horizontal="center"/>
    </xf>
    <xf numFmtId="37" fontId="142" fillId="0" borderId="0" xfId="19" quotePrefix="1" applyFont="1" applyAlignment="1">
      <alignment horizontal="right"/>
    </xf>
    <xf numFmtId="183" fontId="141" fillId="0" borderId="0" xfId="20" applyNumberFormat="1" applyFont="1"/>
    <xf numFmtId="37" fontId="147" fillId="0" borderId="0" xfId="19" applyFont="1"/>
    <xf numFmtId="37" fontId="148" fillId="0" borderId="0" xfId="19" applyFont="1"/>
    <xf numFmtId="184" fontId="147" fillId="0" borderId="0" xfId="20" applyNumberFormat="1" applyFont="1" applyAlignment="1">
      <alignment horizontal="right"/>
    </xf>
    <xf numFmtId="184" fontId="147" fillId="0" borderId="0" xfId="20" applyNumberFormat="1" applyFont="1"/>
    <xf numFmtId="37" fontId="147" fillId="0" borderId="0" xfId="19" applyFont="1" applyAlignment="1">
      <alignment horizontal="center"/>
    </xf>
    <xf numFmtId="49" fontId="147" fillId="0" borderId="0" xfId="19" applyNumberFormat="1" applyFont="1" applyAlignment="1">
      <alignment horizontal="center"/>
    </xf>
    <xf numFmtId="37" fontId="147" fillId="0" borderId="0" xfId="19" applyFont="1" applyAlignment="1">
      <alignment horizontal="left"/>
    </xf>
    <xf numFmtId="37" fontId="147" fillId="0" borderId="0" xfId="19" quotePrefix="1" applyFont="1" applyAlignment="1">
      <alignment horizontal="left"/>
    </xf>
    <xf numFmtId="184" fontId="142" fillId="0" borderId="0" xfId="20" applyNumberFormat="1" applyFont="1"/>
    <xf numFmtId="184" fontId="142" fillId="0" borderId="0" xfId="20" applyNumberFormat="1" applyFont="1" applyAlignment="1">
      <alignment horizontal="left"/>
    </xf>
    <xf numFmtId="184" fontId="142" fillId="0" borderId="0" xfId="20" applyNumberFormat="1" applyFont="1" applyAlignment="1">
      <alignment horizontal="center"/>
    </xf>
    <xf numFmtId="184" fontId="142" fillId="0" borderId="0" xfId="20" applyNumberFormat="1" applyFont="1" applyAlignment="1">
      <alignment horizontal="fill"/>
    </xf>
    <xf numFmtId="184" fontId="143" fillId="0" borderId="0" xfId="20" applyNumberFormat="1" applyFont="1"/>
    <xf numFmtId="182" fontId="142" fillId="0" borderId="0" xfId="19" applyNumberFormat="1" applyFont="1" applyAlignment="1">
      <alignment horizontal="center"/>
    </xf>
    <xf numFmtId="184" fontId="142" fillId="0" borderId="0" xfId="20" applyNumberFormat="1" applyFont="1" applyAlignment="1">
      <alignment horizontal="right"/>
    </xf>
    <xf numFmtId="184" fontId="143" fillId="0" borderId="0" xfId="20" applyNumberFormat="1" applyFont="1" applyAlignment="1">
      <alignment horizontal="fill"/>
    </xf>
    <xf numFmtId="37" fontId="142" fillId="0" borderId="0" xfId="19" quotePrefix="1" applyFont="1" applyAlignment="1">
      <alignment horizontal="left"/>
    </xf>
    <xf numFmtId="41" fontId="142" fillId="0" borderId="0" xfId="20" applyNumberFormat="1" applyFont="1" applyAlignment="1">
      <alignment horizontal="fill"/>
    </xf>
    <xf numFmtId="41" fontId="142" fillId="0" borderId="0" xfId="20" applyNumberFormat="1" applyFont="1" applyProtection="1">
      <protection locked="0"/>
    </xf>
    <xf numFmtId="0" fontId="142" fillId="0" borderId="0" xfId="20" applyNumberFormat="1" applyFont="1" applyAlignment="1" applyProtection="1">
      <alignment vertical="center"/>
      <protection locked="0"/>
    </xf>
    <xf numFmtId="0" fontId="142" fillId="0" borderId="0" xfId="19" applyNumberFormat="1" applyFont="1" applyAlignment="1" applyProtection="1">
      <alignment vertical="center"/>
      <protection locked="0"/>
    </xf>
    <xf numFmtId="39" fontId="142" fillId="0" borderId="0" xfId="20" applyNumberFormat="1" applyFont="1"/>
    <xf numFmtId="41" fontId="148" fillId="0" borderId="0" xfId="19" applyNumberFormat="1" applyFont="1"/>
    <xf numFmtId="41" fontId="148" fillId="0" borderId="0" xfId="19" applyNumberFormat="1" applyFont="1" applyAlignment="1">
      <alignment horizontal="center"/>
    </xf>
    <xf numFmtId="49" fontId="142" fillId="0" borderId="0" xfId="19" applyNumberFormat="1" applyFont="1" applyAlignment="1">
      <alignment horizontal="center"/>
    </xf>
    <xf numFmtId="37" fontId="142" fillId="0" borderId="0" xfId="19" applyFont="1" applyAlignment="1">
      <alignment horizontal="right"/>
    </xf>
    <xf numFmtId="184" fontId="142" fillId="27" borderId="0" xfId="20" applyNumberFormat="1" applyFont="1" applyFill="1" applyAlignment="1">
      <alignment horizontal="right"/>
    </xf>
    <xf numFmtId="184" fontId="143" fillId="0" borderId="0" xfId="20" applyNumberFormat="1" applyFont="1" applyAlignment="1">
      <alignment horizontal="center"/>
    </xf>
    <xf numFmtId="184" fontId="143" fillId="27" borderId="0" xfId="20" applyNumberFormat="1" applyFont="1" applyFill="1"/>
    <xf numFmtId="41" fontId="148" fillId="0" borderId="0" xfId="20" applyNumberFormat="1" applyFont="1"/>
    <xf numFmtId="184" fontId="142" fillId="27" borderId="78" xfId="20" applyNumberFormat="1" applyFont="1" applyFill="1" applyBorder="1" applyAlignment="1">
      <alignment horizontal="right"/>
    </xf>
    <xf numFmtId="184" fontId="142" fillId="20" borderId="0" xfId="20" applyNumberFormat="1" applyFont="1" applyFill="1" applyAlignment="1">
      <alignment horizontal="right"/>
    </xf>
    <xf numFmtId="184" fontId="142" fillId="20" borderId="0" xfId="20" applyNumberFormat="1" applyFont="1" applyFill="1"/>
    <xf numFmtId="184" fontId="142" fillId="27" borderId="0" xfId="20" applyNumberFormat="1" applyFont="1" applyFill="1"/>
    <xf numFmtId="37" fontId="148" fillId="0" borderId="0" xfId="19" applyFont="1" applyAlignment="1">
      <alignment horizontal="center"/>
    </xf>
    <xf numFmtId="37" fontId="148" fillId="0" borderId="0" xfId="19" applyFont="1" applyAlignment="1">
      <alignment horizontal="left"/>
    </xf>
    <xf numFmtId="37" fontId="148" fillId="0" borderId="0" xfId="19" quotePrefix="1" applyFont="1" applyAlignment="1">
      <alignment horizontal="center"/>
    </xf>
    <xf numFmtId="14" fontId="142" fillId="0" borderId="0" xfId="19" applyNumberFormat="1" applyFont="1" applyAlignment="1">
      <alignment horizontal="center"/>
    </xf>
    <xf numFmtId="14" fontId="142" fillId="0" borderId="0" xfId="19" quotePrefix="1" applyNumberFormat="1" applyFont="1" applyAlignment="1">
      <alignment horizontal="center"/>
    </xf>
    <xf numFmtId="37" fontId="148" fillId="0" borderId="0" xfId="19" applyFont="1" applyAlignment="1">
      <alignment horizontal="centerContinuous"/>
    </xf>
    <xf numFmtId="37" fontId="142" fillId="0" borderId="0" xfId="19" applyFont="1" applyAlignment="1">
      <alignment horizontal="centerContinuous"/>
    </xf>
    <xf numFmtId="0" fontId="120" fillId="0" borderId="0" xfId="3" applyFont="1" applyAlignment="1">
      <alignment horizontal="right" vertical="top"/>
    </xf>
    <xf numFmtId="0" fontId="63" fillId="0" borderId="0" xfId="3" applyFont="1" applyAlignment="1">
      <alignment horizontal="left" vertical="top" wrapText="1"/>
    </xf>
    <xf numFmtId="0" fontId="120" fillId="0" borderId="0" xfId="3" applyFont="1" applyAlignment="1">
      <alignment vertical="top"/>
    </xf>
    <xf numFmtId="0" fontId="63" fillId="0" borderId="0" xfId="3" applyFont="1" applyAlignment="1">
      <alignment vertical="top"/>
    </xf>
    <xf numFmtId="0" fontId="63" fillId="0" borderId="78" xfId="3" applyFont="1" applyBorder="1" applyAlignment="1">
      <alignment vertical="top"/>
    </xf>
    <xf numFmtId="0" fontId="66" fillId="0" borderId="0" xfId="3" applyFont="1" applyAlignment="1">
      <alignment horizontal="center"/>
    </xf>
    <xf numFmtId="3" fontId="56" fillId="0" borderId="0" xfId="3" applyNumberFormat="1" applyFont="1" applyAlignment="1">
      <alignment horizontal="right" indent="1"/>
    </xf>
    <xf numFmtId="5" fontId="56" fillId="0" borderId="0" xfId="3" applyNumberFormat="1" applyFont="1" applyAlignment="1">
      <alignment horizontal="center"/>
    </xf>
    <xf numFmtId="0" fontId="56" fillId="0" borderId="0" xfId="3" applyFont="1" applyAlignment="1">
      <alignment horizontal="center"/>
    </xf>
    <xf numFmtId="0" fontId="55" fillId="0" borderId="0" xfId="3" applyFont="1"/>
    <xf numFmtId="5" fontId="66" fillId="0" borderId="0" xfId="3" applyNumberFormat="1" applyFont="1"/>
    <xf numFmtId="5" fontId="56" fillId="0" borderId="0" xfId="3" applyNumberFormat="1" applyFont="1"/>
    <xf numFmtId="5" fontId="56" fillId="0" borderId="76" xfId="3" applyNumberFormat="1" applyFont="1" applyBorder="1" applyProtection="1">
      <protection locked="0"/>
    </xf>
    <xf numFmtId="5" fontId="56" fillId="0" borderId="78" xfId="3" applyNumberFormat="1" applyFont="1" applyBorder="1" applyProtection="1">
      <protection locked="0"/>
    </xf>
    <xf numFmtId="0" fontId="56" fillId="0" borderId="0" xfId="3" applyFont="1" applyAlignment="1" applyProtection="1">
      <alignment horizontal="center"/>
      <protection locked="0"/>
    </xf>
    <xf numFmtId="0" fontId="56" fillId="0" borderId="0" xfId="3" applyFont="1" applyProtection="1">
      <protection locked="0"/>
    </xf>
    <xf numFmtId="0" fontId="56" fillId="0" borderId="77" xfId="3" applyFont="1" applyBorder="1" applyAlignment="1" applyProtection="1">
      <alignment horizontal="center"/>
      <protection locked="0"/>
    </xf>
    <xf numFmtId="0" fontId="56" fillId="0" borderId="77" xfId="3" applyFont="1" applyBorder="1" applyProtection="1">
      <protection locked="0"/>
    </xf>
    <xf numFmtId="169" fontId="56" fillId="0" borderId="0" xfId="3" applyNumberFormat="1" applyFont="1"/>
    <xf numFmtId="0" fontId="55" fillId="0" borderId="0" xfId="3" applyFont="1" applyAlignment="1">
      <alignment horizontal="center"/>
    </xf>
    <xf numFmtId="165" fontId="66" fillId="0" borderId="0" xfId="3" applyNumberFormat="1" applyFont="1" applyAlignment="1">
      <alignment vertical="center"/>
    </xf>
    <xf numFmtId="169" fontId="58" fillId="0" borderId="0" xfId="3" applyNumberFormat="1" applyFont="1"/>
    <xf numFmtId="0" fontId="63" fillId="0" borderId="0" xfId="3" applyFont="1" applyAlignment="1">
      <alignment horizontal="left" vertical="center"/>
    </xf>
    <xf numFmtId="169" fontId="63" fillId="0" borderId="0" xfId="3" applyNumberFormat="1" applyFont="1" applyAlignment="1">
      <alignment horizontal="left" vertical="center"/>
    </xf>
    <xf numFmtId="0" fontId="120" fillId="0" borderId="0" xfId="3" applyFont="1" applyAlignment="1">
      <alignment horizontal="left" vertical="center"/>
    </xf>
    <xf numFmtId="169" fontId="120" fillId="0" borderId="0" xfId="3" applyNumberFormat="1" applyFont="1" applyAlignment="1">
      <alignment horizontal="left" vertical="center"/>
    </xf>
    <xf numFmtId="0" fontId="76" fillId="0" borderId="0" xfId="3" applyFont="1"/>
    <xf numFmtId="0" fontId="76" fillId="0" borderId="0" xfId="3" applyFont="1" applyAlignment="1">
      <alignment horizontal="center"/>
    </xf>
    <xf numFmtId="2" fontId="76" fillId="0" borderId="0" xfId="3" applyNumberFormat="1" applyFont="1"/>
    <xf numFmtId="0" fontId="76" fillId="0" borderId="78" xfId="3" applyFont="1" applyBorder="1"/>
    <xf numFmtId="0" fontId="76" fillId="0" borderId="78" xfId="3" applyFont="1" applyBorder="1" applyAlignment="1">
      <alignment horizontal="center"/>
    </xf>
    <xf numFmtId="2" fontId="76" fillId="0" borderId="78" xfId="3" applyNumberFormat="1" applyFont="1" applyBorder="1"/>
    <xf numFmtId="169" fontId="58" fillId="0" borderId="78" xfId="3" applyNumberFormat="1" applyFont="1" applyBorder="1"/>
    <xf numFmtId="169" fontId="63" fillId="0" borderId="0" xfId="3" applyNumberFormat="1" applyFont="1"/>
    <xf numFmtId="169" fontId="123" fillId="0" borderId="0" xfId="3" applyNumberFormat="1" applyFont="1"/>
    <xf numFmtId="169" fontId="65" fillId="0" borderId="0" xfId="3" applyNumberFormat="1" applyFont="1"/>
    <xf numFmtId="169" fontId="63" fillId="0" borderId="149" xfId="3" applyNumberFormat="1" applyFont="1" applyBorder="1" applyAlignment="1">
      <alignment horizontal="center"/>
    </xf>
    <xf numFmtId="0" fontId="60" fillId="0" borderId="0" xfId="3" applyFont="1"/>
    <xf numFmtId="169" fontId="69" fillId="0" borderId="0" xfId="3" applyNumberFormat="1" applyFont="1"/>
    <xf numFmtId="0" fontId="58" fillId="0" borderId="0" xfId="3" applyFont="1" applyAlignment="1">
      <alignment horizontal="centerContinuous"/>
    </xf>
    <xf numFmtId="0" fontId="63" fillId="0" borderId="0" xfId="3" applyFont="1" applyAlignment="1">
      <alignment horizontal="centerContinuous"/>
    </xf>
    <xf numFmtId="0" fontId="56" fillId="0" borderId="0" xfId="3" applyFont="1" applyAlignment="1">
      <alignment horizontal="left"/>
    </xf>
    <xf numFmtId="169" fontId="63" fillId="0" borderId="0" xfId="3" applyNumberFormat="1" applyFont="1" applyAlignment="1">
      <alignment horizontal="left"/>
    </xf>
    <xf numFmtId="0" fontId="58" fillId="0" borderId="0" xfId="3" applyFont="1" applyAlignment="1" applyProtection="1">
      <alignment horizontal="center" vertical="center"/>
      <protection locked="0"/>
    </xf>
    <xf numFmtId="0" fontId="80" fillId="0" borderId="0" xfId="3" applyFont="1" applyAlignment="1">
      <alignment horizontal="left"/>
    </xf>
    <xf numFmtId="0" fontId="111" fillId="0" borderId="0" xfId="3" applyFont="1" applyAlignment="1">
      <alignment horizontal="left"/>
    </xf>
    <xf numFmtId="169" fontId="88" fillId="0" borderId="0" xfId="3" applyNumberFormat="1" applyFont="1" applyAlignment="1">
      <alignment horizontal="left"/>
    </xf>
    <xf numFmtId="0" fontId="58" fillId="0" borderId="9" xfId="3" applyFont="1" applyBorder="1"/>
    <xf numFmtId="0" fontId="58" fillId="0" borderId="9" xfId="3" applyFont="1" applyBorder="1" applyAlignment="1">
      <alignment horizontal="center"/>
    </xf>
    <xf numFmtId="169" fontId="58" fillId="0" borderId="9" xfId="3" applyNumberFormat="1" applyFont="1" applyBorder="1"/>
    <xf numFmtId="169" fontId="58" fillId="0" borderId="144" xfId="3" applyNumberFormat="1" applyFont="1" applyBorder="1"/>
    <xf numFmtId="169" fontId="66" fillId="0" borderId="0" xfId="3" applyNumberFormat="1" applyFont="1"/>
    <xf numFmtId="0" fontId="66" fillId="0" borderId="0" xfId="3" applyFont="1" applyAlignment="1">
      <alignment vertical="center" textRotation="180"/>
    </xf>
    <xf numFmtId="0" fontId="65" fillId="0" borderId="0" xfId="3" applyFont="1" applyAlignment="1">
      <alignment horizontal="right" vertical="center" textRotation="180"/>
    </xf>
    <xf numFmtId="38" fontId="58" fillId="0" borderId="0" xfId="3" applyNumberFormat="1" applyFont="1"/>
    <xf numFmtId="0" fontId="58" fillId="0" borderId="0" xfId="3" applyFont="1" applyFill="1"/>
    <xf numFmtId="0" fontId="58" fillId="0" borderId="0" xfId="3" applyFont="1" applyFill="1" applyAlignment="1">
      <alignment horizontal="center"/>
    </xf>
    <xf numFmtId="6" fontId="119" fillId="0" borderId="76" xfId="3" applyNumberFormat="1" applyFont="1" applyFill="1" applyBorder="1"/>
    <xf numFmtId="6" fontId="119" fillId="0" borderId="0" xfId="3" applyNumberFormat="1" applyFont="1" applyFill="1"/>
    <xf numFmtId="0" fontId="63" fillId="0" borderId="0" xfId="3" applyFont="1" applyFill="1"/>
    <xf numFmtId="10" fontId="65" fillId="0" borderId="77" xfId="3" applyNumberFormat="1" applyFont="1" applyFill="1" applyBorder="1"/>
    <xf numFmtId="10" fontId="63" fillId="0" borderId="0" xfId="24" applyNumberFormat="1" applyFont="1" applyFill="1"/>
    <xf numFmtId="0" fontId="119" fillId="0" borderId="0" xfId="3" applyFont="1" applyFill="1"/>
    <xf numFmtId="10" fontId="123" fillId="0" borderId="0" xfId="3" applyNumberFormat="1" applyFont="1" applyFill="1"/>
    <xf numFmtId="184" fontId="143" fillId="0" borderId="0" xfId="20" applyNumberFormat="1" applyFont="1" applyFill="1"/>
    <xf numFmtId="0" fontId="11" fillId="0" borderId="0" xfId="3"/>
    <xf numFmtId="0" fontId="12" fillId="0" borderId="0" xfId="3" applyFont="1"/>
    <xf numFmtId="0" fontId="140" fillId="0" borderId="0" xfId="3" applyFont="1"/>
    <xf numFmtId="0" fontId="37" fillId="0" borderId="0" xfId="3" applyFont="1"/>
    <xf numFmtId="0" fontId="12" fillId="0" borderId="0" xfId="3" applyFont="1" applyAlignment="1">
      <alignment horizontal="left"/>
    </xf>
    <xf numFmtId="0" fontId="140" fillId="0" borderId="0" xfId="3" applyFont="1" applyAlignment="1">
      <alignment horizontal="left"/>
    </xf>
    <xf numFmtId="0" fontId="11" fillId="0" borderId="78" xfId="3" applyBorder="1"/>
    <xf numFmtId="0" fontId="11" fillId="0" borderId="0" xfId="3" applyAlignment="1">
      <alignment horizontal="left"/>
    </xf>
    <xf numFmtId="0" fontId="13" fillId="0" borderId="0" xfId="3" applyFont="1"/>
    <xf numFmtId="0" fontId="11" fillId="0" borderId="0" xfId="3" applyProtection="1">
      <protection locked="0"/>
    </xf>
    <xf numFmtId="14" fontId="11" fillId="0" borderId="0" xfId="3" applyNumberFormat="1" applyAlignment="1" applyProtection="1">
      <alignment horizontal="left" indent="2"/>
      <protection locked="0"/>
    </xf>
    <xf numFmtId="0" fontId="152" fillId="0" borderId="0" xfId="3" applyFont="1" applyAlignment="1">
      <alignment horizontal="left"/>
    </xf>
    <xf numFmtId="178" fontId="14" fillId="0" borderId="9" xfId="3" applyNumberFormat="1" applyFont="1" applyBorder="1" applyAlignment="1" applyProtection="1">
      <alignment horizontal="center"/>
      <protection locked="0"/>
    </xf>
    <xf numFmtId="0" fontId="14" fillId="0" borderId="0" xfId="3" applyFont="1" applyAlignment="1">
      <alignment horizontal="center"/>
    </xf>
    <xf numFmtId="0" fontId="14" fillId="0" borderId="0" xfId="3" applyFont="1" applyAlignment="1">
      <alignment horizontal="left"/>
    </xf>
    <xf numFmtId="0" fontId="35" fillId="0" borderId="0" xfId="3" applyFont="1"/>
    <xf numFmtId="0" fontId="35" fillId="0" borderId="0" xfId="3" applyFont="1" applyAlignment="1">
      <alignment horizontal="left"/>
    </xf>
    <xf numFmtId="0" fontId="153" fillId="0" borderId="0" xfId="3" applyFont="1" applyAlignment="1">
      <alignment horizontal="left"/>
    </xf>
    <xf numFmtId="171" fontId="14" fillId="0" borderId="0" xfId="3" applyNumberFormat="1" applyFont="1" applyAlignment="1">
      <alignment horizontal="center" vertical="center"/>
    </xf>
    <xf numFmtId="0" fontId="14" fillId="0" borderId="0" xfId="3" applyFont="1" applyAlignment="1">
      <alignment horizontal="center" vertical="center"/>
    </xf>
    <xf numFmtId="166" fontId="14" fillId="0" borderId="0" xfId="3" applyNumberFormat="1" applyFont="1" applyAlignment="1">
      <alignment horizontal="center" vertical="center"/>
    </xf>
    <xf numFmtId="49" fontId="14" fillId="0" borderId="0" xfId="3" applyNumberFormat="1" applyFont="1" applyAlignment="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37" fontId="140" fillId="0" borderId="0" xfId="19" applyFont="1" applyAlignment="1">
      <alignment horizontal="left" wrapText="1"/>
    </xf>
    <xf numFmtId="37" fontId="12" fillId="0" borderId="0" xfId="19" applyFont="1" applyAlignment="1">
      <alignment horizontal="left" wrapText="1"/>
    </xf>
    <xf numFmtId="37" fontId="148" fillId="0" borderId="0" xfId="19" applyFont="1" applyAlignment="1">
      <alignment horizontal="center"/>
    </xf>
    <xf numFmtId="37" fontId="151" fillId="0" borderId="0" xfId="19" applyFont="1" applyAlignment="1">
      <alignment horizontal="center"/>
    </xf>
    <xf numFmtId="37" fontId="149" fillId="0" borderId="0" xfId="19" applyFont="1" applyAlignment="1">
      <alignment horizontal="center"/>
    </xf>
    <xf numFmtId="37" fontId="149" fillId="0" borderId="0" xfId="19" applyFont="1" applyAlignment="1">
      <alignment horizontal="center" vertical="center"/>
    </xf>
    <xf numFmtId="37" fontId="150" fillId="0" borderId="0" xfId="19" applyFont="1" applyAlignment="1">
      <alignment horizontal="center"/>
    </xf>
    <xf numFmtId="0" fontId="56" fillId="0" borderId="0" xfId="3" applyFont="1" applyAlignment="1" applyProtection="1">
      <alignment vertical="center" wrapText="1"/>
      <protection locked="0"/>
    </xf>
    <xf numFmtId="5" fontId="66" fillId="0" borderId="149" xfId="3" applyNumberFormat="1" applyFont="1" applyBorder="1" applyProtection="1">
      <protection locked="0"/>
    </xf>
    <xf numFmtId="0" fontId="66" fillId="0" borderId="150" xfId="3" applyFont="1" applyBorder="1" applyProtection="1">
      <protection locked="0"/>
    </xf>
    <xf numFmtId="0" fontId="63" fillId="0" borderId="0" xfId="3" applyFont="1" applyAlignment="1">
      <alignment horizontal="left" vertical="top" wrapText="1"/>
    </xf>
    <xf numFmtId="0" fontId="63" fillId="0" borderId="0" xfId="3" applyFont="1" applyAlignment="1">
      <alignment horizontal="left" vertical="center" wrapText="1"/>
    </xf>
    <xf numFmtId="0" fontId="56" fillId="0" borderId="0" xfId="3" applyFont="1" applyAlignment="1" applyProtection="1">
      <alignment horizontal="left" vertical="center" wrapText="1"/>
      <protection locked="0"/>
    </xf>
    <xf numFmtId="3" fontId="56" fillId="0" borderId="0" xfId="3" applyNumberFormat="1" applyFont="1" applyAlignment="1" applyProtection="1">
      <alignment horizontal="right" indent="1"/>
      <protection locked="0"/>
    </xf>
    <xf numFmtId="0" fontId="55" fillId="0" borderId="0" xfId="3" applyFont="1" applyAlignment="1">
      <alignment horizontal="center"/>
    </xf>
    <xf numFmtId="3" fontId="56" fillId="0" borderId="77" xfId="3" applyNumberFormat="1" applyFont="1" applyBorder="1" applyAlignment="1" applyProtection="1">
      <alignment horizontal="right" indent="1"/>
      <protection locked="0"/>
    </xf>
    <xf numFmtId="0" fontId="56" fillId="0" borderId="0" xfId="3" applyFont="1" applyAlignment="1">
      <alignment horizontal="left" wrapText="1"/>
    </xf>
    <xf numFmtId="0" fontId="66" fillId="0" borderId="0" xfId="3" applyFont="1" applyAlignment="1">
      <alignment horizontal="center"/>
    </xf>
    <xf numFmtId="165" fontId="66" fillId="0" borderId="0" xfId="3" applyNumberFormat="1" applyFont="1" applyAlignment="1">
      <alignment horizontal="center" vertical="center"/>
    </xf>
    <xf numFmtId="0" fontId="55" fillId="0" borderId="0" xfId="3" applyFont="1" applyAlignment="1">
      <alignment horizontal="center" vertical="center" readingOrder="1"/>
    </xf>
    <xf numFmtId="0" fontId="66" fillId="0" borderId="0" xfId="3" applyFont="1" applyAlignment="1">
      <alignment horizontal="center" vertical="center" wrapText="1"/>
    </xf>
    <xf numFmtId="0" fontId="58" fillId="0" borderId="0" xfId="3" applyFont="1" applyAlignment="1">
      <alignment horizontal="center" vertical="center" wrapText="1"/>
    </xf>
    <xf numFmtId="165" fontId="66" fillId="0" borderId="0" xfId="3" applyNumberFormat="1" applyFont="1" applyAlignment="1">
      <alignment horizontal="center" vertical="center" wrapText="1"/>
    </xf>
    <xf numFmtId="169" fontId="55" fillId="0" borderId="0" xfId="3" applyNumberFormat="1" applyFont="1" applyAlignment="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lignment horizontal="center"/>
    </xf>
    <xf numFmtId="0" fontId="63" fillId="0" borderId="76" xfId="3" applyFont="1" applyBorder="1" applyAlignment="1">
      <alignment horizontal="center"/>
    </xf>
    <xf numFmtId="0" fontId="63" fillId="0" borderId="150" xfId="3" applyFont="1" applyBorder="1" applyAlignment="1">
      <alignment horizontal="center"/>
    </xf>
    <xf numFmtId="0" fontId="63" fillId="0" borderId="149" xfId="3" applyFont="1" applyFill="1" applyBorder="1" applyAlignment="1" applyProtection="1">
      <alignment horizontal="left" vertical="center"/>
      <protection locked="0"/>
    </xf>
    <xf numFmtId="0" fontId="63" fillId="0" borderId="76" xfId="3" applyFont="1" applyFill="1" applyBorder="1" applyAlignment="1" applyProtection="1">
      <alignment horizontal="left" vertical="center"/>
      <protection locked="0"/>
    </xf>
    <xf numFmtId="0" fontId="63" fillId="0" borderId="150" xfId="3" applyFont="1" applyFill="1" applyBorder="1" applyAlignment="1" applyProtection="1">
      <alignment horizontal="left" vertical="center"/>
      <protection locked="0"/>
    </xf>
    <xf numFmtId="38" fontId="63" fillId="0" borderId="149" xfId="3" applyNumberFormat="1" applyFont="1" applyFill="1" applyBorder="1" applyAlignment="1" applyProtection="1">
      <alignment horizontal="right" vertical="center"/>
      <protection locked="0"/>
    </xf>
    <xf numFmtId="38" fontId="63" fillId="0" borderId="76" xfId="3" applyNumberFormat="1" applyFont="1" applyFill="1" applyBorder="1" applyAlignment="1" applyProtection="1">
      <alignment horizontal="right" vertical="center"/>
      <protection locked="0"/>
    </xf>
    <xf numFmtId="38" fontId="63" fillId="0" borderId="150" xfId="3" applyNumberFormat="1" applyFont="1" applyFill="1" applyBorder="1" applyAlignment="1" applyProtection="1">
      <alignment horizontal="right" vertical="center"/>
      <protection locked="0"/>
    </xf>
    <xf numFmtId="38" fontId="63" fillId="0" borderId="77" xfId="3" applyNumberFormat="1" applyFont="1" applyFill="1" applyBorder="1" applyAlignment="1" applyProtection="1">
      <alignment horizontal="right" vertical="center"/>
      <protection locked="0"/>
    </xf>
    <xf numFmtId="0" fontId="65" fillId="0" borderId="149" xfId="3" applyFont="1" applyFill="1" applyBorder="1" applyAlignment="1" applyProtection="1">
      <alignment horizontal="center" vertical="center"/>
      <protection locked="0"/>
    </xf>
    <xf numFmtId="0" fontId="65" fillId="0" borderId="76" xfId="3" applyFont="1" applyFill="1" applyBorder="1" applyAlignment="1" applyProtection="1">
      <alignment horizontal="center" vertical="center"/>
      <protection locked="0"/>
    </xf>
    <xf numFmtId="0" fontId="65" fillId="0" borderId="150" xfId="3" applyFont="1" applyFill="1" applyBorder="1" applyAlignment="1" applyProtection="1">
      <alignment horizontal="center" vertical="center"/>
      <protection locked="0"/>
    </xf>
    <xf numFmtId="6" fontId="63" fillId="0" borderId="77" xfId="3" applyNumberFormat="1" applyFont="1" applyFill="1" applyBorder="1" applyAlignment="1" applyProtection="1">
      <alignment horizontal="right" vertical="center"/>
      <protection locked="0"/>
    </xf>
    <xf numFmtId="6" fontId="63" fillId="0" borderId="149" xfId="3" applyNumberFormat="1" applyFont="1" applyFill="1" applyBorder="1" applyProtection="1">
      <protection locked="0"/>
    </xf>
    <xf numFmtId="6" fontId="63" fillId="0" borderId="150" xfId="3" applyNumberFormat="1" applyFont="1" applyFill="1" applyBorder="1" applyProtection="1">
      <protection locked="0"/>
    </xf>
    <xf numFmtId="185" fontId="58" fillId="0" borderId="9" xfId="3" applyNumberFormat="1" applyFont="1" applyBorder="1" applyAlignment="1" applyProtection="1">
      <alignment horizontal="left" indent="2"/>
      <protection locked="0"/>
    </xf>
    <xf numFmtId="0" fontId="58" fillId="0" borderId="0" xfId="3" applyFont="1" applyFill="1" applyAlignment="1" applyProtection="1">
      <alignment horizontal="left" vertical="top" wrapText="1"/>
      <protection locked="0"/>
    </xf>
    <xf numFmtId="0" fontId="55" fillId="0" borderId="0" xfId="3" applyFont="1" applyAlignment="1">
      <alignment horizontal="center" vertical="center" wrapText="1"/>
    </xf>
    <xf numFmtId="0" fontId="58" fillId="0" borderId="0" xfId="3" applyFont="1" applyAlignment="1" applyProtection="1">
      <alignment horizontal="left" vertical="top" wrapText="1"/>
      <protection locked="0"/>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0" xfId="3" applyFont="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0" xfId="3" applyNumberFormat="1" applyFont="1" applyBorder="1" applyAlignment="1" applyProtection="1">
      <alignment horizontal="center" vertical="center" wrapText="1"/>
    </xf>
    <xf numFmtId="165" fontId="66" fillId="0" borderId="0" xfId="3" applyNumberFormat="1"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Fill="1" applyAlignment="1">
      <alignment horizontal="center" vertical="center" wrapText="1"/>
    </xf>
    <xf numFmtId="165" fontId="14" fillId="0" borderId="0" xfId="3" applyNumberFormat="1" applyFont="1" applyFill="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25">
    <cellStyle name="Comma" xfId="1" builtinId="3"/>
    <cellStyle name="Comma 2" xfId="20" xr:uid="{C2E0920F-A53C-43D7-8C40-B3225FA3778D}"/>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6" xfId="19" xr:uid="{9198ED95-0308-46FB-86AA-227E123602A1}"/>
    <cellStyle name="Normal 7" xfId="21" xr:uid="{124F63FC-0951-43AC-86AB-DB05CD3A9F8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Federal" xfId="22" xr:uid="{53F2E4AE-1D28-4C1F-A891-7B6B9464F94E}"/>
    <cellStyle name="Normal_THRESHOLD CALCULATOR v3" xfId="13" xr:uid="{00000000-0005-0000-0000-000012000000}"/>
    <cellStyle name="Percent 2" xfId="23" xr:uid="{822D54A8-6BA2-4746-A85E-DD51941298D5}"/>
    <cellStyle name="Percent 3" xfId="24" xr:uid="{C6EE0A88-A7BC-43F7-A67D-DAF67C663B7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1220932</xdr:colOff>
          <xdr:row>1</xdr:row>
          <xdr:rowOff>8660</xdr:rowOff>
        </xdr:from>
        <xdr:to>
          <xdr:col>1</xdr:col>
          <xdr:colOff>2131868</xdr:colOff>
          <xdr:row>5</xdr:row>
          <xdr:rowOff>46760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4</xdr:col>
      <xdr:colOff>0</xdr:colOff>
      <xdr:row>19</xdr:row>
      <xdr:rowOff>0</xdr:rowOff>
    </xdr:from>
    <xdr:ext cx="76200" cy="201757"/>
    <xdr:sp macro="" textlink="">
      <xdr:nvSpPr>
        <xdr:cNvPr id="2" name="Text 1">
          <a:extLst>
            <a:ext uri="{FF2B5EF4-FFF2-40B4-BE49-F238E27FC236}">
              <a16:creationId xmlns:a16="http://schemas.microsoft.com/office/drawing/2014/main" id="{4C3346B8-F12F-421E-9837-EBF98FDE59AB}"/>
            </a:ext>
          </a:extLst>
        </xdr:cNvPr>
        <xdr:cNvSpPr txBox="1">
          <a:spLocks noChangeArrowheads="1"/>
        </xdr:cNvSpPr>
      </xdr:nvSpPr>
      <xdr:spPr bwMode="auto">
        <a:xfrm>
          <a:off x="2438400" y="36195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52DF3B19-CCA9-45EE-9CE1-DD3269945C17}"/>
            </a:ext>
          </a:extLst>
        </xdr:cNvPr>
        <xdr:cNvSpPr>
          <a:spLocks noChangeArrowheads="1"/>
        </xdr:cNvSpPr>
      </xdr:nvSpPr>
      <xdr:spPr bwMode="auto">
        <a:xfrm>
          <a:off x="1219200" y="342900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640E6742-9825-458C-BCC5-27F9D2BFF3E8}"/>
            </a:ext>
          </a:extLst>
        </xdr:cNvPr>
        <xdr:cNvSpPr txBox="1">
          <a:spLocks noChangeArrowheads="1"/>
        </xdr:cNvSpPr>
      </xdr:nvSpPr>
      <xdr:spPr bwMode="auto">
        <a:xfrm>
          <a:off x="2552700" y="19431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3BFB6B25-BAFE-4213-9CE0-19E6574864DB}"/>
            </a:ext>
          </a:extLst>
        </xdr:cNvPr>
        <xdr:cNvSpPr>
          <a:spLocks noChangeArrowheads="1"/>
        </xdr:cNvSpPr>
      </xdr:nvSpPr>
      <xdr:spPr bwMode="auto">
        <a:xfrm>
          <a:off x="3657600" y="194310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AA98645-4F97-4781-B8A4-788565A9EDC6}"/>
            </a:ext>
          </a:extLst>
        </xdr:cNvPr>
        <xdr:cNvSpPr txBox="1">
          <a:spLocks noChangeArrowheads="1"/>
        </xdr:cNvSpPr>
      </xdr:nvSpPr>
      <xdr:spPr bwMode="auto">
        <a:xfrm>
          <a:off x="2438400" y="7620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6B3A6767-5A5E-402F-883F-9BF91CA9724E}"/>
            </a:ext>
          </a:extLst>
        </xdr:cNvPr>
        <xdr:cNvSpPr>
          <a:spLocks noChangeArrowheads="1"/>
        </xdr:cNvSpPr>
      </xdr:nvSpPr>
      <xdr:spPr bwMode="auto">
        <a:xfrm>
          <a:off x="1828800" y="76200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2124" t="s">
        <v>405</v>
      </c>
      <c r="J1" s="2125"/>
      <c r="K1" s="2125"/>
      <c r="L1" s="2125"/>
      <c r="M1" s="2125"/>
      <c r="N1" s="2125"/>
      <c r="O1" s="2125"/>
      <c r="P1" s="2125"/>
      <c r="Q1" s="2125"/>
      <c r="R1" s="2125"/>
      <c r="S1" s="2125"/>
    </row>
    <row r="2" spans="1:28" ht="12" customHeight="1" x14ac:dyDescent="0.2">
      <c r="A2" s="47" t="s">
        <v>1987</v>
      </c>
      <c r="D2" s="48"/>
      <c r="I2" s="2126" t="s">
        <v>979</v>
      </c>
      <c r="J2" s="2125"/>
      <c r="K2" s="2125"/>
      <c r="L2" s="2125"/>
      <c r="M2" s="2125"/>
      <c r="N2" s="2125"/>
      <c r="O2" s="2125"/>
      <c r="P2" s="2125"/>
      <c r="Q2" s="2125"/>
      <c r="R2" s="2125"/>
      <c r="S2" s="2125"/>
    </row>
    <row r="3" spans="1:28" ht="12" customHeight="1" x14ac:dyDescent="0.2">
      <c r="A3" s="155" t="s">
        <v>1939</v>
      </c>
      <c r="B3" s="156"/>
      <c r="C3" s="156"/>
      <c r="D3" s="157"/>
      <c r="I3" s="2126" t="s">
        <v>52</v>
      </c>
      <c r="J3" s="2125"/>
      <c r="K3" s="2125"/>
      <c r="L3" s="2125"/>
      <c r="M3" s="2125"/>
      <c r="N3" s="2125"/>
      <c r="O3" s="2125"/>
      <c r="P3" s="2125"/>
      <c r="Q3" s="2125"/>
      <c r="R3" s="2125"/>
      <c r="S3" s="2125"/>
    </row>
    <row r="4" spans="1:28" ht="12" customHeight="1" x14ac:dyDescent="0.2">
      <c r="A4" s="37"/>
      <c r="I4" s="2126" t="s">
        <v>524</v>
      </c>
      <c r="J4" s="2125"/>
      <c r="K4" s="2125"/>
      <c r="L4" s="2125"/>
      <c r="M4" s="2125"/>
      <c r="N4" s="2125"/>
      <c r="O4" s="2125"/>
      <c r="P4" s="2125"/>
      <c r="Q4" s="2125"/>
      <c r="R4" s="2125"/>
      <c r="S4" s="2125"/>
    </row>
    <row r="5" spans="1:28" ht="14.1" customHeight="1" x14ac:dyDescent="0.2">
      <c r="B5" s="104"/>
      <c r="C5" s="26" t="s">
        <v>910</v>
      </c>
      <c r="D5" s="84"/>
      <c r="E5" s="84"/>
      <c r="H5" s="38"/>
      <c r="I5" s="2133" t="s">
        <v>680</v>
      </c>
      <c r="J5" s="2078"/>
      <c r="K5" s="2078"/>
      <c r="L5" s="2078"/>
      <c r="M5" s="2078"/>
      <c r="N5" s="2078"/>
      <c r="O5" s="2078"/>
      <c r="P5" s="2078"/>
      <c r="Q5" s="2078"/>
      <c r="R5" s="2078"/>
      <c r="S5" s="2078"/>
    </row>
    <row r="6" spans="1:28" ht="14.1" customHeight="1" x14ac:dyDescent="0.2">
      <c r="B6" s="104" t="s">
        <v>2064</v>
      </c>
      <c r="C6" s="26" t="s">
        <v>911</v>
      </c>
      <c r="D6" s="84"/>
      <c r="E6" s="84"/>
      <c r="I6" s="2132" t="s">
        <v>883</v>
      </c>
      <c r="J6" s="2078"/>
      <c r="K6" s="2078"/>
      <c r="L6" s="2078"/>
      <c r="M6" s="2078"/>
      <c r="N6" s="2078"/>
      <c r="O6" s="2078"/>
      <c r="P6" s="2078"/>
      <c r="Q6" s="2078"/>
      <c r="R6" s="2078"/>
      <c r="S6" s="2078"/>
    </row>
    <row r="7" spans="1:28" ht="12.2" customHeight="1" x14ac:dyDescent="0.2">
      <c r="I7" s="2127">
        <v>43646</v>
      </c>
      <c r="J7" s="2128"/>
      <c r="K7" s="2128"/>
      <c r="L7" s="2128"/>
      <c r="M7" s="2128"/>
      <c r="N7" s="2128"/>
      <c r="O7" s="2128"/>
      <c r="P7" s="2128"/>
      <c r="Q7" s="2128"/>
      <c r="R7" s="2128"/>
      <c r="S7" s="21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29" t="s">
        <v>674</v>
      </c>
      <c r="J9" s="2130"/>
      <c r="K9" s="2130"/>
      <c r="L9" s="2130"/>
      <c r="M9" s="2130"/>
      <c r="N9" s="2130"/>
      <c r="O9" s="2130"/>
      <c r="P9" s="2130"/>
      <c r="Q9" s="2130"/>
      <c r="R9" s="2130"/>
      <c r="S9" s="2131"/>
      <c r="T9" s="2074" t="s">
        <v>533</v>
      </c>
      <c r="U9" s="2075"/>
      <c r="V9" s="2075"/>
      <c r="W9" s="2075"/>
      <c r="X9" s="2075"/>
      <c r="Y9" s="2075"/>
      <c r="Z9" s="2075"/>
      <c r="AA9" s="2076"/>
    </row>
    <row r="10" spans="1:28" ht="13.5" customHeight="1" x14ac:dyDescent="0.2">
      <c r="A10" s="2083" t="s">
        <v>675</v>
      </c>
      <c r="B10" s="2084"/>
      <c r="C10" s="2084"/>
      <c r="D10" s="2084"/>
      <c r="E10" s="2084"/>
      <c r="F10" s="2084"/>
      <c r="G10" s="2084"/>
      <c r="H10" s="2085"/>
      <c r="I10" s="29"/>
      <c r="J10" s="30"/>
      <c r="K10" s="28"/>
      <c r="R10" s="30"/>
      <c r="S10" s="30"/>
      <c r="T10" s="2077"/>
      <c r="U10" s="2078"/>
      <c r="V10" s="2078"/>
      <c r="W10" s="2078"/>
      <c r="X10" s="2078"/>
      <c r="Y10" s="2078"/>
      <c r="Z10" s="2078"/>
      <c r="AA10" s="2079"/>
    </row>
    <row r="11" spans="1:28" ht="14.25" customHeight="1" x14ac:dyDescent="0.2">
      <c r="A11" s="2086" t="s">
        <v>955</v>
      </c>
      <c r="B11" s="2087"/>
      <c r="C11" s="2087"/>
      <c r="D11" s="2087"/>
      <c r="E11" s="2087"/>
      <c r="F11" s="2087"/>
      <c r="G11" s="2087"/>
      <c r="H11" s="2088"/>
      <c r="I11" s="27"/>
      <c r="J11" s="74"/>
      <c r="K11" s="27"/>
      <c r="O11" s="148" t="s">
        <v>2064</v>
      </c>
      <c r="P11" s="100" t="s">
        <v>201</v>
      </c>
      <c r="Q11" s="30"/>
      <c r="R11" s="28"/>
      <c r="S11" s="27"/>
      <c r="T11" s="2080"/>
      <c r="U11" s="2081"/>
      <c r="V11" s="2081"/>
      <c r="W11" s="2081"/>
      <c r="X11" s="2081"/>
      <c r="Y11" s="2081"/>
      <c r="Z11" s="2081"/>
      <c r="AA11" s="208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94">
        <v>53102069061</v>
      </c>
      <c r="B13" s="2095"/>
      <c r="C13" s="2095"/>
      <c r="D13" s="2095"/>
      <c r="E13" s="2095"/>
      <c r="F13" s="2095"/>
      <c r="G13" s="2095"/>
      <c r="H13" s="2096"/>
      <c r="I13" s="31"/>
      <c r="J13" s="30"/>
      <c r="K13" s="28"/>
      <c r="L13" s="30"/>
      <c r="M13" s="30"/>
      <c r="N13" s="30"/>
      <c r="O13" s="30"/>
      <c r="P13" s="30"/>
      <c r="Q13" s="30"/>
      <c r="R13" s="30"/>
      <c r="S13" s="30"/>
      <c r="T13" s="2099" t="s">
        <v>2066</v>
      </c>
      <c r="U13" s="2100"/>
      <c r="V13" s="2100"/>
      <c r="W13" s="2100"/>
      <c r="X13" s="2100"/>
      <c r="Y13" s="2101"/>
      <c r="Z13" s="2101"/>
      <c r="AA13" s="210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92" t="s">
        <v>2067</v>
      </c>
      <c r="B15" s="2097"/>
      <c r="C15" s="2097"/>
      <c r="D15" s="2097"/>
      <c r="E15" s="2097"/>
      <c r="F15" s="2097"/>
      <c r="G15" s="2097"/>
      <c r="H15" s="2098"/>
      <c r="T15" s="2060" t="s">
        <v>2073</v>
      </c>
      <c r="U15" s="2061"/>
      <c r="V15" s="2061"/>
      <c r="W15" s="2061"/>
      <c r="X15" s="2061"/>
      <c r="Y15" s="2103"/>
      <c r="Z15" s="2103"/>
      <c r="AA15" s="210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52" t="s">
        <v>2194</v>
      </c>
      <c r="B17" s="2122"/>
      <c r="C17" s="2122"/>
      <c r="D17" s="2122"/>
      <c r="E17" s="2122"/>
      <c r="F17" s="2122"/>
      <c r="G17" s="2122"/>
      <c r="H17" s="2123"/>
      <c r="T17" s="2109" t="s">
        <v>2058</v>
      </c>
      <c r="U17" s="2110"/>
      <c r="V17" s="2110"/>
      <c r="W17" s="2110"/>
      <c r="X17" s="2110"/>
      <c r="Y17" s="2110"/>
      <c r="Z17" s="2110"/>
      <c r="AA17" s="2111"/>
    </row>
    <row r="18" spans="1:27" ht="13.5" customHeight="1" x14ac:dyDescent="0.2">
      <c r="A18" s="85" t="s">
        <v>530</v>
      </c>
      <c r="B18" s="76"/>
      <c r="C18" s="72"/>
      <c r="D18" s="76"/>
      <c r="E18" s="76"/>
      <c r="F18" s="76"/>
      <c r="G18" s="76"/>
      <c r="H18" s="56"/>
      <c r="I18" s="2119" t="s">
        <v>676</v>
      </c>
      <c r="J18" s="2120"/>
      <c r="K18" s="2120"/>
      <c r="L18" s="2120"/>
      <c r="M18" s="2120"/>
      <c r="N18" s="2120"/>
      <c r="O18" s="2120"/>
      <c r="P18" s="2120"/>
      <c r="Q18" s="2120"/>
      <c r="R18" s="2120"/>
      <c r="S18" s="2121"/>
      <c r="T18" s="85" t="s">
        <v>711</v>
      </c>
      <c r="U18" s="51"/>
      <c r="V18" s="72"/>
      <c r="W18" s="50"/>
      <c r="X18" s="85" t="s">
        <v>266</v>
      </c>
      <c r="Y18" s="81"/>
      <c r="Z18" s="159" t="s">
        <v>677</v>
      </c>
      <c r="AA18" s="46"/>
    </row>
    <row r="19" spans="1:27" ht="13.5" customHeight="1" x14ac:dyDescent="0.2">
      <c r="A19" s="2092" t="s">
        <v>2069</v>
      </c>
      <c r="B19" s="2093"/>
      <c r="C19" s="2093"/>
      <c r="D19" s="2093"/>
      <c r="E19" s="2093"/>
      <c r="F19" s="2093"/>
      <c r="G19" s="2093"/>
      <c r="H19" s="2091"/>
      <c r="I19" s="30"/>
      <c r="J19" s="99"/>
      <c r="K19" s="40"/>
      <c r="L19" s="38"/>
      <c r="M19" s="112" t="s">
        <v>315</v>
      </c>
      <c r="P19" s="27"/>
      <c r="Q19" s="27"/>
      <c r="R19" s="27"/>
      <c r="S19" s="31"/>
      <c r="T19" s="2092" t="s">
        <v>2059</v>
      </c>
      <c r="U19" s="2090"/>
      <c r="V19" s="2090"/>
      <c r="W19" s="2091"/>
      <c r="X19" s="2107" t="s">
        <v>2060</v>
      </c>
      <c r="Y19" s="2108"/>
      <c r="Z19" s="2105">
        <v>61614</v>
      </c>
      <c r="AA19" s="210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89" t="s">
        <v>2070</v>
      </c>
      <c r="B21" s="2090"/>
      <c r="C21" s="2090"/>
      <c r="D21" s="2090"/>
      <c r="E21" s="2090"/>
      <c r="F21" s="2090"/>
      <c r="G21" s="2090"/>
      <c r="H21" s="2091"/>
      <c r="I21" s="2115" t="s">
        <v>678</v>
      </c>
      <c r="J21" s="2078"/>
      <c r="K21" s="2078"/>
      <c r="L21" s="2078"/>
      <c r="M21" s="2078"/>
      <c r="N21" s="2078"/>
      <c r="O21" s="2078"/>
      <c r="P21" s="2078"/>
      <c r="Q21" s="2078"/>
      <c r="R21" s="2078"/>
      <c r="S21" s="2079"/>
      <c r="T21" s="2057" t="s">
        <v>2061</v>
      </c>
      <c r="U21" s="2058"/>
      <c r="V21" s="2058"/>
      <c r="W21" s="2058"/>
      <c r="X21" s="2071" t="s">
        <v>2062</v>
      </c>
      <c r="Y21" s="2072"/>
      <c r="Z21" s="2072"/>
      <c r="AA21" s="2073"/>
    </row>
    <row r="22" spans="1:27" ht="13.5" customHeight="1" x14ac:dyDescent="0.2">
      <c r="A22" s="87" t="s">
        <v>531</v>
      </c>
      <c r="B22" s="59"/>
      <c r="C22" s="59"/>
      <c r="D22" s="59"/>
      <c r="E22" s="59"/>
      <c r="F22" s="59"/>
      <c r="G22" s="59"/>
      <c r="H22" s="60"/>
      <c r="I22" s="2116" t="s">
        <v>1429</v>
      </c>
      <c r="J22" s="2117"/>
      <c r="K22" s="2117"/>
      <c r="L22" s="2117"/>
      <c r="M22" s="2117"/>
      <c r="N22" s="2117"/>
      <c r="O22" s="2117"/>
      <c r="P22" s="2117"/>
      <c r="Q22" s="2117"/>
      <c r="R22" s="2117"/>
      <c r="S22" s="2118"/>
      <c r="T22" s="85" t="s">
        <v>1516</v>
      </c>
      <c r="U22" s="51"/>
      <c r="V22" s="72"/>
      <c r="W22" s="51"/>
      <c r="X22" s="160" t="s">
        <v>1318</v>
      </c>
      <c r="Z22" s="45"/>
      <c r="AA22" s="46"/>
    </row>
    <row r="23" spans="1:27" ht="13.5" customHeight="1" x14ac:dyDescent="0.2">
      <c r="A23" s="2112" t="s">
        <v>2071</v>
      </c>
      <c r="B23" s="2113"/>
      <c r="C23" s="2113"/>
      <c r="D23" s="2113"/>
      <c r="E23" s="2113"/>
      <c r="F23" s="2113"/>
      <c r="G23" s="2113"/>
      <c r="H23" s="2114"/>
      <c r="T23" s="2052" t="s">
        <v>2063</v>
      </c>
      <c r="U23" s="2053"/>
      <c r="V23" s="2053"/>
      <c r="W23" s="2053"/>
      <c r="X23" s="2068">
        <v>44501</v>
      </c>
      <c r="Y23" s="2069"/>
      <c r="Z23" s="2069"/>
      <c r="AA23" s="2070"/>
    </row>
    <row r="24" spans="1:27" ht="14.1" customHeight="1" x14ac:dyDescent="0.2">
      <c r="A24" s="88" t="s">
        <v>677</v>
      </c>
      <c r="B24" s="49"/>
      <c r="C24" s="49"/>
      <c r="D24" s="49"/>
      <c r="E24" s="49"/>
      <c r="F24" s="49"/>
      <c r="G24" s="49"/>
      <c r="H24" s="61"/>
      <c r="J24" s="2154" t="str">
        <f>IF(B5="x",IF(AUDITCHECK!D29="AFR form Incomplete.","",IF(AUDITCHECK!D29="Deficit reduction plan is required.","School District must complete a deficit reduction plan in the 2019-2020 Budget",)),"")</f>
        <v/>
      </c>
      <c r="K24" s="2154"/>
      <c r="L24" s="2154"/>
      <c r="M24" s="2154"/>
      <c r="N24" s="2154"/>
      <c r="O24" s="2154"/>
      <c r="P24" s="2154"/>
      <c r="Q24" s="2154"/>
      <c r="R24" s="2154"/>
      <c r="S24" s="2155"/>
      <c r="T24" s="105" t="s">
        <v>531</v>
      </c>
      <c r="U24" s="106"/>
      <c r="V24" s="106"/>
      <c r="W24" s="106"/>
      <c r="X24" s="107"/>
      <c r="Y24" s="107"/>
      <c r="Z24" s="107"/>
      <c r="AA24" s="108"/>
    </row>
    <row r="25" spans="1:27" ht="14.1" customHeight="1" x14ac:dyDescent="0.2">
      <c r="A25" s="2089">
        <v>61548</v>
      </c>
      <c r="B25" s="2090"/>
      <c r="C25" s="2090"/>
      <c r="D25" s="2090"/>
      <c r="E25" s="2090"/>
      <c r="F25" s="2090"/>
      <c r="G25" s="2090"/>
      <c r="H25" s="2091"/>
      <c r="I25" s="113"/>
      <c r="J25" s="2156"/>
      <c r="K25" s="2156"/>
      <c r="L25" s="2156"/>
      <c r="M25" s="2156"/>
      <c r="N25" s="2156"/>
      <c r="O25" s="2156"/>
      <c r="P25" s="2156"/>
      <c r="Q25" s="2156"/>
      <c r="R25" s="2156"/>
      <c r="S25" s="2157"/>
      <c r="T25" s="2049" t="s">
        <v>2074</v>
      </c>
      <c r="U25" s="2050"/>
      <c r="V25" s="2050"/>
      <c r="W25" s="2050"/>
      <c r="X25" s="2050"/>
      <c r="Y25" s="2050"/>
      <c r="Z25" s="2050"/>
      <c r="AA25" s="20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47" t="s">
        <v>1511</v>
      </c>
      <c r="J27" s="2120"/>
      <c r="K27" s="2120"/>
      <c r="L27" s="2120"/>
      <c r="M27" s="2120"/>
      <c r="N27" s="2120"/>
      <c r="O27" s="2120"/>
      <c r="P27" s="2120"/>
      <c r="Q27" s="2120"/>
      <c r="R27" s="2120"/>
      <c r="S27" s="212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2064</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48" t="s">
        <v>2064</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48"/>
      <c r="M31" s="40" t="s">
        <v>99</v>
      </c>
      <c r="N31" s="32" t="s">
        <v>1598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93"/>
      <c r="Q35" s="2090"/>
      <c r="R35" s="209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52" t="s">
        <v>2072</v>
      </c>
      <c r="B38" s="2122"/>
      <c r="C38" s="2122"/>
      <c r="D38" s="2122"/>
      <c r="E38" s="2122"/>
      <c r="F38" s="2090"/>
      <c r="G38" s="2090"/>
      <c r="H38" s="2091"/>
      <c r="I38" s="2141"/>
      <c r="J38" s="2061"/>
      <c r="K38" s="2061"/>
      <c r="L38" s="2061"/>
      <c r="M38" s="2061"/>
      <c r="N38" s="2061"/>
      <c r="O38" s="2061"/>
      <c r="P38" s="2062"/>
      <c r="Q38" s="2062"/>
      <c r="R38" s="2062"/>
      <c r="S38" s="2063"/>
      <c r="T38" s="2060"/>
      <c r="U38" s="2061"/>
      <c r="V38" s="2061"/>
      <c r="W38" s="2061"/>
      <c r="X38" s="2062"/>
      <c r="Y38" s="2062"/>
      <c r="Z38" s="2062"/>
      <c r="AA38" s="2063"/>
    </row>
    <row r="39" spans="1:27" ht="12" customHeight="1" x14ac:dyDescent="0.2">
      <c r="A39" s="2145" t="s">
        <v>531</v>
      </c>
      <c r="B39" s="2146"/>
      <c r="C39" s="72"/>
      <c r="D39" s="69"/>
      <c r="E39" s="69"/>
      <c r="F39" s="79"/>
      <c r="G39" s="69"/>
      <c r="H39" s="56"/>
      <c r="I39" s="2145" t="s">
        <v>531</v>
      </c>
      <c r="J39" s="2146"/>
      <c r="K39" s="2146"/>
      <c r="L39" s="2146"/>
      <c r="M39" s="2146"/>
      <c r="N39" s="67"/>
      <c r="O39" s="72"/>
      <c r="P39" s="72"/>
      <c r="Q39" s="78"/>
      <c r="R39" s="72"/>
      <c r="S39" s="56"/>
      <c r="T39" s="72" t="s">
        <v>531</v>
      </c>
      <c r="U39" s="51"/>
      <c r="V39" s="72"/>
      <c r="W39" s="50"/>
      <c r="X39" s="78"/>
      <c r="Y39" s="45"/>
      <c r="Z39" s="45"/>
      <c r="AA39" s="46"/>
    </row>
    <row r="40" spans="1:27" ht="13.5" customHeight="1" x14ac:dyDescent="0.2">
      <c r="A40" s="2148" t="s">
        <v>2071</v>
      </c>
      <c r="B40" s="2149"/>
      <c r="C40" s="2150"/>
      <c r="D40" s="2150"/>
      <c r="E40" s="2150"/>
      <c r="F40" s="2151"/>
      <c r="G40" s="2151"/>
      <c r="H40" s="2152"/>
      <c r="I40" s="2064"/>
      <c r="J40" s="2066"/>
      <c r="K40" s="2066"/>
      <c r="L40" s="2066"/>
      <c r="M40" s="2066"/>
      <c r="N40" s="2066"/>
      <c r="O40" s="2066"/>
      <c r="P40" s="2066"/>
      <c r="Q40" s="2066"/>
      <c r="R40" s="2066"/>
      <c r="S40" s="2067"/>
      <c r="T40" s="2064"/>
      <c r="U40" s="2065"/>
      <c r="V40" s="2066"/>
      <c r="W40" s="2066"/>
      <c r="X40" s="2066"/>
      <c r="Y40" s="2066"/>
      <c r="Z40" s="2066"/>
      <c r="AA40" s="206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38">
        <v>3093674901</v>
      </c>
      <c r="B42" s="2139"/>
      <c r="C42" s="2140"/>
      <c r="D42" s="2153">
        <v>3093674905</v>
      </c>
      <c r="E42" s="2139"/>
      <c r="F42" s="2139"/>
      <c r="G42" s="2139"/>
      <c r="H42" s="2140"/>
      <c r="I42" s="2059"/>
      <c r="J42" s="2055"/>
      <c r="K42" s="2055"/>
      <c r="L42" s="2055"/>
      <c r="M42" s="2055"/>
      <c r="N42" s="2055"/>
      <c r="O42" s="2056"/>
      <c r="P42" s="2054"/>
      <c r="Q42" s="2055"/>
      <c r="R42" s="2055"/>
      <c r="S42" s="2056"/>
      <c r="T42" s="2059"/>
      <c r="U42" s="2055"/>
      <c r="V42" s="2055"/>
      <c r="W42" s="2056"/>
      <c r="X42" s="2054"/>
      <c r="Y42" s="2055"/>
      <c r="Z42" s="2055"/>
      <c r="AA42" s="205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42"/>
      <c r="B44" s="2143"/>
      <c r="C44" s="2143"/>
      <c r="D44" s="2143"/>
      <c r="E44" s="2143"/>
      <c r="F44" s="2143"/>
      <c r="G44" s="2143"/>
      <c r="H44" s="2144"/>
      <c r="I44" s="2134"/>
      <c r="J44" s="2136"/>
      <c r="K44" s="2136"/>
      <c r="L44" s="2136"/>
      <c r="M44" s="2136"/>
      <c r="N44" s="2136"/>
      <c r="O44" s="2136"/>
      <c r="P44" s="2136"/>
      <c r="Q44" s="2136"/>
      <c r="R44" s="2136"/>
      <c r="S44" s="2137"/>
      <c r="T44" s="2134"/>
      <c r="U44" s="2135"/>
      <c r="V44" s="2135"/>
      <c r="W44" s="2135"/>
      <c r="X44" s="2135"/>
      <c r="Y44" s="2135"/>
      <c r="Z44" s="2136"/>
      <c r="AA44" s="213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1938</v>
      </c>
      <c r="D46" s="41"/>
      <c r="E46" s="41"/>
      <c r="F46" s="41"/>
      <c r="G46" s="41"/>
      <c r="Q46" s="29" t="s">
        <v>1420</v>
      </c>
      <c r="R46" s="41"/>
      <c r="S46" s="41"/>
      <c r="T46" s="41"/>
      <c r="U46" s="41"/>
      <c r="V46" s="41"/>
      <c r="W46" s="41"/>
      <c r="X46" s="41"/>
      <c r="Y46" s="41"/>
      <c r="Z46" s="41"/>
      <c r="AA46" s="41"/>
    </row>
    <row r="47" spans="1:27" x14ac:dyDescent="0.2">
      <c r="A47" s="137"/>
      <c r="Q47" s="41" t="s">
        <v>1920</v>
      </c>
      <c r="R47" s="41"/>
      <c r="S47" s="41"/>
      <c r="T47" s="41"/>
      <c r="U47" s="41"/>
      <c r="V47" s="41"/>
      <c r="W47" s="41"/>
      <c r="X47" s="41"/>
      <c r="Y47" s="41"/>
      <c r="Z47" s="41"/>
      <c r="AA47" s="41"/>
    </row>
    <row r="48" spans="1:27" x14ac:dyDescent="0.2">
      <c r="Q48" s="41" t="s">
        <v>1921</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03" t="s">
        <v>104</v>
      </c>
    </row>
    <row r="2" spans="1:6" ht="39.75" customHeight="1" x14ac:dyDescent="0.2">
      <c r="A2" s="2291" t="s">
        <v>1797</v>
      </c>
      <c r="B2" s="1450" t="s">
        <v>1945</v>
      </c>
      <c r="C2" s="711" t="s">
        <v>1946</v>
      </c>
      <c r="D2" s="711" t="s">
        <v>1947</v>
      </c>
      <c r="E2" s="711" t="s">
        <v>1948</v>
      </c>
      <c r="F2" s="711" t="s">
        <v>1949</v>
      </c>
    </row>
    <row r="3" spans="1:6" ht="12" customHeight="1" x14ac:dyDescent="0.2">
      <c r="A3" s="2292"/>
      <c r="B3" s="1447"/>
      <c r="C3" s="1448"/>
      <c r="D3" s="1449" t="s">
        <v>256</v>
      </c>
      <c r="E3" s="1448"/>
      <c r="F3" s="1449" t="s">
        <v>257</v>
      </c>
    </row>
    <row r="4" spans="1:6" ht="13.7" customHeight="1" x14ac:dyDescent="0.2">
      <c r="A4" s="712" t="s">
        <v>1155</v>
      </c>
      <c r="B4" s="1671">
        <f>'Revenues 9-14'!C5</f>
        <v>0</v>
      </c>
      <c r="C4" s="1446"/>
      <c r="D4" s="1674">
        <f>B4-C4</f>
        <v>0</v>
      </c>
      <c r="E4" s="1446"/>
      <c r="F4" s="1674">
        <f>E4-C4</f>
        <v>0</v>
      </c>
    </row>
    <row r="5" spans="1:6" ht="13.7" customHeight="1" x14ac:dyDescent="0.2">
      <c r="A5" s="712" t="s">
        <v>870</v>
      </c>
      <c r="B5" s="1672">
        <f>'Revenues 9-14'!D5</f>
        <v>0</v>
      </c>
      <c r="C5" s="582"/>
      <c r="D5" s="1675">
        <f t="shared" ref="D5:D18" si="0">B5-C5</f>
        <v>0</v>
      </c>
      <c r="E5" s="582"/>
      <c r="F5" s="1675">
        <f>E5-C5</f>
        <v>0</v>
      </c>
    </row>
    <row r="6" spans="1:6" ht="13.7" customHeight="1" x14ac:dyDescent="0.2">
      <c r="A6" s="712" t="s">
        <v>411</v>
      </c>
      <c r="B6" s="1672">
        <f>'Revenues 9-14'!E5</f>
        <v>0</v>
      </c>
      <c r="C6" s="582"/>
      <c r="D6" s="1675">
        <f t="shared" si="0"/>
        <v>0</v>
      </c>
      <c r="E6" s="582"/>
      <c r="F6" s="1675">
        <f t="shared" ref="F6:F18" si="1">E6-C6</f>
        <v>0</v>
      </c>
    </row>
    <row r="7" spans="1:6" ht="13.7" customHeight="1" x14ac:dyDescent="0.2">
      <c r="A7" s="712" t="s">
        <v>155</v>
      </c>
      <c r="B7" s="1672">
        <f>'Revenues 9-14'!F5</f>
        <v>0</v>
      </c>
      <c r="C7" s="582"/>
      <c r="D7" s="1675">
        <f t="shared" si="0"/>
        <v>0</v>
      </c>
      <c r="E7" s="582"/>
      <c r="F7" s="1675">
        <f t="shared" si="1"/>
        <v>0</v>
      </c>
    </row>
    <row r="8" spans="1:6" ht="13.7" customHeight="1" x14ac:dyDescent="0.2">
      <c r="A8" s="712" t="s">
        <v>1179</v>
      </c>
      <c r="B8" s="1672">
        <f>'Revenues 9-14'!G5</f>
        <v>0</v>
      </c>
      <c r="C8" s="582"/>
      <c r="D8" s="1675">
        <f t="shared" si="0"/>
        <v>0</v>
      </c>
      <c r="E8" s="582"/>
      <c r="F8" s="1675">
        <f t="shared" si="1"/>
        <v>0</v>
      </c>
    </row>
    <row r="9" spans="1:6" ht="13.7" customHeight="1" x14ac:dyDescent="0.2">
      <c r="A9" s="712" t="s">
        <v>408</v>
      </c>
      <c r="B9" s="1672">
        <f>'Revenues 9-14'!H5</f>
        <v>0</v>
      </c>
      <c r="C9" s="582"/>
      <c r="D9" s="1675">
        <f t="shared" si="0"/>
        <v>0</v>
      </c>
      <c r="E9" s="582"/>
      <c r="F9" s="1675">
        <f t="shared" si="1"/>
        <v>0</v>
      </c>
    </row>
    <row r="10" spans="1:6" ht="13.7" customHeight="1" x14ac:dyDescent="0.2">
      <c r="A10" s="712" t="s">
        <v>407</v>
      </c>
      <c r="B10" s="1672">
        <f>'Revenues 9-14'!I5</f>
        <v>0</v>
      </c>
      <c r="C10" s="582"/>
      <c r="D10" s="1675">
        <f t="shared" si="0"/>
        <v>0</v>
      </c>
      <c r="E10" s="582"/>
      <c r="F10" s="1675">
        <f t="shared" si="1"/>
        <v>0</v>
      </c>
    </row>
    <row r="11" spans="1:6" x14ac:dyDescent="0.2">
      <c r="A11" s="712" t="s">
        <v>409</v>
      </c>
      <c r="B11" s="1672">
        <f>'Revenues 9-14'!J5</f>
        <v>0</v>
      </c>
      <c r="C11" s="582"/>
      <c r="D11" s="1675">
        <f t="shared" si="0"/>
        <v>0</v>
      </c>
      <c r="E11" s="582"/>
      <c r="F11" s="1675">
        <f t="shared" si="1"/>
        <v>0</v>
      </c>
    </row>
    <row r="12" spans="1:6" ht="13.7" customHeight="1" x14ac:dyDescent="0.2">
      <c r="A12" s="712" t="s">
        <v>157</v>
      </c>
      <c r="B12" s="1672">
        <f>'Revenues 9-14'!K5</f>
        <v>0</v>
      </c>
      <c r="C12" s="582"/>
      <c r="D12" s="1675">
        <f t="shared" si="0"/>
        <v>0</v>
      </c>
      <c r="E12" s="582"/>
      <c r="F12" s="1675">
        <f t="shared" si="1"/>
        <v>0</v>
      </c>
    </row>
    <row r="13" spans="1:6" ht="13.7" customHeight="1" x14ac:dyDescent="0.2">
      <c r="A13" s="712" t="s">
        <v>936</v>
      </c>
      <c r="B13" s="1672">
        <f>SUM('Revenues 9-14'!C6:D6)</f>
        <v>0</v>
      </c>
      <c r="C13" s="582"/>
      <c r="D13" s="1675">
        <f t="shared" si="0"/>
        <v>0</v>
      </c>
      <c r="E13" s="582"/>
      <c r="F13" s="1675">
        <f t="shared" si="1"/>
        <v>0</v>
      </c>
    </row>
    <row r="14" spans="1:6" ht="13.7" customHeight="1" x14ac:dyDescent="0.2">
      <c r="A14" s="712" t="s">
        <v>410</v>
      </c>
      <c r="B14" s="1672">
        <f>SUM('Revenues 9-14'!C7:D7,'Revenues 9-14'!F7:H7)</f>
        <v>0</v>
      </c>
      <c r="C14" s="582"/>
      <c r="D14" s="1675">
        <f t="shared" si="0"/>
        <v>0</v>
      </c>
      <c r="E14" s="582"/>
      <c r="F14" s="1675">
        <f t="shared" si="1"/>
        <v>0</v>
      </c>
    </row>
    <row r="15" spans="1:6" ht="13.7" customHeight="1" x14ac:dyDescent="0.2">
      <c r="A15" s="712" t="s">
        <v>1158</v>
      </c>
      <c r="B15" s="1672">
        <f>SUM('Revenues 9-14'!D9:E9,'Revenues 9-14'!H9)</f>
        <v>0</v>
      </c>
      <c r="C15" s="582"/>
      <c r="D15" s="1675">
        <f t="shared" si="0"/>
        <v>0</v>
      </c>
      <c r="E15" s="582"/>
      <c r="F15" s="1675">
        <f t="shared" si="1"/>
        <v>0</v>
      </c>
    </row>
    <row r="16" spans="1:6" ht="13.7" customHeight="1" x14ac:dyDescent="0.2">
      <c r="A16" s="712" t="s">
        <v>1159</v>
      </c>
      <c r="B16" s="1672">
        <f>'Revenues 9-14'!G8</f>
        <v>0</v>
      </c>
      <c r="C16" s="582"/>
      <c r="D16" s="1675">
        <f t="shared" si="0"/>
        <v>0</v>
      </c>
      <c r="E16" s="582"/>
      <c r="F16" s="1675">
        <f t="shared" si="1"/>
        <v>0</v>
      </c>
    </row>
    <row r="17" spans="1:6" ht="13.7" customHeight="1" x14ac:dyDescent="0.2">
      <c r="A17" s="712" t="s">
        <v>1160</v>
      </c>
      <c r="B17" s="1672">
        <f>'Revenues 9-14'!C10</f>
        <v>0</v>
      </c>
      <c r="C17" s="582"/>
      <c r="D17" s="1675">
        <f t="shared" si="0"/>
        <v>0</v>
      </c>
      <c r="E17" s="582"/>
      <c r="F17" s="1675">
        <f t="shared" si="1"/>
        <v>0</v>
      </c>
    </row>
    <row r="18" spans="1:6" ht="13.7" customHeight="1" x14ac:dyDescent="0.2">
      <c r="A18" s="712" t="s">
        <v>762</v>
      </c>
      <c r="B18" s="1672">
        <f>SUM('Revenues 9-14'!C11:K11)</f>
        <v>0</v>
      </c>
      <c r="C18" s="582"/>
      <c r="D18" s="1675">
        <f t="shared" si="0"/>
        <v>0</v>
      </c>
      <c r="E18" s="582"/>
      <c r="F18" s="1675">
        <f t="shared" si="1"/>
        <v>0</v>
      </c>
    </row>
    <row r="19" spans="1:6" ht="13.7" customHeight="1" thickBot="1" x14ac:dyDescent="0.25">
      <c r="A19" s="1676" t="s">
        <v>1161</v>
      </c>
      <c r="B19" s="1673">
        <f>SUM(B4:B18)</f>
        <v>0</v>
      </c>
      <c r="C19" s="1673">
        <f>SUM(C4:C18)</f>
        <v>0</v>
      </c>
      <c r="D19" s="1673">
        <f>SUM(D4:D18)</f>
        <v>0</v>
      </c>
      <c r="E19" s="1673">
        <f>SUM(E4:E18)</f>
        <v>0</v>
      </c>
      <c r="F19" s="1673">
        <f>SUM(F4:F18)</f>
        <v>0</v>
      </c>
    </row>
    <row r="20" spans="1:6" ht="13.5" thickTop="1" x14ac:dyDescent="0.2">
      <c r="B20" s="710"/>
      <c r="F20" s="713"/>
    </row>
    <row r="21" spans="1:6" x14ac:dyDescent="0.2">
      <c r="A21" s="714" t="s">
        <v>1803</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97" t="s">
        <v>629</v>
      </c>
      <c r="B1" s="2298"/>
      <c r="C1" s="718"/>
    </row>
    <row r="2" spans="1:7" ht="33.75" x14ac:dyDescent="0.2">
      <c r="A2" s="2306" t="s">
        <v>1797</v>
      </c>
      <c r="B2" s="2307"/>
      <c r="C2" s="1804" t="s">
        <v>1950</v>
      </c>
      <c r="D2" s="720" t="s">
        <v>1951</v>
      </c>
      <c r="E2" s="720" t="s">
        <v>1952</v>
      </c>
      <c r="F2" s="1804" t="s">
        <v>1953</v>
      </c>
    </row>
    <row r="3" spans="1:7" ht="15.75" customHeight="1" x14ac:dyDescent="0.2">
      <c r="A3" s="2310" t="s">
        <v>1114</v>
      </c>
      <c r="B3" s="2311"/>
      <c r="C3" s="2299"/>
      <c r="D3" s="2300"/>
      <c r="E3" s="2300"/>
      <c r="F3" s="2301"/>
    </row>
    <row r="4" spans="1:7" ht="12.75" customHeight="1" thickBot="1" x14ac:dyDescent="0.25">
      <c r="A4" s="2308" t="s">
        <v>630</v>
      </c>
      <c r="B4" s="2309"/>
      <c r="C4" s="578"/>
      <c r="D4" s="578"/>
      <c r="E4" s="578"/>
      <c r="F4" s="1677">
        <f>SUM(C4+D4)-E4</f>
        <v>0</v>
      </c>
    </row>
    <row r="5" spans="1:7" ht="15.75" customHeight="1" thickTop="1" x14ac:dyDescent="0.2">
      <c r="A5" s="2293" t="s">
        <v>1110</v>
      </c>
      <c r="B5" s="2294"/>
      <c r="C5" s="2302"/>
      <c r="D5" s="2303"/>
      <c r="E5" s="2303"/>
      <c r="F5" s="2304"/>
    </row>
    <row r="6" spans="1:7" ht="12.75" customHeight="1" thickBot="1" x14ac:dyDescent="0.25">
      <c r="A6" s="721" t="s">
        <v>64</v>
      </c>
      <c r="B6" s="722"/>
      <c r="C6" s="723"/>
      <c r="D6" s="582"/>
      <c r="E6" s="723"/>
      <c r="F6" s="1677">
        <f t="shared" ref="F6:F14" si="0">SUM(C6+D6)-E6</f>
        <v>0</v>
      </c>
    </row>
    <row r="7" spans="1:7" ht="12.75" customHeight="1" thickTop="1" thickBot="1" x14ac:dyDescent="0.25">
      <c r="A7" s="721" t="s">
        <v>6</v>
      </c>
      <c r="B7" s="722"/>
      <c r="C7" s="723"/>
      <c r="D7" s="582"/>
      <c r="E7" s="723"/>
      <c r="F7" s="1677">
        <f t="shared" si="0"/>
        <v>0</v>
      </c>
    </row>
    <row r="8" spans="1:7" ht="12.75" customHeight="1" thickTop="1" thickBot="1" x14ac:dyDescent="0.25">
      <c r="A8" s="721" t="s">
        <v>508</v>
      </c>
      <c r="B8" s="722"/>
      <c r="C8" s="723"/>
      <c r="D8" s="582"/>
      <c r="E8" s="723"/>
      <c r="F8" s="1677">
        <f t="shared" si="0"/>
        <v>0</v>
      </c>
    </row>
    <row r="9" spans="1:7" ht="12.75" customHeight="1" thickTop="1" thickBot="1" x14ac:dyDescent="0.25">
      <c r="A9" s="721" t="s">
        <v>509</v>
      </c>
      <c r="B9" s="722"/>
      <c r="C9" s="723"/>
      <c r="D9" s="582"/>
      <c r="E9" s="723"/>
      <c r="F9" s="1677">
        <f t="shared" si="0"/>
        <v>0</v>
      </c>
    </row>
    <row r="10" spans="1:7" ht="12.75" customHeight="1" thickTop="1" thickBot="1" x14ac:dyDescent="0.25">
      <c r="A10" s="721" t="s">
        <v>510</v>
      </c>
      <c r="B10" s="722"/>
      <c r="C10" s="723"/>
      <c r="D10" s="582"/>
      <c r="E10" s="723"/>
      <c r="F10" s="1677">
        <f t="shared" si="0"/>
        <v>0</v>
      </c>
    </row>
    <row r="11" spans="1:7" ht="12.75" customHeight="1" thickTop="1" thickBot="1" x14ac:dyDescent="0.25">
      <c r="A11" s="721" t="s">
        <v>341</v>
      </c>
      <c r="B11" s="722"/>
      <c r="C11" s="723"/>
      <c r="D11" s="582"/>
      <c r="E11" s="723"/>
      <c r="F11" s="1677">
        <f t="shared" si="0"/>
        <v>0</v>
      </c>
    </row>
    <row r="12" spans="1:7" ht="12.75" customHeight="1" thickTop="1" thickBot="1" x14ac:dyDescent="0.25">
      <c r="A12" s="721" t="s">
        <v>1157</v>
      </c>
      <c r="B12" s="722"/>
      <c r="C12" s="723"/>
      <c r="D12" s="582"/>
      <c r="E12" s="723"/>
      <c r="F12" s="1677">
        <f t="shared" si="0"/>
        <v>0</v>
      </c>
    </row>
    <row r="13" spans="1:7" ht="12.75" customHeight="1" thickTop="1" thickBot="1" x14ac:dyDescent="0.25">
      <c r="A13" s="721" t="s">
        <v>388</v>
      </c>
      <c r="B13" s="722"/>
      <c r="C13" s="723"/>
      <c r="D13" s="582"/>
      <c r="E13" s="723"/>
      <c r="F13" s="1677">
        <f t="shared" si="0"/>
        <v>0</v>
      </c>
    </row>
    <row r="14" spans="1:7" ht="12.75" customHeight="1" thickTop="1" thickBot="1" x14ac:dyDescent="0.25">
      <c r="A14" s="721" t="s">
        <v>448</v>
      </c>
      <c r="B14" s="722"/>
      <c r="C14" s="723"/>
      <c r="D14" s="582"/>
      <c r="E14" s="723"/>
      <c r="F14" s="1677">
        <f t="shared" si="0"/>
        <v>0</v>
      </c>
    </row>
    <row r="15" spans="1:7" ht="14.25" thickTop="1" thickBot="1" x14ac:dyDescent="0.25">
      <c r="A15" s="2295" t="s">
        <v>631</v>
      </c>
      <c r="B15" s="2296"/>
      <c r="C15" s="1677">
        <f>SUM(C6:C14)</f>
        <v>0</v>
      </c>
      <c r="D15" s="1677">
        <f>SUM(D6:D14)</f>
        <v>0</v>
      </c>
      <c r="E15" s="1677">
        <f>SUM(E6:E14)</f>
        <v>0</v>
      </c>
      <c r="F15" s="1677">
        <f>SUM(F6:F14)</f>
        <v>0</v>
      </c>
      <c r="G15" s="549"/>
    </row>
    <row r="16" spans="1:7" s="202" customFormat="1" ht="15.75" customHeight="1" thickTop="1" x14ac:dyDescent="0.2">
      <c r="A16" s="2305" t="s">
        <v>1111</v>
      </c>
      <c r="B16" s="2294"/>
      <c r="C16" s="2302"/>
      <c r="D16" s="2303"/>
      <c r="E16" s="2303"/>
      <c r="F16" s="2304"/>
    </row>
    <row r="17" spans="1:11" ht="12.75" customHeight="1" thickBot="1" x14ac:dyDescent="0.25">
      <c r="A17" s="2318" t="s">
        <v>64</v>
      </c>
      <c r="B17" s="2319"/>
      <c r="C17" s="723"/>
      <c r="D17" s="582"/>
      <c r="E17" s="723"/>
      <c r="F17" s="1677">
        <f>SUM(C17+D17)-E17</f>
        <v>0</v>
      </c>
    </row>
    <row r="18" spans="1:11" ht="12.75" customHeight="1" thickTop="1" thickBot="1" x14ac:dyDescent="0.25">
      <c r="A18" s="2318" t="s">
        <v>6</v>
      </c>
      <c r="B18" s="2319"/>
      <c r="C18" s="723"/>
      <c r="D18" s="582"/>
      <c r="E18" s="723"/>
      <c r="F18" s="1677">
        <f>SUM(C18+D18)-E18</f>
        <v>0</v>
      </c>
    </row>
    <row r="19" spans="1:11" ht="12.75" customHeight="1" thickTop="1" thickBot="1" x14ac:dyDescent="0.25">
      <c r="A19" s="2318" t="s">
        <v>388</v>
      </c>
      <c r="B19" s="2319"/>
      <c r="C19" s="723"/>
      <c r="D19" s="582"/>
      <c r="E19" s="723"/>
      <c r="F19" s="1677">
        <f>SUM(C19+D19)-E19</f>
        <v>0</v>
      </c>
    </row>
    <row r="20" spans="1:11" ht="12.75" customHeight="1" thickTop="1" thickBot="1" x14ac:dyDescent="0.25">
      <c r="A20" s="2318" t="s">
        <v>448</v>
      </c>
      <c r="B20" s="2319"/>
      <c r="C20" s="723"/>
      <c r="D20" s="582"/>
      <c r="E20" s="723"/>
      <c r="F20" s="1677">
        <f>SUM(C20+D20)-E20</f>
        <v>0</v>
      </c>
    </row>
    <row r="21" spans="1:11" ht="14.25" thickTop="1" thickBot="1" x14ac:dyDescent="0.25">
      <c r="A21" s="2295" t="s">
        <v>632</v>
      </c>
      <c r="B21" s="2296"/>
      <c r="C21" s="1677">
        <f>SUM(C17:C20)</f>
        <v>0</v>
      </c>
      <c r="D21" s="1677">
        <f>SUM(D17:D20)</f>
        <v>0</v>
      </c>
      <c r="E21" s="1677">
        <f>SUM(E17:E20)</f>
        <v>0</v>
      </c>
      <c r="F21" s="1677">
        <f>SUM(F17:F20)</f>
        <v>0</v>
      </c>
      <c r="G21" s="549"/>
    </row>
    <row r="22" spans="1:11" ht="15.75" customHeight="1" thickTop="1" x14ac:dyDescent="0.2">
      <c r="A22" s="2320" t="s">
        <v>1112</v>
      </c>
      <c r="B22" s="2294"/>
      <c r="C22" s="2302"/>
      <c r="D22" s="2303"/>
      <c r="E22" s="2303"/>
      <c r="F22" s="2304"/>
    </row>
    <row r="23" spans="1:11" ht="13.5" thickBot="1" x14ac:dyDescent="0.25">
      <c r="A23" s="2308" t="s">
        <v>633</v>
      </c>
      <c r="B23" s="2309"/>
      <c r="C23" s="578"/>
      <c r="D23" s="578"/>
      <c r="E23" s="578"/>
      <c r="F23" s="1677">
        <f>SUM(C23+D23)-E23</f>
        <v>0</v>
      </c>
      <c r="G23" s="549"/>
    </row>
    <row r="24" spans="1:11" ht="15.75" customHeight="1" thickTop="1" x14ac:dyDescent="0.2">
      <c r="A24" s="2320" t="s">
        <v>1113</v>
      </c>
      <c r="B24" s="2294"/>
      <c r="C24" s="2302"/>
      <c r="D24" s="2303"/>
      <c r="E24" s="2303"/>
      <c r="F24" s="2304"/>
    </row>
    <row r="25" spans="1:11" ht="13.5" thickBot="1" x14ac:dyDescent="0.25">
      <c r="A25" s="2308" t="s">
        <v>634</v>
      </c>
      <c r="B25" s="2309"/>
      <c r="C25" s="578"/>
      <c r="D25" s="578"/>
      <c r="E25" s="578"/>
      <c r="F25" s="1677">
        <f>SUM(C25+D25)-E25</f>
        <v>0</v>
      </c>
      <c r="G25" s="549"/>
    </row>
    <row r="26" spans="1:11" ht="15.75" customHeight="1" thickTop="1" x14ac:dyDescent="0.2">
      <c r="A26" s="2293" t="s">
        <v>657</v>
      </c>
      <c r="B26" s="2294"/>
      <c r="C26" s="724"/>
      <c r="D26" s="724"/>
      <c r="E26" s="724"/>
      <c r="F26" s="725"/>
    </row>
    <row r="27" spans="1:11" ht="13.5" thickBot="1" x14ac:dyDescent="0.25">
      <c r="A27" s="2295" t="s">
        <v>1070</v>
      </c>
      <c r="B27" s="2296"/>
      <c r="C27" s="582"/>
      <c r="D27" s="582"/>
      <c r="E27" s="582"/>
      <c r="F27" s="1677">
        <f>SUM(C27+D27)-E27</f>
        <v>0</v>
      </c>
      <c r="G27" s="549"/>
    </row>
    <row r="28" spans="1:11" ht="7.5" customHeight="1" thickTop="1" x14ac:dyDescent="0.2">
      <c r="A28" s="590"/>
    </row>
    <row r="29" spans="1:11" ht="23.25" customHeight="1" x14ac:dyDescent="0.2">
      <c r="A29" s="2321" t="s">
        <v>582</v>
      </c>
      <c r="B29" s="2298"/>
      <c r="C29" s="726"/>
      <c r="D29" s="726"/>
      <c r="E29" s="726"/>
      <c r="F29" s="726"/>
      <c r="G29" s="726"/>
      <c r="H29" s="726"/>
      <c r="I29" s="726"/>
      <c r="J29" s="726"/>
    </row>
    <row r="30" spans="1:11" ht="33.75" x14ac:dyDescent="0.2">
      <c r="A30" s="1451" t="s">
        <v>1071</v>
      </c>
      <c r="B30" s="727" t="s">
        <v>1124</v>
      </c>
      <c r="C30" s="1805" t="s">
        <v>583</v>
      </c>
      <c r="D30" s="1805" t="s">
        <v>1671</v>
      </c>
      <c r="E30" s="1805" t="s">
        <v>1954</v>
      </c>
      <c r="F30" s="1805" t="s">
        <v>1955</v>
      </c>
      <c r="G30" s="1805" t="s">
        <v>1905</v>
      </c>
      <c r="H30" s="1805" t="s">
        <v>1956</v>
      </c>
      <c r="I30" s="1805" t="s">
        <v>1957</v>
      </c>
      <c r="J30" s="1806" t="s">
        <v>2</v>
      </c>
      <c r="K30" s="728"/>
    </row>
    <row r="31" spans="1:11" ht="12" customHeight="1" x14ac:dyDescent="0.2">
      <c r="A31" s="729"/>
      <c r="B31" s="730"/>
      <c r="C31" s="731"/>
      <c r="D31" s="732"/>
      <c r="E31" s="731"/>
      <c r="F31" s="731"/>
      <c r="G31" s="731"/>
      <c r="H31" s="731"/>
      <c r="I31" s="1678">
        <f>((E31+F31)-H31)+G31</f>
        <v>0</v>
      </c>
      <c r="J31" s="731"/>
      <c r="K31" s="733"/>
    </row>
    <row r="32" spans="1:11" ht="12" customHeight="1" x14ac:dyDescent="0.2">
      <c r="A32" s="729"/>
      <c r="B32" s="730"/>
      <c r="C32" s="731"/>
      <c r="D32" s="732"/>
      <c r="E32" s="731"/>
      <c r="F32" s="731"/>
      <c r="G32" s="731"/>
      <c r="H32" s="731"/>
      <c r="I32" s="1678">
        <f>((E32+F32)-H32)+G32</f>
        <v>0</v>
      </c>
      <c r="J32" s="731"/>
      <c r="K32" s="733"/>
    </row>
    <row r="33" spans="1:11" ht="12" customHeight="1" x14ac:dyDescent="0.2">
      <c r="A33" s="729"/>
      <c r="B33" s="730"/>
      <c r="C33" s="731"/>
      <c r="D33" s="732"/>
      <c r="E33" s="731"/>
      <c r="F33" s="731"/>
      <c r="G33" s="731"/>
      <c r="H33" s="731"/>
      <c r="I33" s="1678">
        <f t="shared" ref="I33:I48" si="1">((E33+F33)-H33)+G33</f>
        <v>0</v>
      </c>
      <c r="J33" s="731"/>
      <c r="K33" s="733"/>
    </row>
    <row r="34" spans="1:11" ht="12" customHeight="1" x14ac:dyDescent="0.2">
      <c r="A34" s="729"/>
      <c r="B34" s="730"/>
      <c r="C34" s="731"/>
      <c r="D34" s="732"/>
      <c r="E34" s="731"/>
      <c r="F34" s="731"/>
      <c r="G34" s="731"/>
      <c r="H34" s="731"/>
      <c r="I34" s="1678">
        <f t="shared" si="1"/>
        <v>0</v>
      </c>
      <c r="J34" s="731"/>
      <c r="K34" s="734"/>
    </row>
    <row r="35" spans="1:11" ht="12" customHeight="1" x14ac:dyDescent="0.2">
      <c r="A35" s="729"/>
      <c r="B35" s="730"/>
      <c r="C35" s="735"/>
      <c r="D35" s="732"/>
      <c r="E35" s="735"/>
      <c r="F35" s="735"/>
      <c r="G35" s="735"/>
      <c r="H35" s="735"/>
      <c r="I35" s="1678">
        <f t="shared" si="1"/>
        <v>0</v>
      </c>
      <c r="J35" s="735"/>
      <c r="K35" s="734"/>
    </row>
    <row r="36" spans="1:11" ht="12" customHeight="1" x14ac:dyDescent="0.2">
      <c r="A36" s="729"/>
      <c r="B36" s="730"/>
      <c r="C36" s="731"/>
      <c r="D36" s="732"/>
      <c r="E36" s="731"/>
      <c r="F36" s="731"/>
      <c r="G36" s="731"/>
      <c r="H36" s="731"/>
      <c r="I36" s="1678">
        <f t="shared" si="1"/>
        <v>0</v>
      </c>
      <c r="J36" s="731"/>
      <c r="K36" s="736"/>
    </row>
    <row r="37" spans="1:11" ht="12" customHeight="1" x14ac:dyDescent="0.2">
      <c r="A37" s="729"/>
      <c r="B37" s="730"/>
      <c r="C37" s="467"/>
      <c r="D37" s="737"/>
      <c r="E37" s="467"/>
      <c r="F37" s="467"/>
      <c r="G37" s="467"/>
      <c r="H37" s="467"/>
      <c r="I37" s="1678">
        <f t="shared" si="1"/>
        <v>0</v>
      </c>
      <c r="J37" s="467"/>
      <c r="K37" s="734"/>
    </row>
    <row r="38" spans="1:11" ht="12" customHeight="1" x14ac:dyDescent="0.2">
      <c r="A38" s="729"/>
      <c r="B38" s="730"/>
      <c r="C38" s="731"/>
      <c r="D38" s="738"/>
      <c r="E38" s="739"/>
      <c r="F38" s="739"/>
      <c r="G38" s="739"/>
      <c r="H38" s="739"/>
      <c r="I38" s="1678">
        <f t="shared" si="1"/>
        <v>0</v>
      </c>
      <c r="J38" s="740" t="s">
        <v>264</v>
      </c>
      <c r="K38" s="741"/>
    </row>
    <row r="39" spans="1:11" ht="12" customHeight="1" x14ac:dyDescent="0.2">
      <c r="A39" s="729"/>
      <c r="B39" s="730"/>
      <c r="C39" s="731"/>
      <c r="D39" s="738"/>
      <c r="E39" s="739"/>
      <c r="F39" s="739"/>
      <c r="G39" s="739"/>
      <c r="H39" s="739"/>
      <c r="I39" s="1678">
        <f t="shared" si="1"/>
        <v>0</v>
      </c>
      <c r="J39" s="740"/>
      <c r="K39" s="741"/>
    </row>
    <row r="40" spans="1:11" ht="12" customHeight="1" x14ac:dyDescent="0.2">
      <c r="A40" s="729"/>
      <c r="B40" s="730"/>
      <c r="C40" s="731"/>
      <c r="D40" s="738"/>
      <c r="E40" s="739"/>
      <c r="F40" s="739"/>
      <c r="G40" s="739"/>
      <c r="H40" s="739"/>
      <c r="I40" s="1678">
        <f t="shared" si="1"/>
        <v>0</v>
      </c>
      <c r="J40" s="740"/>
      <c r="K40" s="741"/>
    </row>
    <row r="41" spans="1:11" ht="12" customHeight="1" x14ac:dyDescent="0.2">
      <c r="A41" s="729"/>
      <c r="B41" s="730"/>
      <c r="C41" s="731"/>
      <c r="D41" s="738"/>
      <c r="E41" s="739"/>
      <c r="F41" s="739"/>
      <c r="G41" s="739"/>
      <c r="H41" s="739"/>
      <c r="I41" s="1678">
        <f t="shared" si="1"/>
        <v>0</v>
      </c>
      <c r="J41" s="740"/>
      <c r="K41" s="741"/>
    </row>
    <row r="42" spans="1:11" ht="12" customHeight="1" x14ac:dyDescent="0.2">
      <c r="A42" s="729"/>
      <c r="B42" s="730"/>
      <c r="C42" s="731"/>
      <c r="D42" s="738"/>
      <c r="E42" s="739"/>
      <c r="F42" s="739"/>
      <c r="G42" s="739"/>
      <c r="H42" s="739"/>
      <c r="I42" s="1678">
        <f t="shared" si="1"/>
        <v>0</v>
      </c>
      <c r="J42" s="740"/>
      <c r="K42" s="741"/>
    </row>
    <row r="43" spans="1:11" ht="12" customHeight="1" x14ac:dyDescent="0.2">
      <c r="A43" s="729"/>
      <c r="B43" s="730"/>
      <c r="C43" s="731"/>
      <c r="D43" s="738"/>
      <c r="E43" s="739"/>
      <c r="F43" s="739"/>
      <c r="G43" s="739"/>
      <c r="H43" s="739"/>
      <c r="I43" s="1678">
        <f t="shared" si="1"/>
        <v>0</v>
      </c>
      <c r="J43" s="740"/>
      <c r="K43" s="741"/>
    </row>
    <row r="44" spans="1:11" ht="12" customHeight="1" x14ac:dyDescent="0.2">
      <c r="A44" s="729"/>
      <c r="B44" s="730"/>
      <c r="C44" s="731"/>
      <c r="D44" s="732"/>
      <c r="E44" s="731"/>
      <c r="F44" s="731"/>
      <c r="G44" s="731"/>
      <c r="H44" s="731"/>
      <c r="I44" s="1678">
        <f t="shared" si="1"/>
        <v>0</v>
      </c>
      <c r="J44" s="731"/>
      <c r="K44" s="734"/>
    </row>
    <row r="45" spans="1:11" ht="12" customHeight="1" x14ac:dyDescent="0.2">
      <c r="A45" s="729"/>
      <c r="B45" s="730"/>
      <c r="C45" s="731"/>
      <c r="D45" s="732"/>
      <c r="E45" s="731"/>
      <c r="F45" s="731"/>
      <c r="G45" s="731"/>
      <c r="H45" s="731"/>
      <c r="I45" s="1678">
        <f t="shared" si="1"/>
        <v>0</v>
      </c>
      <c r="J45" s="731"/>
      <c r="K45" s="734"/>
    </row>
    <row r="46" spans="1:11" ht="12" customHeight="1" x14ac:dyDescent="0.2">
      <c r="A46" s="729"/>
      <c r="B46" s="730"/>
      <c r="C46" s="731"/>
      <c r="D46" s="732"/>
      <c r="E46" s="731"/>
      <c r="F46" s="731"/>
      <c r="G46" s="731"/>
      <c r="H46" s="731"/>
      <c r="I46" s="1678">
        <f t="shared" si="1"/>
        <v>0</v>
      </c>
      <c r="J46" s="731"/>
      <c r="K46" s="734"/>
    </row>
    <row r="47" spans="1:11" ht="12" customHeight="1" x14ac:dyDescent="0.2">
      <c r="A47" s="729"/>
      <c r="B47" s="730"/>
      <c r="C47" s="735"/>
      <c r="D47" s="732"/>
      <c r="E47" s="735"/>
      <c r="F47" s="735"/>
      <c r="G47" s="735"/>
      <c r="H47" s="735"/>
      <c r="I47" s="1678">
        <f t="shared" si="1"/>
        <v>0</v>
      </c>
      <c r="J47" s="735"/>
      <c r="K47" s="734"/>
    </row>
    <row r="48" spans="1:11" ht="12" customHeight="1" x14ac:dyDescent="0.2">
      <c r="A48" s="729"/>
      <c r="B48" s="730"/>
      <c r="C48" s="731"/>
      <c r="D48" s="732"/>
      <c r="E48" s="731"/>
      <c r="F48" s="731"/>
      <c r="G48" s="731"/>
      <c r="H48" s="731"/>
      <c r="I48" s="1678">
        <f t="shared" si="1"/>
        <v>0</v>
      </c>
      <c r="J48" s="731"/>
      <c r="K48" s="734"/>
    </row>
    <row r="49" spans="1:11" ht="12" customHeight="1" x14ac:dyDescent="0.2">
      <c r="A49" s="729"/>
      <c r="B49" s="730"/>
      <c r="C49" s="1678">
        <f>SUM(C31:C48)</f>
        <v>0</v>
      </c>
      <c r="D49" s="742"/>
      <c r="E49" s="1678">
        <f t="shared" ref="E49:J49" si="2">SUM(E31:E48)</f>
        <v>0</v>
      </c>
      <c r="F49" s="1678">
        <f t="shared" si="2"/>
        <v>0</v>
      </c>
      <c r="G49" s="1678">
        <f t="shared" si="2"/>
        <v>0</v>
      </c>
      <c r="H49" s="1678">
        <f t="shared" si="2"/>
        <v>0</v>
      </c>
      <c r="I49" s="1678">
        <f t="shared" si="2"/>
        <v>0</v>
      </c>
      <c r="J49" s="1678">
        <f t="shared" si="2"/>
        <v>0</v>
      </c>
      <c r="K49" s="734"/>
    </row>
    <row r="50" spans="1:11" ht="6" customHeight="1" x14ac:dyDescent="0.2">
      <c r="A50" s="743"/>
      <c r="B50" s="733"/>
      <c r="C50" s="733"/>
      <c r="D50" s="733"/>
      <c r="E50" s="733"/>
      <c r="F50" s="733"/>
      <c r="G50" s="733"/>
      <c r="H50" s="733"/>
      <c r="I50" s="733"/>
      <c r="J50" s="743"/>
    </row>
    <row r="51" spans="1:11" x14ac:dyDescent="0.2">
      <c r="A51" s="744" t="s">
        <v>1802</v>
      </c>
      <c r="B51" s="743"/>
      <c r="C51" s="734"/>
      <c r="D51" s="734"/>
      <c r="E51" s="734"/>
      <c r="F51" s="734"/>
      <c r="G51" s="734"/>
      <c r="H51" s="733"/>
      <c r="I51" s="733"/>
      <c r="J51" s="743"/>
    </row>
    <row r="52" spans="1:11" ht="11.25" customHeight="1" x14ac:dyDescent="0.2">
      <c r="A52" s="745" t="s">
        <v>912</v>
      </c>
      <c r="B52" s="2312" t="s">
        <v>584</v>
      </c>
      <c r="C52" s="2313"/>
      <c r="D52" s="2313"/>
      <c r="E52" s="746" t="s">
        <v>845</v>
      </c>
      <c r="F52" s="2314"/>
      <c r="G52" s="2315"/>
      <c r="H52" s="733"/>
      <c r="I52" s="733"/>
      <c r="J52" s="743"/>
    </row>
    <row r="53" spans="1:11" ht="11.25" customHeight="1" x14ac:dyDescent="0.2">
      <c r="A53" s="747" t="s">
        <v>913</v>
      </c>
      <c r="B53" s="748" t="s">
        <v>951</v>
      </c>
      <c r="C53" s="743"/>
      <c r="D53" s="734"/>
      <c r="E53" s="746" t="s">
        <v>497</v>
      </c>
      <c r="F53" s="2316"/>
      <c r="G53" s="2317"/>
      <c r="H53" s="733"/>
      <c r="I53" s="733"/>
      <c r="J53" s="743"/>
    </row>
    <row r="54" spans="1:11" ht="11.25" customHeight="1" x14ac:dyDescent="0.2">
      <c r="A54" s="749" t="s">
        <v>914</v>
      </c>
      <c r="B54" s="744" t="s">
        <v>952</v>
      </c>
      <c r="C54" s="743"/>
      <c r="D54" s="734"/>
      <c r="E54" s="746" t="s">
        <v>498</v>
      </c>
      <c r="F54" s="2316"/>
      <c r="G54" s="2317"/>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46" t="s">
        <v>856</v>
      </c>
      <c r="B1" s="2347"/>
      <c r="C1" s="2347"/>
      <c r="D1" s="2347"/>
      <c r="E1" s="2347"/>
      <c r="F1" s="2347"/>
      <c r="G1" s="2348"/>
      <c r="H1" s="1452"/>
      <c r="I1" s="757"/>
      <c r="J1" s="433"/>
    </row>
    <row r="2" spans="1:11" ht="26.25" x14ac:dyDescent="0.2">
      <c r="A2" s="2325" t="s">
        <v>1675</v>
      </c>
      <c r="B2" s="2326"/>
      <c r="C2" s="2326"/>
      <c r="D2" s="2326"/>
      <c r="E2" s="2327"/>
      <c r="F2" s="758" t="s">
        <v>904</v>
      </c>
      <c r="G2" s="759" t="s">
        <v>1672</v>
      </c>
      <c r="H2" s="759" t="s">
        <v>410</v>
      </c>
      <c r="I2" s="759" t="s">
        <v>1158</v>
      </c>
      <c r="J2" s="759" t="s">
        <v>1807</v>
      </c>
      <c r="K2" s="759" t="s">
        <v>138</v>
      </c>
    </row>
    <row r="3" spans="1:11" x14ac:dyDescent="0.2">
      <c r="A3" s="2328" t="s">
        <v>1958</v>
      </c>
      <c r="B3" s="2329"/>
      <c r="C3" s="2329"/>
      <c r="D3" s="2329"/>
      <c r="E3" s="2330"/>
      <c r="F3" s="760"/>
      <c r="G3" s="761"/>
      <c r="H3" s="761"/>
      <c r="I3" s="761"/>
      <c r="J3" s="762"/>
      <c r="K3" s="762"/>
    </row>
    <row r="4" spans="1:11" x14ac:dyDescent="0.2">
      <c r="A4" s="2331" t="s">
        <v>369</v>
      </c>
      <c r="B4" s="2332"/>
      <c r="C4" s="2332"/>
      <c r="D4" s="2332"/>
      <c r="E4" s="2313"/>
      <c r="F4" s="763"/>
      <c r="G4" s="764"/>
      <c r="H4" s="765"/>
      <c r="I4" s="764"/>
      <c r="J4" s="766"/>
      <c r="K4" s="766"/>
    </row>
    <row r="5" spans="1:11" x14ac:dyDescent="0.2">
      <c r="A5" s="2349" t="s">
        <v>1069</v>
      </c>
      <c r="B5" s="2322"/>
      <c r="C5" s="2322"/>
      <c r="D5" s="2322"/>
      <c r="E5" s="2350"/>
      <c r="F5" s="767" t="s">
        <v>848</v>
      </c>
      <c r="G5" s="768"/>
      <c r="H5" s="761"/>
      <c r="I5" s="769"/>
      <c r="J5" s="770"/>
      <c r="K5" s="770"/>
    </row>
    <row r="6" spans="1:11" x14ac:dyDescent="0.2">
      <c r="A6" s="771" t="s">
        <v>720</v>
      </c>
      <c r="B6" s="772"/>
      <c r="C6" s="772"/>
      <c r="D6" s="772"/>
      <c r="E6" s="773"/>
      <c r="F6" s="774" t="s">
        <v>849</v>
      </c>
      <c r="G6" s="761"/>
      <c r="H6" s="761"/>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349" t="s">
        <v>1808</v>
      </c>
      <c r="B10" s="2322"/>
      <c r="C10" s="2322"/>
      <c r="D10" s="2322"/>
      <c r="E10" s="2351"/>
      <c r="F10" s="780" t="s">
        <v>862</v>
      </c>
      <c r="G10" s="779"/>
      <c r="H10" s="781"/>
      <c r="I10" s="761"/>
      <c r="J10" s="762"/>
      <c r="K10" s="762"/>
    </row>
    <row r="11" spans="1:11" x14ac:dyDescent="0.2">
      <c r="A11" s="2349" t="s">
        <v>160</v>
      </c>
      <c r="B11" s="2322"/>
      <c r="C11" s="2322"/>
      <c r="D11" s="2322"/>
      <c r="E11" s="2350"/>
      <c r="F11" s="767" t="s">
        <v>852</v>
      </c>
      <c r="G11" s="768"/>
      <c r="H11" s="761"/>
      <c r="I11" s="761"/>
      <c r="J11" s="762"/>
      <c r="K11" s="770"/>
    </row>
    <row r="12" spans="1:11" ht="13.5" thickBot="1" x14ac:dyDescent="0.25">
      <c r="A12" s="2339" t="s">
        <v>905</v>
      </c>
      <c r="B12" s="2340"/>
      <c r="C12" s="2340"/>
      <c r="D12" s="2340"/>
      <c r="E12" s="2341"/>
      <c r="F12" s="1679"/>
      <c r="G12" s="1680">
        <f>SUM(G5:G11)</f>
        <v>0</v>
      </c>
      <c r="H12" s="1680">
        <f>SUM(H5:H11)</f>
        <v>0</v>
      </c>
      <c r="I12" s="1680">
        <f>SUM(I5:I11)</f>
        <v>0</v>
      </c>
      <c r="J12" s="1680">
        <f>SUM(J5:J11)</f>
        <v>0</v>
      </c>
      <c r="K12" s="1680">
        <f>SUM(K5:K11)</f>
        <v>0</v>
      </c>
    </row>
    <row r="13" spans="1:11" ht="13.5" thickTop="1" x14ac:dyDescent="0.2">
      <c r="A13" s="2333" t="s">
        <v>370</v>
      </c>
      <c r="B13" s="2334"/>
      <c r="C13" s="2334"/>
      <c r="D13" s="2334"/>
      <c r="E13" s="2335"/>
      <c r="F13" s="782"/>
      <c r="G13" s="783"/>
      <c r="H13" s="784"/>
      <c r="I13" s="785"/>
      <c r="J13" s="785"/>
      <c r="K13" s="785"/>
    </row>
    <row r="14" spans="1:11" x14ac:dyDescent="0.2">
      <c r="A14" s="2355" t="s">
        <v>456</v>
      </c>
      <c r="B14" s="2355"/>
      <c r="C14" s="2355"/>
      <c r="D14" s="2355"/>
      <c r="E14" s="2356"/>
      <c r="F14" s="786" t="s">
        <v>854</v>
      </c>
      <c r="G14" s="779"/>
      <c r="H14" s="761"/>
      <c r="I14" s="768"/>
      <c r="J14" s="770"/>
      <c r="K14" s="762"/>
    </row>
    <row r="15" spans="1:11" x14ac:dyDescent="0.2">
      <c r="A15" s="2322" t="s">
        <v>4</v>
      </c>
      <c r="B15" s="2322"/>
      <c r="C15" s="2322"/>
      <c r="D15" s="2322"/>
      <c r="E15" s="2350"/>
      <c r="F15" s="786" t="s">
        <v>855</v>
      </c>
      <c r="G15" s="768"/>
      <c r="H15" s="761"/>
      <c r="I15" s="761"/>
      <c r="J15" s="762"/>
      <c r="K15" s="762"/>
    </row>
    <row r="16" spans="1:11" x14ac:dyDescent="0.2">
      <c r="A16" s="2322" t="s">
        <v>298</v>
      </c>
      <c r="B16" s="2322"/>
      <c r="C16" s="2322"/>
      <c r="D16" s="2322"/>
      <c r="E16" s="2350"/>
      <c r="F16" s="786" t="s">
        <v>923</v>
      </c>
      <c r="G16" s="769"/>
      <c r="H16" s="764"/>
      <c r="I16" s="764"/>
      <c r="J16" s="766"/>
      <c r="K16" s="766"/>
    </row>
    <row r="17" spans="1:11" x14ac:dyDescent="0.2">
      <c r="A17" s="2344" t="s">
        <v>935</v>
      </c>
      <c r="B17" s="2344"/>
      <c r="C17" s="2344"/>
      <c r="D17" s="2344"/>
      <c r="E17" s="2345"/>
      <c r="F17" s="787"/>
      <c r="G17" s="788"/>
      <c r="H17" s="789"/>
      <c r="I17" s="789"/>
      <c r="J17" s="790"/>
      <c r="K17" s="791"/>
    </row>
    <row r="18" spans="1:11" x14ac:dyDescent="0.2">
      <c r="A18" s="2336" t="s">
        <v>368</v>
      </c>
      <c r="B18" s="2337"/>
      <c r="C18" s="2337"/>
      <c r="D18" s="2337"/>
      <c r="E18" s="2338"/>
      <c r="F18" s="786" t="s">
        <v>932</v>
      </c>
      <c r="G18" s="779"/>
      <c r="H18" s="779"/>
      <c r="I18" s="779"/>
      <c r="J18" s="762"/>
      <c r="K18" s="792"/>
    </row>
    <row r="19" spans="1:11" ht="21.75" customHeight="1" x14ac:dyDescent="0.2">
      <c r="A19" s="2357" t="s">
        <v>1804</v>
      </c>
      <c r="B19" s="2357"/>
      <c r="C19" s="2357"/>
      <c r="D19" s="2357"/>
      <c r="E19" s="2358"/>
      <c r="F19" s="786" t="s">
        <v>933</v>
      </c>
      <c r="G19" s="779"/>
      <c r="H19" s="779"/>
      <c r="I19" s="779"/>
      <c r="J19" s="762"/>
      <c r="K19" s="792"/>
    </row>
    <row r="20" spans="1:11" x14ac:dyDescent="0.2">
      <c r="A20" s="2336" t="s">
        <v>1809</v>
      </c>
      <c r="B20" s="2337"/>
      <c r="C20" s="2337"/>
      <c r="D20" s="2337"/>
      <c r="E20" s="2338"/>
      <c r="F20" s="786" t="s">
        <v>934</v>
      </c>
      <c r="G20" s="779"/>
      <c r="H20" s="779"/>
      <c r="I20" s="779"/>
      <c r="J20" s="762"/>
      <c r="K20" s="792"/>
    </row>
    <row r="21" spans="1:11" ht="13.5" thickBot="1" x14ac:dyDescent="0.25">
      <c r="A21" s="2342" t="s">
        <v>638</v>
      </c>
      <c r="B21" s="2342"/>
      <c r="C21" s="2342"/>
      <c r="D21" s="2342"/>
      <c r="E21" s="2342"/>
      <c r="F21" s="1681"/>
      <c r="G21" s="789"/>
      <c r="H21" s="793"/>
      <c r="I21" s="793"/>
      <c r="J21" s="1682">
        <f>SUM(J18:J20)</f>
        <v>0</v>
      </c>
      <c r="K21" s="790"/>
    </row>
    <row r="22" spans="1:11" ht="13.5" thickTop="1" x14ac:dyDescent="0.2">
      <c r="A22" s="2322" t="s">
        <v>1810</v>
      </c>
      <c r="B22" s="2322"/>
      <c r="C22" s="2322"/>
      <c r="D22" s="2322"/>
      <c r="E22" s="2350"/>
      <c r="F22" s="786" t="s">
        <v>862</v>
      </c>
      <c r="G22" s="779"/>
      <c r="H22" s="761"/>
      <c r="I22" s="761"/>
      <c r="J22" s="794"/>
      <c r="K22" s="762"/>
    </row>
    <row r="23" spans="1:11" ht="13.5" thickBot="1" x14ac:dyDescent="0.25">
      <c r="A23" s="2343" t="s">
        <v>906</v>
      </c>
      <c r="B23" s="2342"/>
      <c r="C23" s="2342"/>
      <c r="D23" s="2342"/>
      <c r="E23" s="2342"/>
      <c r="F23" s="1683"/>
      <c r="G23" s="1680">
        <f>SUM(G14:G16,G21,G22)</f>
        <v>0</v>
      </c>
      <c r="H23" s="1680">
        <f>SUM(H14:H16,H21,H22)</f>
        <v>0</v>
      </c>
      <c r="I23" s="1680">
        <f>SUM(I14:I16,I21,I22)</f>
        <v>0</v>
      </c>
      <c r="J23" s="1680">
        <f>SUM(J14:J16,J21,J22)</f>
        <v>0</v>
      </c>
      <c r="K23" s="1680">
        <f>SUM(K14:K16,K21,K22)</f>
        <v>0</v>
      </c>
    </row>
    <row r="24" spans="1:11" ht="14.25" thickTop="1" thickBot="1" x14ac:dyDescent="0.25">
      <c r="A24" s="2343" t="s">
        <v>1959</v>
      </c>
      <c r="B24" s="2342"/>
      <c r="C24" s="2342"/>
      <c r="D24" s="2342"/>
      <c r="E24" s="2342"/>
      <c r="F24" s="1684"/>
      <c r="G24" s="1685">
        <f>SUM(G3,G12)-G23</f>
        <v>0</v>
      </c>
      <c r="H24" s="1685">
        <f>SUM(H3,H12)-H23</f>
        <v>0</v>
      </c>
      <c r="I24" s="1685">
        <f>SUM(I3,I12)-I23</f>
        <v>0</v>
      </c>
      <c r="J24" s="1685">
        <f>SUM(J3,J12)-J23</f>
        <v>0</v>
      </c>
      <c r="K24" s="1685">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680">
        <f>G24-G25</f>
        <v>0</v>
      </c>
      <c r="H26" s="1680">
        <f>H24-H25</f>
        <v>0</v>
      </c>
      <c r="I26" s="1680">
        <f>I24-I25</f>
        <v>0</v>
      </c>
      <c r="J26" s="1680">
        <f>J24-J25</f>
        <v>0</v>
      </c>
      <c r="K26" s="1680">
        <f>K24-K25</f>
        <v>0</v>
      </c>
    </row>
    <row r="27" spans="1:11" ht="5.25" customHeight="1" thickTop="1" x14ac:dyDescent="0.2">
      <c r="I27" s="202"/>
      <c r="J27" s="202"/>
    </row>
    <row r="28" spans="1:11" ht="29.25" customHeight="1" x14ac:dyDescent="0.2">
      <c r="A28" s="1800" t="s">
        <v>1904</v>
      </c>
      <c r="B28" s="1801"/>
      <c r="C28" s="1801"/>
      <c r="D28" s="1801"/>
      <c r="E28" s="1802"/>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352"/>
      <c r="I31" s="2353"/>
      <c r="J31" s="2353"/>
      <c r="K31" s="2353"/>
    </row>
    <row r="32" spans="1:11" x14ac:dyDescent="0.2">
      <c r="A32" s="806"/>
      <c r="B32" s="237"/>
      <c r="C32" s="237"/>
      <c r="D32" s="237"/>
      <c r="E32" s="802"/>
      <c r="F32" s="808" t="s">
        <v>540</v>
      </c>
      <c r="G32" s="761"/>
      <c r="H32" s="2354"/>
      <c r="I32" s="2353"/>
      <c r="J32" s="2353"/>
      <c r="K32" s="2353"/>
    </row>
    <row r="33" spans="1:11" ht="1.5" customHeight="1" x14ac:dyDescent="0.2">
      <c r="A33" s="809" t="s">
        <v>1169</v>
      </c>
      <c r="B33" s="364"/>
      <c r="C33" s="364"/>
      <c r="D33" s="364"/>
      <c r="E33" s="364"/>
      <c r="F33" s="364"/>
      <c r="G33" s="810"/>
      <c r="H33" s="2354"/>
      <c r="I33" s="2353"/>
      <c r="J33" s="2353"/>
      <c r="K33" s="2353"/>
    </row>
    <row r="34" spans="1:11" x14ac:dyDescent="0.2">
      <c r="A34" s="811" t="s">
        <v>1811</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322" t="s">
        <v>541</v>
      </c>
      <c r="B41" s="2323"/>
      <c r="C41" s="2323"/>
      <c r="D41" s="2323"/>
      <c r="E41" s="2323"/>
      <c r="F41" s="2324"/>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453" t="s">
        <v>1805</v>
      </c>
      <c r="B46" s="408" t="s">
        <v>1673</v>
      </c>
    </row>
    <row r="47" spans="1:11" s="820" customFormat="1" ht="12.75" customHeight="1" x14ac:dyDescent="0.2">
      <c r="A47" s="818"/>
      <c r="B47" s="819" t="s">
        <v>1674</v>
      </c>
      <c r="E47" s="819"/>
      <c r="K47" s="821"/>
    </row>
    <row r="48" spans="1:11" ht="12.75" customHeight="1" x14ac:dyDescent="0.2">
      <c r="A48" s="1454" t="s">
        <v>1806</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61" t="s">
        <v>1903</v>
      </c>
      <c r="B1" s="2362"/>
      <c r="C1" s="2363"/>
      <c r="D1" s="823"/>
      <c r="E1" s="824"/>
      <c r="F1" s="824"/>
      <c r="G1" s="825"/>
      <c r="H1" s="826"/>
      <c r="I1" s="827"/>
      <c r="J1" s="2359"/>
      <c r="K1" s="2360"/>
      <c r="L1" s="2360"/>
    </row>
    <row r="2" spans="1:14" ht="69.75" customHeight="1" x14ac:dyDescent="0.2">
      <c r="A2" s="828" t="s">
        <v>1676</v>
      </c>
      <c r="B2" s="829" t="s">
        <v>378</v>
      </c>
      <c r="C2" s="830" t="s">
        <v>1960</v>
      </c>
      <c r="D2" s="830" t="s">
        <v>1961</v>
      </c>
      <c r="E2" s="830" t="s">
        <v>1962</v>
      </c>
      <c r="F2" s="830" t="s">
        <v>1963</v>
      </c>
      <c r="G2" s="830" t="s">
        <v>605</v>
      </c>
      <c r="H2" s="830" t="s">
        <v>1964</v>
      </c>
      <c r="I2" s="830" t="s">
        <v>1965</v>
      </c>
      <c r="J2" s="830" t="s">
        <v>1966</v>
      </c>
      <c r="K2" s="830" t="s">
        <v>1967</v>
      </c>
      <c r="L2" s="830" t="s">
        <v>1968</v>
      </c>
      <c r="M2" s="831"/>
      <c r="N2" s="831"/>
    </row>
    <row r="3" spans="1:14" ht="13.5" thickBot="1" x14ac:dyDescent="0.25">
      <c r="A3" s="1551" t="s">
        <v>892</v>
      </c>
      <c r="B3" s="1552">
        <v>210</v>
      </c>
      <c r="C3" s="832">
        <v>0</v>
      </c>
      <c r="D3" s="832"/>
      <c r="E3" s="832"/>
      <c r="F3" s="1682">
        <f>(C3+D3)-E3</f>
        <v>0</v>
      </c>
      <c r="G3" s="833"/>
      <c r="H3" s="832">
        <v>0</v>
      </c>
      <c r="I3" s="832"/>
      <c r="J3" s="832"/>
      <c r="K3" s="1691">
        <f>(H3+I3)-J3</f>
        <v>0</v>
      </c>
      <c r="L3" s="1691">
        <f>F3-K3</f>
        <v>0</v>
      </c>
      <c r="M3" s="831"/>
      <c r="N3" s="831"/>
    </row>
    <row r="4" spans="1:14" ht="15" customHeight="1" thickTop="1" x14ac:dyDescent="0.2">
      <c r="A4" s="1553" t="s">
        <v>158</v>
      </c>
      <c r="B4" s="1552">
        <v>220</v>
      </c>
      <c r="C4" s="778"/>
      <c r="D4" s="778"/>
      <c r="E4" s="778"/>
      <c r="F4" s="770"/>
      <c r="G4" s="834"/>
      <c r="H4" s="835"/>
      <c r="I4" s="835"/>
      <c r="J4" s="835"/>
      <c r="K4" s="836"/>
      <c r="L4" s="770"/>
    </row>
    <row r="5" spans="1:14" ht="13.5" thickBot="1" x14ac:dyDescent="0.25">
      <c r="A5" s="775" t="s">
        <v>893</v>
      </c>
      <c r="B5" s="837">
        <v>221</v>
      </c>
      <c r="C5" s="838">
        <v>0</v>
      </c>
      <c r="D5" s="838"/>
      <c r="E5" s="838"/>
      <c r="F5" s="1682">
        <f>(C5+D5)-E5</f>
        <v>0</v>
      </c>
      <c r="G5" s="834"/>
      <c r="H5" s="839"/>
      <c r="I5" s="839"/>
      <c r="J5" s="839"/>
      <c r="K5" s="790"/>
      <c r="L5" s="1691">
        <f>F5-K5</f>
        <v>0</v>
      </c>
    </row>
    <row r="6" spans="1:14" ht="14.25" thickTop="1" thickBot="1" x14ac:dyDescent="0.25">
      <c r="A6" s="775" t="s">
        <v>1117</v>
      </c>
      <c r="B6" s="837">
        <v>222</v>
      </c>
      <c r="C6" s="762">
        <v>0</v>
      </c>
      <c r="D6" s="762"/>
      <c r="E6" s="762"/>
      <c r="F6" s="1682">
        <f>(C6+D6)-E6</f>
        <v>0</v>
      </c>
      <c r="G6" s="834">
        <v>50</v>
      </c>
      <c r="H6" s="762">
        <v>0</v>
      </c>
      <c r="I6" s="762"/>
      <c r="J6" s="762"/>
      <c r="K6" s="1691">
        <f>(H6+I6)-J6</f>
        <v>0</v>
      </c>
      <c r="L6" s="1691">
        <f>F6-K6</f>
        <v>0</v>
      </c>
    </row>
    <row r="7" spans="1:14" ht="15" customHeight="1" thickTop="1" x14ac:dyDescent="0.2">
      <c r="A7" s="1553" t="s">
        <v>159</v>
      </c>
      <c r="B7" s="1552">
        <v>230</v>
      </c>
      <c r="C7" s="778"/>
      <c r="D7" s="778"/>
      <c r="E7" s="778"/>
      <c r="F7" s="770"/>
      <c r="G7" s="840"/>
      <c r="H7" s="778"/>
      <c r="I7" s="778"/>
      <c r="J7" s="778"/>
      <c r="K7" s="770"/>
      <c r="L7" s="770"/>
    </row>
    <row r="8" spans="1:14" ht="13.5" thickBot="1" x14ac:dyDescent="0.25">
      <c r="A8" s="775" t="s">
        <v>1118</v>
      </c>
      <c r="B8" s="837">
        <v>231</v>
      </c>
      <c r="C8" s="841">
        <v>371446</v>
      </c>
      <c r="D8" s="841">
        <v>5390</v>
      </c>
      <c r="E8" s="841"/>
      <c r="F8" s="1682">
        <f>(C8+D8)-E8</f>
        <v>376836</v>
      </c>
      <c r="G8" s="840">
        <v>50</v>
      </c>
      <c r="H8" s="762">
        <v>117743</v>
      </c>
      <c r="I8" s="762">
        <v>7537</v>
      </c>
      <c r="J8" s="762"/>
      <c r="K8" s="1691">
        <f>(H8+I8)-J8</f>
        <v>125280</v>
      </c>
      <c r="L8" s="1691">
        <f>F8-K8</f>
        <v>251556</v>
      </c>
    </row>
    <row r="9" spans="1:14" ht="14.25" thickTop="1" thickBot="1" x14ac:dyDescent="0.25">
      <c r="A9" s="775" t="s">
        <v>1119</v>
      </c>
      <c r="B9" s="837">
        <v>232</v>
      </c>
      <c r="C9" s="762">
        <v>0</v>
      </c>
      <c r="D9" s="762"/>
      <c r="E9" s="762"/>
      <c r="F9" s="1682">
        <f>(C9+D9)-E9</f>
        <v>0</v>
      </c>
      <c r="G9" s="840">
        <v>20</v>
      </c>
      <c r="H9" s="762">
        <v>0</v>
      </c>
      <c r="I9" s="762"/>
      <c r="J9" s="762"/>
      <c r="K9" s="1691">
        <f>(H9+I9)-J9</f>
        <v>0</v>
      </c>
      <c r="L9" s="1691">
        <f>F9-K9</f>
        <v>0</v>
      </c>
    </row>
    <row r="10" spans="1:14" ht="24" thickTop="1" thickBot="1" x14ac:dyDescent="0.25">
      <c r="A10" s="842" t="s">
        <v>1120</v>
      </c>
      <c r="B10" s="837">
        <v>240</v>
      </c>
      <c r="C10" s="843">
        <v>0</v>
      </c>
      <c r="D10" s="843">
        <v>47853</v>
      </c>
      <c r="E10" s="843"/>
      <c r="F10" s="1686">
        <f>(C10+D10)-E10</f>
        <v>47853</v>
      </c>
      <c r="G10" s="840">
        <v>20</v>
      </c>
      <c r="H10" s="844">
        <v>0</v>
      </c>
      <c r="I10" s="844">
        <v>2393</v>
      </c>
      <c r="J10" s="844"/>
      <c r="K10" s="1691">
        <f>(H10+I10)-J10</f>
        <v>2393</v>
      </c>
      <c r="L10" s="1691">
        <f>F10-K10</f>
        <v>45460</v>
      </c>
    </row>
    <row r="11" spans="1:14" ht="13.5" thickTop="1" x14ac:dyDescent="0.2">
      <c r="A11" s="1554" t="s">
        <v>1136</v>
      </c>
      <c r="B11" s="1552">
        <v>250</v>
      </c>
      <c r="C11" s="778"/>
      <c r="D11" s="778"/>
      <c r="E11" s="778"/>
      <c r="F11" s="770"/>
      <c r="G11" s="840"/>
      <c r="H11" s="778"/>
      <c r="I11" s="778"/>
      <c r="J11" s="778"/>
      <c r="K11" s="770"/>
      <c r="L11" s="770"/>
    </row>
    <row r="12" spans="1:14" ht="13.5" thickBot="1" x14ac:dyDescent="0.25">
      <c r="A12" s="845" t="s">
        <v>1121</v>
      </c>
      <c r="B12" s="837">
        <v>251</v>
      </c>
      <c r="C12" s="841">
        <v>186390</v>
      </c>
      <c r="D12" s="841">
        <v>14614</v>
      </c>
      <c r="E12" s="841">
        <v>12273</v>
      </c>
      <c r="F12" s="1682">
        <f>(C12+D12)-E12</f>
        <v>188731</v>
      </c>
      <c r="G12" s="840">
        <v>10</v>
      </c>
      <c r="H12" s="762">
        <v>97958</v>
      </c>
      <c r="I12" s="762">
        <v>18877</v>
      </c>
      <c r="J12" s="762">
        <v>12273</v>
      </c>
      <c r="K12" s="1691">
        <f>(H12+I12)-J12</f>
        <v>104562</v>
      </c>
      <c r="L12" s="1691">
        <f>F12-K12</f>
        <v>84169</v>
      </c>
    </row>
    <row r="13" spans="1:14" ht="14.25" thickTop="1" thickBot="1" x14ac:dyDescent="0.25">
      <c r="A13" s="845" t="s">
        <v>1122</v>
      </c>
      <c r="B13" s="837">
        <v>252</v>
      </c>
      <c r="C13" s="841">
        <v>0</v>
      </c>
      <c r="D13" s="841"/>
      <c r="E13" s="841"/>
      <c r="F13" s="1682">
        <f>(C13+D13)-E13</f>
        <v>0</v>
      </c>
      <c r="G13" s="840">
        <v>5</v>
      </c>
      <c r="H13" s="762">
        <v>0</v>
      </c>
      <c r="I13" s="762"/>
      <c r="J13" s="762"/>
      <c r="K13" s="1691">
        <f>(H13+I13)-J13</f>
        <v>0</v>
      </c>
      <c r="L13" s="1691">
        <f>F13-K13</f>
        <v>0</v>
      </c>
    </row>
    <row r="14" spans="1:14" ht="14.25" thickTop="1" thickBot="1" x14ac:dyDescent="0.25">
      <c r="A14" s="845" t="s">
        <v>1123</v>
      </c>
      <c r="B14" s="837">
        <v>253</v>
      </c>
      <c r="C14" s="762">
        <v>0</v>
      </c>
      <c r="D14" s="762"/>
      <c r="E14" s="762"/>
      <c r="F14" s="1682">
        <f>(C14+D14)-E14</f>
        <v>0</v>
      </c>
      <c r="G14" s="840">
        <v>3</v>
      </c>
      <c r="H14" s="762">
        <v>0</v>
      </c>
      <c r="I14" s="762"/>
      <c r="J14" s="762"/>
      <c r="K14" s="1691">
        <f>(H14+I14)-J14</f>
        <v>0</v>
      </c>
      <c r="L14" s="1691">
        <f>F14-K14</f>
        <v>0</v>
      </c>
    </row>
    <row r="15" spans="1:14" ht="15" customHeight="1" thickTop="1" thickBot="1" x14ac:dyDescent="0.25">
      <c r="A15" s="1553" t="s">
        <v>528</v>
      </c>
      <c r="B15" s="1552">
        <v>260</v>
      </c>
      <c r="C15" s="841">
        <v>0</v>
      </c>
      <c r="D15" s="841"/>
      <c r="E15" s="841"/>
      <c r="F15" s="1682">
        <f>(C15+D15)-E15</f>
        <v>0</v>
      </c>
      <c r="G15" s="846" t="s">
        <v>862</v>
      </c>
      <c r="H15" s="778"/>
      <c r="I15" s="778"/>
      <c r="J15" s="778"/>
      <c r="K15" s="778"/>
      <c r="L15" s="1691">
        <f>F15-K15</f>
        <v>0</v>
      </c>
    </row>
    <row r="16" spans="1:14" ht="15" customHeight="1" thickTop="1" thickBot="1" x14ac:dyDescent="0.25">
      <c r="A16" s="1687" t="s">
        <v>643</v>
      </c>
      <c r="B16" s="1688">
        <v>200</v>
      </c>
      <c r="C16" s="1682">
        <f>SUM(C3,C5:C6,C8:C10,C12:C15)</f>
        <v>557836</v>
      </c>
      <c r="D16" s="1682">
        <f>SUM(D3,D5:D6,D8:D10,D12:D15)</f>
        <v>67857</v>
      </c>
      <c r="E16" s="1682">
        <f>SUM(E3,E5:E6,E8:E10,E12:E15)</f>
        <v>12273</v>
      </c>
      <c r="F16" s="1682">
        <f>SUM(F3,F5:F6,F8:F10,F12:F15)</f>
        <v>613420</v>
      </c>
      <c r="G16" s="840"/>
      <c r="H16" s="1682">
        <f>SUM(H3,H6,H8:H10,H12:H14,)</f>
        <v>215701</v>
      </c>
      <c r="I16" s="1682">
        <f>SUM(I3,I6,I8:I10,I12:I14,)</f>
        <v>28807</v>
      </c>
      <c r="J16" s="1682">
        <f>SUM(J3,J6,J8:J10,J12:J14,)</f>
        <v>12273</v>
      </c>
      <c r="K16" s="1682">
        <f>(H16+I16)-J16</f>
        <v>232235</v>
      </c>
      <c r="L16" s="1682">
        <f>F16-K16</f>
        <v>381185</v>
      </c>
    </row>
    <row r="17" spans="1:12" ht="15" customHeight="1" thickTop="1" thickBot="1" x14ac:dyDescent="0.25">
      <c r="A17" s="1555" t="s">
        <v>291</v>
      </c>
      <c r="B17" s="1552">
        <v>700</v>
      </c>
      <c r="C17" s="766"/>
      <c r="D17" s="766"/>
      <c r="E17" s="766"/>
      <c r="F17" s="1682">
        <f>SUM('Expenditures 15-22'!I114,'Expenditures 15-22'!I151,'Expenditures 15-22'!I210,'Expenditures 15-22'!I312,'Expenditures 15-22'!I342,'Expenditures 15-22'!I367)</f>
        <v>0</v>
      </c>
      <c r="G17" s="834">
        <v>10</v>
      </c>
      <c r="H17" s="766"/>
      <c r="I17" s="1691">
        <f>F17/G17</f>
        <v>0</v>
      </c>
      <c r="J17" s="766"/>
      <c r="K17" s="792"/>
      <c r="L17" s="792"/>
    </row>
    <row r="18" spans="1:12" ht="14.25" thickTop="1" thickBot="1" x14ac:dyDescent="0.25">
      <c r="A18" s="1689" t="s">
        <v>685</v>
      </c>
      <c r="B18" s="1690"/>
      <c r="C18" s="768"/>
      <c r="D18" s="768"/>
      <c r="E18" s="768"/>
      <c r="F18" s="847"/>
      <c r="G18" s="848"/>
      <c r="H18" s="770"/>
      <c r="I18" s="1682">
        <f>SUM(I16,I17)</f>
        <v>28807</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17" sqref="A17:J17"/>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67" t="s">
        <v>1969</v>
      </c>
      <c r="B1" s="2368"/>
      <c r="C1" s="2368"/>
      <c r="D1" s="2368"/>
      <c r="E1" s="2368"/>
      <c r="F1" s="2369"/>
      <c r="G1" s="852"/>
    </row>
    <row r="2" spans="1:7" ht="15" customHeight="1" thickBot="1" x14ac:dyDescent="0.25">
      <c r="A2" s="2370" t="s">
        <v>477</v>
      </c>
      <c r="B2" s="2371"/>
      <c r="C2" s="2371"/>
      <c r="D2" s="2371"/>
      <c r="E2" s="2371"/>
      <c r="F2" s="2372"/>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73"/>
      <c r="B5" s="2374"/>
      <c r="C5" s="2374"/>
      <c r="D5" s="2374"/>
      <c r="E5" s="2374"/>
      <c r="F5" s="2374"/>
    </row>
    <row r="6" spans="1:7" ht="13.5" customHeight="1" thickBot="1" x14ac:dyDescent="0.25">
      <c r="A6" s="2364" t="s">
        <v>1104</v>
      </c>
      <c r="B6" s="2365"/>
      <c r="C6" s="2365"/>
      <c r="D6" s="2365"/>
      <c r="E6" s="2365"/>
      <c r="F6" s="2366"/>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823">
        <f>'Expenditures 15-22'!K114</f>
        <v>7735500</v>
      </c>
      <c r="G8" s="862"/>
    </row>
    <row r="9" spans="1:7" x14ac:dyDescent="0.2">
      <c r="A9" s="866" t="s">
        <v>460</v>
      </c>
      <c r="B9" s="867" t="s">
        <v>1871</v>
      </c>
      <c r="C9" s="868"/>
      <c r="D9" s="866" t="s">
        <v>501</v>
      </c>
      <c r="E9" s="865"/>
      <c r="F9" s="1824">
        <f>'Expenditures 15-22'!K151</f>
        <v>0</v>
      </c>
      <c r="G9" s="869"/>
    </row>
    <row r="10" spans="1:7" x14ac:dyDescent="0.2">
      <c r="A10" s="866" t="s">
        <v>499</v>
      </c>
      <c r="B10" s="867" t="s">
        <v>1872</v>
      </c>
      <c r="C10" s="868"/>
      <c r="D10" s="866" t="s">
        <v>501</v>
      </c>
      <c r="E10" s="865"/>
      <c r="F10" s="1824">
        <f>'Expenditures 15-22'!K174</f>
        <v>0</v>
      </c>
      <c r="G10" s="869"/>
    </row>
    <row r="11" spans="1:7" x14ac:dyDescent="0.2">
      <c r="A11" s="866" t="s">
        <v>461</v>
      </c>
      <c r="B11" s="867" t="s">
        <v>1873</v>
      </c>
      <c r="C11" s="868"/>
      <c r="D11" s="866" t="s">
        <v>501</v>
      </c>
      <c r="E11" s="865"/>
      <c r="F11" s="1824">
        <f>'Expenditures 15-22'!K210</f>
        <v>0</v>
      </c>
      <c r="G11" s="869"/>
    </row>
    <row r="12" spans="1:7" x14ac:dyDescent="0.2">
      <c r="A12" s="866" t="s">
        <v>462</v>
      </c>
      <c r="B12" s="867" t="s">
        <v>1874</v>
      </c>
      <c r="C12" s="868"/>
      <c r="D12" s="866" t="s">
        <v>501</v>
      </c>
      <c r="E12" s="865"/>
      <c r="F12" s="1824">
        <f>'Expenditures 15-22'!K295</f>
        <v>0</v>
      </c>
      <c r="G12" s="869"/>
    </row>
    <row r="13" spans="1:7" x14ac:dyDescent="0.2">
      <c r="A13" s="866" t="s">
        <v>106</v>
      </c>
      <c r="B13" s="867" t="s">
        <v>1875</v>
      </c>
      <c r="C13" s="868"/>
      <c r="D13" s="866" t="s">
        <v>501</v>
      </c>
      <c r="E13" s="865"/>
      <c r="F13" s="1824">
        <f>'Expenditures 15-22'!K342</f>
        <v>0</v>
      </c>
      <c r="G13" s="870"/>
    </row>
    <row r="14" spans="1:7" ht="12" customHeight="1" thickBot="1" x14ac:dyDescent="0.25">
      <c r="A14" s="1692"/>
      <c r="B14" s="1693"/>
      <c r="C14" s="1694"/>
      <c r="D14" s="1695" t="s">
        <v>501</v>
      </c>
      <c r="E14" s="1696" t="s">
        <v>958</v>
      </c>
      <c r="F14" s="1697">
        <f>SUM(F8:F13)</f>
        <v>7735500</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825">
        <f>'Revenues 9-14'!F43</f>
        <v>0</v>
      </c>
      <c r="G18" s="862"/>
    </row>
    <row r="19" spans="1:7" x14ac:dyDescent="0.2">
      <c r="A19" s="866" t="s">
        <v>461</v>
      </c>
      <c r="B19" s="867" t="s">
        <v>1011</v>
      </c>
      <c r="C19" s="874">
        <f>'Revenues 9-14'!B47</f>
        <v>1421</v>
      </c>
      <c r="D19" s="875" t="str">
        <f>'Revenues 9-14'!A47</f>
        <v>Summer Sch - Transp. Fees from Pupils or Parents (In State)</v>
      </c>
      <c r="E19" s="876"/>
      <c r="F19" s="1826">
        <f>'Revenues 9-14'!F47</f>
        <v>0</v>
      </c>
      <c r="G19" s="862"/>
    </row>
    <row r="20" spans="1:7" x14ac:dyDescent="0.2">
      <c r="A20" s="866" t="s">
        <v>461</v>
      </c>
      <c r="B20" s="867" t="s">
        <v>1012</v>
      </c>
      <c r="C20" s="872">
        <f>'Revenues 9-14'!B48</f>
        <v>1422</v>
      </c>
      <c r="D20" s="873" t="str">
        <f>'Revenues 9-14'!A48</f>
        <v>Summer Sch - Transp. Fees from Other Districts (In State)</v>
      </c>
      <c r="E20" s="865"/>
      <c r="F20" s="1827">
        <f>'Revenues 9-14'!F48</f>
        <v>0</v>
      </c>
      <c r="G20" s="862"/>
    </row>
    <row r="21" spans="1:7" x14ac:dyDescent="0.2">
      <c r="A21" s="866" t="s">
        <v>461</v>
      </c>
      <c r="B21" s="867" t="s">
        <v>1013</v>
      </c>
      <c r="C21" s="874">
        <f>'Revenues 9-14'!B49</f>
        <v>1423</v>
      </c>
      <c r="D21" s="873" t="str">
        <f>'Revenues 9-14'!A49</f>
        <v>Summer Sch - Transp. Fees from Other Sources (In State)</v>
      </c>
      <c r="E21" s="865"/>
      <c r="F21" s="1828">
        <f>'Revenues 9-14'!F49</f>
        <v>0</v>
      </c>
      <c r="G21" s="862"/>
    </row>
    <row r="22" spans="1:7" x14ac:dyDescent="0.2">
      <c r="A22" s="866" t="s">
        <v>461</v>
      </c>
      <c r="B22" s="867" t="s">
        <v>1014</v>
      </c>
      <c r="C22" s="874">
        <f>'Revenues 9-14'!B50</f>
        <v>1424</v>
      </c>
      <c r="D22" s="873" t="str">
        <f>'Revenues 9-14'!A50</f>
        <v>Summer Sch - Transp. Fees from Other Sources (Out of State)</v>
      </c>
      <c r="E22" s="865"/>
      <c r="F22" s="1828">
        <f>'Revenues 9-14'!F50</f>
        <v>0</v>
      </c>
      <c r="G22" s="862"/>
    </row>
    <row r="23" spans="1:7" x14ac:dyDescent="0.2">
      <c r="A23" s="866" t="s">
        <v>461</v>
      </c>
      <c r="B23" s="867" t="s">
        <v>1015</v>
      </c>
      <c r="C23" s="872">
        <f>'Revenues 9-14'!B52</f>
        <v>1432</v>
      </c>
      <c r="D23" s="873" t="str">
        <f>'Revenues 9-14'!A52</f>
        <v>CTE - Transp Fees from Other Districts (In State)</v>
      </c>
      <c r="E23" s="865"/>
      <c r="F23" s="1828">
        <f>'Revenues 9-14'!F52</f>
        <v>0</v>
      </c>
      <c r="G23" s="862"/>
    </row>
    <row r="24" spans="1:7" x14ac:dyDescent="0.2">
      <c r="A24" s="866" t="s">
        <v>461</v>
      </c>
      <c r="B24" s="867" t="s">
        <v>1016</v>
      </c>
      <c r="C24" s="872">
        <f>'Revenues 9-14'!B56</f>
        <v>1442</v>
      </c>
      <c r="D24" s="873" t="str">
        <f>'Revenues 9-14'!A56</f>
        <v>Special Ed - Transp Fees from Other Districts (In State)</v>
      </c>
      <c r="E24" s="865"/>
      <c r="F24" s="1828">
        <f>'Revenues 9-14'!F56</f>
        <v>0</v>
      </c>
      <c r="G24" s="862"/>
    </row>
    <row r="25" spans="1:7" x14ac:dyDescent="0.2">
      <c r="A25" s="866" t="s">
        <v>461</v>
      </c>
      <c r="B25" s="867" t="s">
        <v>1017</v>
      </c>
      <c r="C25" s="872">
        <f>'Revenues 9-14'!B59</f>
        <v>1451</v>
      </c>
      <c r="D25" s="873" t="str">
        <f>'Revenues 9-14'!A59</f>
        <v>Adult - Transp Fees from Pupils or Parents (In State)</v>
      </c>
      <c r="E25" s="865"/>
      <c r="F25" s="1828">
        <f>'Revenues 9-14'!F59</f>
        <v>0</v>
      </c>
      <c r="G25" s="862"/>
    </row>
    <row r="26" spans="1:7" x14ac:dyDescent="0.2">
      <c r="A26" s="866" t="s">
        <v>461</v>
      </c>
      <c r="B26" s="867" t="s">
        <v>1018</v>
      </c>
      <c r="C26" s="872">
        <f>'Revenues 9-14'!B60</f>
        <v>1452</v>
      </c>
      <c r="D26" s="873" t="str">
        <f>'Revenues 9-14'!A60</f>
        <v>Adult - Transp Fees from Other Districts (In State)</v>
      </c>
      <c r="E26" s="865"/>
      <c r="F26" s="1828">
        <f>'Revenues 9-14'!F60</f>
        <v>0</v>
      </c>
      <c r="G26" s="862"/>
    </row>
    <row r="27" spans="1:7" x14ac:dyDescent="0.2">
      <c r="A27" s="866" t="s">
        <v>461</v>
      </c>
      <c r="B27" s="867" t="s">
        <v>1019</v>
      </c>
      <c r="C27" s="872">
        <f>'Revenues 9-14'!B61</f>
        <v>1453</v>
      </c>
      <c r="D27" s="873" t="str">
        <f>'Revenues 9-14'!A61</f>
        <v>Adult - Transp Fees from Other Sources (In State)</v>
      </c>
      <c r="E27" s="865"/>
      <c r="F27" s="1828">
        <f>'Revenues 9-14'!F61</f>
        <v>0</v>
      </c>
      <c r="G27" s="862"/>
    </row>
    <row r="28" spans="1:7" x14ac:dyDescent="0.2">
      <c r="A28" s="866" t="s">
        <v>461</v>
      </c>
      <c r="B28" s="867" t="s">
        <v>1020</v>
      </c>
      <c r="C28" s="872">
        <f>'Revenues 9-14'!B62</f>
        <v>1454</v>
      </c>
      <c r="D28" s="873" t="str">
        <f>'Revenues 9-14'!A62</f>
        <v>Adult - Transp Fees from Other Sources (Out of State)</v>
      </c>
      <c r="E28" s="865"/>
      <c r="F28" s="1828">
        <f>'Revenues 9-14'!F62</f>
        <v>0</v>
      </c>
      <c r="G28" s="862"/>
    </row>
    <row r="29" spans="1:7" x14ac:dyDescent="0.2">
      <c r="A29" s="866" t="s">
        <v>1097</v>
      </c>
      <c r="B29" s="867" t="s">
        <v>810</v>
      </c>
      <c r="C29" s="877">
        <f>'Revenues 9-14'!B149</f>
        <v>3410</v>
      </c>
      <c r="D29" s="878" t="str">
        <f>'Revenues 9-14'!A149</f>
        <v>Adult Ed (from ICCB)</v>
      </c>
      <c r="E29" s="865"/>
      <c r="F29" s="1828">
        <f>SUM('Revenues 9-14'!D149,'Revenues 9-14'!F149)</f>
        <v>0</v>
      </c>
      <c r="G29" s="862"/>
    </row>
    <row r="30" spans="1:7" x14ac:dyDescent="0.2">
      <c r="A30" s="866" t="s">
        <v>1097</v>
      </c>
      <c r="B30" s="867" t="s">
        <v>1993</v>
      </c>
      <c r="C30" s="877">
        <f>'Revenues 9-14'!B150</f>
        <v>3499</v>
      </c>
      <c r="D30" s="878" t="str">
        <f>'Revenues 9-14'!A150</f>
        <v>Adult Ed - Other (Describe &amp; Itemize)</v>
      </c>
      <c r="E30" s="865"/>
      <c r="F30" s="1829">
        <f>('Revenues 9-14'!D150+'Revenues 9-14'!F150)</f>
        <v>0</v>
      </c>
      <c r="G30" s="862"/>
    </row>
    <row r="31" spans="1:7" x14ac:dyDescent="0.2">
      <c r="A31" s="866" t="s">
        <v>1097</v>
      </c>
      <c r="B31" s="867" t="s">
        <v>1994</v>
      </c>
      <c r="C31" s="872">
        <f>'Revenues 9-14'!B211</f>
        <v>4600</v>
      </c>
      <c r="D31" s="880" t="str">
        <f>'Revenues 9-14'!A211</f>
        <v>Fed - Spec Education - Preschool Flow-Through</v>
      </c>
      <c r="E31" s="881"/>
      <c r="F31" s="1828">
        <f>SUM('Revenues 9-14'!D211,'Revenues 9-14'!F211)</f>
        <v>0</v>
      </c>
      <c r="G31" s="862"/>
    </row>
    <row r="32" spans="1:7" x14ac:dyDescent="0.2">
      <c r="A32" s="866" t="s">
        <v>1097</v>
      </c>
      <c r="B32" s="867" t="s">
        <v>1995</v>
      </c>
      <c r="C32" s="872">
        <f>'Revenues 9-14'!B212</f>
        <v>4605</v>
      </c>
      <c r="D32" s="882" t="str">
        <f>'Revenues 9-14'!A212</f>
        <v>Fed - Spec Education - Preschool Discretionary</v>
      </c>
      <c r="E32" s="881"/>
      <c r="F32" s="1828">
        <f>SUM('Revenues 9-14'!D212,'Revenues 9-14'!F212)</f>
        <v>0</v>
      </c>
      <c r="G32" s="862"/>
    </row>
    <row r="33" spans="1:7" x14ac:dyDescent="0.2">
      <c r="A33" s="866" t="s">
        <v>460</v>
      </c>
      <c r="B33" s="867" t="s">
        <v>1996</v>
      </c>
      <c r="C33" s="872">
        <f>'Revenues 9-14'!B222</f>
        <v>4810</v>
      </c>
      <c r="D33" s="880" t="str">
        <f>'Revenues 9-14'!A222</f>
        <v>Federal - Adult Education</v>
      </c>
      <c r="E33" s="865"/>
      <c r="F33" s="1828">
        <f>'Revenues 9-14'!D222</f>
        <v>0</v>
      </c>
      <c r="G33" s="862"/>
    </row>
    <row r="34" spans="1:7" x14ac:dyDescent="0.2">
      <c r="A34" s="866" t="s">
        <v>459</v>
      </c>
      <c r="B34" s="866" t="s">
        <v>1469</v>
      </c>
      <c r="C34" s="883" t="str">
        <f>'Expenditures 15-22'!B7</f>
        <v>1125</v>
      </c>
      <c r="D34" s="884" t="str">
        <f>'Expenditures 15-22'!A7</f>
        <v>Pre-K Programs</v>
      </c>
      <c r="E34" s="865"/>
      <c r="F34" s="1828">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828">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828">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828">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828">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828">
        <f>'Expenditures 15-22'!K20</f>
        <v>0</v>
      </c>
      <c r="G39" s="862"/>
    </row>
    <row r="40" spans="1:7" x14ac:dyDescent="0.2">
      <c r="A40" s="866" t="s">
        <v>459</v>
      </c>
      <c r="B40" s="866" t="s">
        <v>118</v>
      </c>
      <c r="C40" s="883" t="str">
        <f>'Expenditures 15-22'!B21</f>
        <v>1911</v>
      </c>
      <c r="D40" s="885" t="str">
        <f>'Expenditures 15-22'!A21</f>
        <v>Regular K-12 Programs - Private Tuition</v>
      </c>
      <c r="E40" s="865"/>
      <c r="F40" s="1828">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828">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828">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828">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828">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828">
        <f>'Expenditures 15-22'!K26</f>
        <v>0</v>
      </c>
      <c r="G45" s="862"/>
    </row>
    <row r="46" spans="1:7" x14ac:dyDescent="0.2">
      <c r="A46" s="866" t="s">
        <v>459</v>
      </c>
      <c r="B46" s="866" t="s">
        <v>124</v>
      </c>
      <c r="C46" s="883" t="str">
        <f>'Expenditures 15-22'!B27</f>
        <v>1917</v>
      </c>
      <c r="D46" s="885" t="str">
        <f>'Expenditures 15-22'!A27</f>
        <v>CTE Programs - Private Tuition</v>
      </c>
      <c r="E46" s="865"/>
      <c r="F46" s="1828">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828">
        <f>'Expenditures 15-22'!K28</f>
        <v>0</v>
      </c>
      <c r="G47" s="862"/>
    </row>
    <row r="48" spans="1:7" x14ac:dyDescent="0.2">
      <c r="A48" s="866" t="s">
        <v>459</v>
      </c>
      <c r="B48" s="866" t="s">
        <v>126</v>
      </c>
      <c r="C48" s="886" t="str">
        <f>'Expenditures 15-22'!B29</f>
        <v>1919</v>
      </c>
      <c r="D48" s="885" t="str">
        <f>'Expenditures 15-22'!A29</f>
        <v>Summer School Programs - Private Tuition</v>
      </c>
      <c r="E48" s="865"/>
      <c r="F48" s="1828">
        <f>'Expenditures 15-22'!K29</f>
        <v>0</v>
      </c>
      <c r="G48" s="862"/>
    </row>
    <row r="49" spans="1:7" x14ac:dyDescent="0.2">
      <c r="A49" s="866" t="s">
        <v>459</v>
      </c>
      <c r="B49" s="866" t="s">
        <v>127</v>
      </c>
      <c r="C49" s="883" t="str">
        <f>'Expenditures 15-22'!B30</f>
        <v>1920</v>
      </c>
      <c r="D49" s="885" t="str">
        <f>'Expenditures 15-22'!A30</f>
        <v>Gifted Programs - Private Tuition</v>
      </c>
      <c r="E49" s="865"/>
      <c r="F49" s="1828">
        <f>'Expenditures 15-22'!K30</f>
        <v>0</v>
      </c>
      <c r="G49" s="862"/>
    </row>
    <row r="50" spans="1:7" x14ac:dyDescent="0.2">
      <c r="A50" s="866" t="s">
        <v>459</v>
      </c>
      <c r="B50" s="866" t="s">
        <v>128</v>
      </c>
      <c r="C50" s="883" t="str">
        <f>'Expenditures 15-22'!B31</f>
        <v>1921</v>
      </c>
      <c r="D50" s="885" t="str">
        <f>'Expenditures 15-22'!A31</f>
        <v>Bilingual Programs - Private Tuition</v>
      </c>
      <c r="E50" s="865"/>
      <c r="F50" s="1828">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828">
        <f>'Expenditures 15-22'!K32</f>
        <v>0</v>
      </c>
      <c r="G51" s="862"/>
    </row>
    <row r="52" spans="1:7" x14ac:dyDescent="0.2">
      <c r="A52" s="866" t="s">
        <v>459</v>
      </c>
      <c r="B52" s="866" t="s">
        <v>1474</v>
      </c>
      <c r="C52" s="886" t="str">
        <f>'Expenditures 15-22'!B75</f>
        <v>3000</v>
      </c>
      <c r="D52" s="885" t="s">
        <v>449</v>
      </c>
      <c r="E52" s="865"/>
      <c r="F52" s="1828">
        <f>'Expenditures 15-22'!K75-SUM('Expenditures 15-22'!G75,'Expenditures 15-22'!I75)</f>
        <v>77369</v>
      </c>
      <c r="G52" s="862"/>
    </row>
    <row r="53" spans="1:7" x14ac:dyDescent="0.2">
      <c r="A53" s="866" t="s">
        <v>459</v>
      </c>
      <c r="B53" s="866" t="s">
        <v>1475</v>
      </c>
      <c r="C53" s="886">
        <f>'Expenditures 15-22'!B102</f>
        <v>4000</v>
      </c>
      <c r="D53" s="885" t="str">
        <f>'Expenditures 15-22'!A102</f>
        <v>Total Payments to Other Govt Units</v>
      </c>
      <c r="E53" s="865"/>
      <c r="F53" s="1828">
        <f>'Expenditures 15-22'!K102</f>
        <v>2226678</v>
      </c>
      <c r="G53" s="862"/>
    </row>
    <row r="54" spans="1:7" x14ac:dyDescent="0.2">
      <c r="A54" s="866" t="s">
        <v>459</v>
      </c>
      <c r="B54" s="866" t="s">
        <v>1476</v>
      </c>
      <c r="C54" s="886" t="s">
        <v>982</v>
      </c>
      <c r="D54" s="882" t="s">
        <v>1095</v>
      </c>
      <c r="E54" s="865"/>
      <c r="F54" s="1828">
        <f>'Expenditures 15-22'!G114</f>
        <v>67857</v>
      </c>
      <c r="G54" s="862"/>
    </row>
    <row r="55" spans="1:7" x14ac:dyDescent="0.2">
      <c r="A55" s="866" t="s">
        <v>459</v>
      </c>
      <c r="B55" s="866" t="s">
        <v>1477</v>
      </c>
      <c r="C55" s="886" t="s">
        <v>982</v>
      </c>
      <c r="D55" s="882" t="s">
        <v>291</v>
      </c>
      <c r="E55" s="865"/>
      <c r="F55" s="1828">
        <f>'Expenditures 15-22'!I114</f>
        <v>0</v>
      </c>
      <c r="G55" s="862"/>
    </row>
    <row r="56" spans="1:7" x14ac:dyDescent="0.2">
      <c r="A56" s="866" t="s">
        <v>460</v>
      </c>
      <c r="B56" s="866" t="s">
        <v>1478</v>
      </c>
      <c r="C56" s="883" t="str">
        <f>'Expenditures 15-22'!B130</f>
        <v>3000</v>
      </c>
      <c r="D56" s="889" t="s">
        <v>449</v>
      </c>
      <c r="E56" s="865"/>
      <c r="F56" s="1828">
        <f>'Expenditures 15-22'!K130-SUM('Expenditures 15-22'!G130+'Expenditures 15-22'!I130)</f>
        <v>0</v>
      </c>
      <c r="G56" s="862"/>
    </row>
    <row r="57" spans="1:7" x14ac:dyDescent="0.2">
      <c r="A57" s="866" t="s">
        <v>460</v>
      </c>
      <c r="B57" s="866" t="s">
        <v>1876</v>
      </c>
      <c r="C57" s="886">
        <f>'Expenditures 15-22'!B139</f>
        <v>4000</v>
      </c>
      <c r="D57" s="884" t="str">
        <f>'Expenditures 15-22'!A139</f>
        <v>Total Payments to Other Govt Units</v>
      </c>
      <c r="E57" s="865"/>
      <c r="F57" s="1828">
        <f>'Expenditures 15-22'!K139</f>
        <v>0</v>
      </c>
      <c r="G57" s="862"/>
    </row>
    <row r="58" spans="1:7" x14ac:dyDescent="0.2">
      <c r="A58" s="866" t="s">
        <v>460</v>
      </c>
      <c r="B58" s="866" t="s">
        <v>1877</v>
      </c>
      <c r="C58" s="883" t="s">
        <v>982</v>
      </c>
      <c r="D58" s="882" t="s">
        <v>1095</v>
      </c>
      <c r="E58" s="865"/>
      <c r="F58" s="1830">
        <f>'Expenditures 15-22'!G151</f>
        <v>0</v>
      </c>
      <c r="G58" s="862"/>
    </row>
    <row r="59" spans="1:7" x14ac:dyDescent="0.2">
      <c r="A59" s="890" t="s">
        <v>460</v>
      </c>
      <c r="B59" s="853" t="s">
        <v>1878</v>
      </c>
      <c r="C59" s="891" t="s">
        <v>982</v>
      </c>
      <c r="D59" s="853" t="s">
        <v>291</v>
      </c>
      <c r="F59" s="1831">
        <f>'Expenditures 15-22'!I151</f>
        <v>0</v>
      </c>
      <c r="G59" s="862"/>
    </row>
    <row r="60" spans="1:7" x14ac:dyDescent="0.2">
      <c r="A60" s="890" t="s">
        <v>499</v>
      </c>
      <c r="B60" s="853" t="s">
        <v>1879</v>
      </c>
      <c r="C60" s="891">
        <v>4000</v>
      </c>
      <c r="D60" s="853" t="s">
        <v>312</v>
      </c>
      <c r="F60" s="1829">
        <f>'Expenditures 15-22'!K160</f>
        <v>0</v>
      </c>
      <c r="G60" s="862"/>
    </row>
    <row r="61" spans="1:7" x14ac:dyDescent="0.2">
      <c r="A61" s="892" t="s">
        <v>499</v>
      </c>
      <c r="B61" s="892" t="s">
        <v>1880</v>
      </c>
      <c r="C61" s="893" t="str">
        <f>'Expenditures 15-22'!B170</f>
        <v>5300</v>
      </c>
      <c r="D61" s="894" t="s">
        <v>311</v>
      </c>
      <c r="E61" s="876"/>
      <c r="F61" s="1828">
        <f>'Expenditures 15-22'!K170</f>
        <v>0</v>
      </c>
      <c r="G61" s="862"/>
    </row>
    <row r="62" spans="1:7" x14ac:dyDescent="0.2">
      <c r="A62" s="866" t="s">
        <v>461</v>
      </c>
      <c r="B62" s="866" t="s">
        <v>1881</v>
      </c>
      <c r="C62" s="883">
        <f>'Expenditures 15-22'!B185</f>
        <v>3000</v>
      </c>
      <c r="D62" s="873" t="s">
        <v>449</v>
      </c>
      <c r="E62" s="865"/>
      <c r="F62" s="1828">
        <f>'Expenditures 15-22'!K185-SUM('Expenditures 15-22'!G185,'Expenditures 15-22'!I185)</f>
        <v>0</v>
      </c>
      <c r="G62" s="862"/>
    </row>
    <row r="63" spans="1:7" x14ac:dyDescent="0.2">
      <c r="A63" s="866" t="s">
        <v>461</v>
      </c>
      <c r="B63" s="866" t="s">
        <v>1882</v>
      </c>
      <c r="C63" s="883" t="str">
        <f>'Expenditures 15-22'!B196</f>
        <v>4000</v>
      </c>
      <c r="D63" s="884" t="str">
        <f>'Expenditures 15-22'!A196</f>
        <v>Total Payments to Other Govt Units</v>
      </c>
      <c r="E63" s="865"/>
      <c r="F63" s="1828">
        <f>'Expenditures 15-22'!K196</f>
        <v>0</v>
      </c>
      <c r="G63" s="862"/>
    </row>
    <row r="64" spans="1:7" x14ac:dyDescent="0.2">
      <c r="A64" s="892" t="s">
        <v>461</v>
      </c>
      <c r="B64" s="892" t="s">
        <v>1883</v>
      </c>
      <c r="C64" s="893" t="str">
        <f>'Expenditures 15-22'!B206</f>
        <v>5300</v>
      </c>
      <c r="D64" s="889" t="s">
        <v>311</v>
      </c>
      <c r="E64" s="865"/>
      <c r="F64" s="1828">
        <f>'Expenditures 15-22'!K206</f>
        <v>0</v>
      </c>
      <c r="G64" s="862"/>
    </row>
    <row r="65" spans="1:8" x14ac:dyDescent="0.2">
      <c r="A65" s="866" t="s">
        <v>461</v>
      </c>
      <c r="B65" s="866" t="s">
        <v>1884</v>
      </c>
      <c r="C65" s="883" t="s">
        <v>982</v>
      </c>
      <c r="D65" s="882" t="s">
        <v>1095</v>
      </c>
      <c r="E65" s="865"/>
      <c r="F65" s="1828">
        <f>'Expenditures 15-22'!G210</f>
        <v>0</v>
      </c>
      <c r="G65" s="862"/>
    </row>
    <row r="66" spans="1:8" x14ac:dyDescent="0.2">
      <c r="A66" s="866" t="s">
        <v>461</v>
      </c>
      <c r="B66" s="866" t="s">
        <v>1885</v>
      </c>
      <c r="C66" s="883" t="s">
        <v>982</v>
      </c>
      <c r="D66" s="882" t="s">
        <v>291</v>
      </c>
      <c r="E66" s="865"/>
      <c r="F66" s="1828">
        <f>'Expenditures 15-22'!I210</f>
        <v>0</v>
      </c>
      <c r="G66" s="862"/>
    </row>
    <row r="67" spans="1:8" x14ac:dyDescent="0.2">
      <c r="A67" s="866" t="s">
        <v>462</v>
      </c>
      <c r="B67" s="866" t="s">
        <v>1886</v>
      </c>
      <c r="C67" s="883" t="str">
        <f>'Expenditures 15-22'!B216</f>
        <v>1125</v>
      </c>
      <c r="D67" s="889" t="str">
        <f>'Expenditures 15-22'!A216</f>
        <v>Pre-K Programs</v>
      </c>
      <c r="E67" s="865"/>
      <c r="F67" s="1828">
        <f>'Expenditures 15-22'!K216</f>
        <v>0</v>
      </c>
      <c r="G67" s="862"/>
    </row>
    <row r="68" spans="1:8" x14ac:dyDescent="0.2">
      <c r="A68" s="866" t="s">
        <v>462</v>
      </c>
      <c r="B68" s="866" t="s">
        <v>1479</v>
      </c>
      <c r="C68" s="883" t="str">
        <f>'Expenditures 15-22'!B218</f>
        <v>1225</v>
      </c>
      <c r="D68" s="889" t="str">
        <f>'Expenditures 15-22'!A218</f>
        <v>Special Education Programs - Pre-K</v>
      </c>
      <c r="E68" s="865"/>
      <c r="F68" s="1828">
        <f>'Expenditures 15-22'!K218</f>
        <v>0</v>
      </c>
      <c r="G68" s="862"/>
    </row>
    <row r="69" spans="1:8" x14ac:dyDescent="0.2">
      <c r="A69" s="866" t="s">
        <v>462</v>
      </c>
      <c r="B69" s="866" t="s">
        <v>1887</v>
      </c>
      <c r="C69" s="883" t="str">
        <f>'Expenditures 15-22'!B220</f>
        <v>1275</v>
      </c>
      <c r="D69" s="889" t="str">
        <f>'Expenditures 15-22'!A220</f>
        <v>Remedial and Supplemental Programs - Pre-K</v>
      </c>
      <c r="E69" s="865"/>
      <c r="F69" s="1828">
        <f>'Expenditures 15-22'!K220</f>
        <v>0</v>
      </c>
      <c r="G69" s="862"/>
    </row>
    <row r="70" spans="1:8" x14ac:dyDescent="0.2">
      <c r="A70" s="866" t="s">
        <v>462</v>
      </c>
      <c r="B70" s="866" t="s">
        <v>1888</v>
      </c>
      <c r="C70" s="883">
        <f>'Expenditures 15-22'!B221</f>
        <v>1300</v>
      </c>
      <c r="D70" s="884" t="str">
        <f>'Expenditures 15-22'!A221</f>
        <v>Adult/Continuing Education Programs</v>
      </c>
      <c r="E70" s="865"/>
      <c r="F70" s="1828">
        <f>'Expenditures 15-22'!K221</f>
        <v>0</v>
      </c>
      <c r="G70" s="862"/>
    </row>
    <row r="71" spans="1:8" x14ac:dyDescent="0.2">
      <c r="A71" s="866" t="s">
        <v>462</v>
      </c>
      <c r="B71" s="866" t="s">
        <v>1889</v>
      </c>
      <c r="C71" s="883">
        <f>'Expenditures 15-22'!B224</f>
        <v>1600</v>
      </c>
      <c r="D71" s="884" t="str">
        <f>'Expenditures 15-22'!A224</f>
        <v>Summer School Programs</v>
      </c>
      <c r="E71" s="865"/>
      <c r="F71" s="1828">
        <f>'Expenditures 15-22'!K224</f>
        <v>0</v>
      </c>
      <c r="G71" s="862"/>
    </row>
    <row r="72" spans="1:8" x14ac:dyDescent="0.2">
      <c r="A72" s="866" t="s">
        <v>462</v>
      </c>
      <c r="B72" s="866" t="s">
        <v>1890</v>
      </c>
      <c r="C72" s="883">
        <f>'Expenditures 15-22'!B280</f>
        <v>3000</v>
      </c>
      <c r="D72" s="873" t="s">
        <v>449</v>
      </c>
      <c r="E72" s="865"/>
      <c r="F72" s="1828">
        <f>'Expenditures 15-22'!K280</f>
        <v>0</v>
      </c>
      <c r="G72" s="862"/>
    </row>
    <row r="73" spans="1:8" x14ac:dyDescent="0.2">
      <c r="A73" s="866" t="s">
        <v>462</v>
      </c>
      <c r="B73" s="866" t="s">
        <v>1891</v>
      </c>
      <c r="C73" s="883" t="str">
        <f>'Expenditures 15-22'!B285</f>
        <v>4000</v>
      </c>
      <c r="D73" s="884" t="str">
        <f>'Expenditures 15-22'!A285</f>
        <v>Total Payments to Other Govt Units</v>
      </c>
      <c r="E73" s="865"/>
      <c r="F73" s="1828">
        <f>'Expenditures 15-22'!K285</f>
        <v>0</v>
      </c>
      <c r="G73" s="862"/>
    </row>
    <row r="74" spans="1:8" x14ac:dyDescent="0.2">
      <c r="A74" s="866" t="s">
        <v>436</v>
      </c>
      <c r="B74" s="866" t="s">
        <v>1892</v>
      </c>
      <c r="C74" s="883" t="s">
        <v>860</v>
      </c>
      <c r="D74" s="884" t="s">
        <v>1487</v>
      </c>
      <c r="E74" s="865"/>
      <c r="F74" s="1832">
        <f>'Expenditures 15-22'!K334</f>
        <v>0</v>
      </c>
      <c r="G74" s="862"/>
    </row>
    <row r="75" spans="1:8" ht="5.25" customHeight="1" x14ac:dyDescent="0.2">
      <c r="A75" s="862"/>
      <c r="B75" s="872"/>
      <c r="C75" s="872"/>
      <c r="D75" s="862"/>
      <c r="E75" s="865"/>
      <c r="F75" s="879"/>
      <c r="G75" s="864"/>
    </row>
    <row r="76" spans="1:8" ht="12" thickBot="1" x14ac:dyDescent="0.25">
      <c r="A76" s="1692"/>
      <c r="B76" s="1698"/>
      <c r="C76" s="1694"/>
      <c r="D76" s="1699" t="s">
        <v>1893</v>
      </c>
      <c r="E76" s="1696" t="s">
        <v>958</v>
      </c>
      <c r="F76" s="1700">
        <f>SUM(F18:F74)</f>
        <v>2371904</v>
      </c>
      <c r="G76" s="862"/>
    </row>
    <row r="77" spans="1:8" s="890" customFormat="1" ht="12" customHeight="1" thickTop="1" thickBot="1" x14ac:dyDescent="0.25">
      <c r="A77" s="1701"/>
      <c r="B77" s="1698"/>
      <c r="C77" s="1694"/>
      <c r="D77" s="1699" t="s">
        <v>1894</v>
      </c>
      <c r="E77" s="1696"/>
      <c r="F77" s="1702">
        <f>(F14-F76)</f>
        <v>5363596</v>
      </c>
      <c r="G77" s="866"/>
    </row>
    <row r="78" spans="1:8" s="890" customFormat="1" ht="12" customHeight="1" thickTop="1" x14ac:dyDescent="0.2">
      <c r="A78" s="1703"/>
      <c r="B78" s="1698"/>
      <c r="C78" s="1694"/>
      <c r="D78" s="1699" t="s">
        <v>2056</v>
      </c>
      <c r="E78" s="1696"/>
      <c r="F78" s="895">
        <v>0</v>
      </c>
      <c r="G78" s="896"/>
      <c r="H78" s="866"/>
    </row>
    <row r="79" spans="1:8" s="890" customFormat="1" ht="12" customHeight="1" thickBot="1" x14ac:dyDescent="0.25">
      <c r="A79" s="1704"/>
      <c r="B79" s="1698"/>
      <c r="C79" s="1694"/>
      <c r="D79" s="1699" t="s">
        <v>1895</v>
      </c>
      <c r="E79" s="1696" t="s">
        <v>958</v>
      </c>
      <c r="F79" s="1705" t="str">
        <f>IF(F78&gt;0,F77/F78," Complete Line 78")</f>
        <v xml:space="preserve"> Complete Line 78</v>
      </c>
      <c r="G79" s="866"/>
    </row>
    <row r="80" spans="1:8" s="890" customFormat="1" ht="8.25" customHeight="1" thickTop="1" x14ac:dyDescent="0.2">
      <c r="A80" s="897"/>
      <c r="B80" s="866"/>
      <c r="C80" s="868"/>
      <c r="D80" s="898"/>
      <c r="E80" s="865"/>
      <c r="F80" s="899"/>
      <c r="G80" s="866"/>
    </row>
    <row r="81" spans="1:7" s="890" customFormat="1" ht="12" thickBot="1" x14ac:dyDescent="0.25">
      <c r="A81" s="2364" t="s">
        <v>1105</v>
      </c>
      <c r="B81" s="2365"/>
      <c r="C81" s="2365"/>
      <c r="D81" s="2365"/>
      <c r="E81" s="2365"/>
      <c r="F81" s="2366"/>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822">
        <f>'Revenues 9-14'!F42</f>
        <v>0</v>
      </c>
      <c r="G84" s="909"/>
    </row>
    <row r="85" spans="1:7" x14ac:dyDescent="0.2">
      <c r="A85" s="905" t="s">
        <v>461</v>
      </c>
      <c r="B85" s="905" t="s">
        <v>183</v>
      </c>
      <c r="C85" s="910">
        <f>'Revenues 9-14'!B44</f>
        <v>1413</v>
      </c>
      <c r="D85" s="908" t="str">
        <f>'Revenues 9-14'!A44</f>
        <v>Regular - Transp Fees from Other Sources (In State)</v>
      </c>
      <c r="E85" s="903"/>
      <c r="F85" s="1711">
        <f>'Revenues 9-14'!F44</f>
        <v>0</v>
      </c>
      <c r="G85" s="911"/>
    </row>
    <row r="86" spans="1:7" x14ac:dyDescent="0.2">
      <c r="A86" s="905" t="s">
        <v>461</v>
      </c>
      <c r="B86" s="905" t="s">
        <v>166</v>
      </c>
      <c r="C86" s="907">
        <f>'Revenues 9-14'!B45</f>
        <v>1415</v>
      </c>
      <c r="D86" s="908" t="str">
        <f>'Revenues 9-14'!A45</f>
        <v>Regular - Transp Fees from Co-curricular Activities (In State)</v>
      </c>
      <c r="E86" s="903"/>
      <c r="F86" s="1711">
        <f>'Revenues 9-14'!F45</f>
        <v>0</v>
      </c>
      <c r="G86" s="911"/>
    </row>
    <row r="87" spans="1:7" x14ac:dyDescent="0.2">
      <c r="A87" s="905" t="s">
        <v>461</v>
      </c>
      <c r="B87" s="905" t="s">
        <v>167</v>
      </c>
      <c r="C87" s="907">
        <v>1416</v>
      </c>
      <c r="D87" s="908" t="str">
        <f>'Revenues 9-14'!A46</f>
        <v>Regular Transp Fees from Other Sources (Out of State)</v>
      </c>
      <c r="E87" s="903"/>
      <c r="F87" s="1711">
        <f>'Revenues 9-14'!F46</f>
        <v>0</v>
      </c>
      <c r="G87" s="911"/>
    </row>
    <row r="88" spans="1:7" x14ac:dyDescent="0.2">
      <c r="A88" s="905" t="s">
        <v>461</v>
      </c>
      <c r="B88" s="905" t="s">
        <v>168</v>
      </c>
      <c r="C88" s="907">
        <f>'Revenues 9-14'!B51</f>
        <v>1431</v>
      </c>
      <c r="D88" s="908" t="str">
        <f>'Revenues 9-14'!A51</f>
        <v>CTE - Transp Fees from Pupils or Parents (In State)</v>
      </c>
      <c r="E88" s="903"/>
      <c r="F88" s="1711">
        <f>'Revenues 9-14'!F51</f>
        <v>0</v>
      </c>
      <c r="G88" s="911"/>
    </row>
    <row r="89" spans="1:7" x14ac:dyDescent="0.2">
      <c r="A89" s="905" t="s">
        <v>461</v>
      </c>
      <c r="B89" s="905" t="s">
        <v>169</v>
      </c>
      <c r="C89" s="907">
        <f>'Revenues 9-14'!B53</f>
        <v>1433</v>
      </c>
      <c r="D89" s="908" t="str">
        <f>'Revenues 9-14'!A53</f>
        <v>CTE - Transp Fees from Other Sources (In State)</v>
      </c>
      <c r="E89" s="903"/>
      <c r="F89" s="1711">
        <f>'Revenues 9-14'!F53</f>
        <v>0</v>
      </c>
      <c r="G89" s="911"/>
    </row>
    <row r="90" spans="1:7" x14ac:dyDescent="0.2">
      <c r="A90" s="905" t="s">
        <v>461</v>
      </c>
      <c r="B90" s="905" t="s">
        <v>170</v>
      </c>
      <c r="C90" s="907">
        <f>'Revenues 9-14'!B54</f>
        <v>1434</v>
      </c>
      <c r="D90" s="908" t="str">
        <f>'Revenues 9-14'!A54</f>
        <v>CTE - Transp Fees from Other Sources (Out of State)</v>
      </c>
      <c r="E90" s="903"/>
      <c r="F90" s="1711">
        <f>'Revenues 9-14'!F54</f>
        <v>0</v>
      </c>
      <c r="G90" s="911"/>
    </row>
    <row r="91" spans="1:7" x14ac:dyDescent="0.2">
      <c r="A91" s="905" t="s">
        <v>461</v>
      </c>
      <c r="B91" s="905" t="s">
        <v>171</v>
      </c>
      <c r="C91" s="912">
        <f>'Revenues 9-14'!B55</f>
        <v>1441</v>
      </c>
      <c r="D91" s="908" t="str">
        <f>'Revenues 9-14'!A55</f>
        <v>Special Ed - Transp Fees from Pupils or Parents (In State)</v>
      </c>
      <c r="E91" s="903"/>
      <c r="F91" s="1711">
        <f>'Revenues 9-14'!F55</f>
        <v>0</v>
      </c>
      <c r="G91" s="911"/>
    </row>
    <row r="92" spans="1:7" x14ac:dyDescent="0.2">
      <c r="A92" s="905" t="s">
        <v>461</v>
      </c>
      <c r="B92" s="905" t="s">
        <v>172</v>
      </c>
      <c r="C92" s="907">
        <f>'Revenues 9-14'!B57</f>
        <v>1443</v>
      </c>
      <c r="D92" s="908" t="str">
        <f>'Revenues 9-14'!A57</f>
        <v>Special Ed - Transp Fees from Other Sources (In State)</v>
      </c>
      <c r="E92" s="903"/>
      <c r="F92" s="1711">
        <f>'Revenues 9-14'!F57</f>
        <v>0</v>
      </c>
      <c r="G92" s="913"/>
    </row>
    <row r="93" spans="1:7" x14ac:dyDescent="0.2">
      <c r="A93" s="905" t="s">
        <v>461</v>
      </c>
      <c r="B93" s="905" t="s">
        <v>173</v>
      </c>
      <c r="C93" s="907">
        <f>'Revenues 9-14'!B58</f>
        <v>1444</v>
      </c>
      <c r="D93" s="908" t="str">
        <f>'Revenues 9-14'!A58</f>
        <v>Special Ed - Transp Fees from Other Sources (Out of State)</v>
      </c>
      <c r="E93" s="903"/>
      <c r="F93" s="1711">
        <f>'Revenues 9-14'!F58</f>
        <v>0</v>
      </c>
      <c r="G93" s="913"/>
    </row>
    <row r="94" spans="1:7" x14ac:dyDescent="0.2">
      <c r="A94" s="905" t="s">
        <v>459</v>
      </c>
      <c r="B94" s="905" t="s">
        <v>174</v>
      </c>
      <c r="C94" s="907">
        <v>1600</v>
      </c>
      <c r="D94" s="914" t="str">
        <f>'Revenues 9-14'!A75</f>
        <v>Total Food Service</v>
      </c>
      <c r="E94" s="903"/>
      <c r="F94" s="1711">
        <f>'Revenues 9-14'!C75</f>
        <v>5144</v>
      </c>
      <c r="G94" s="909"/>
    </row>
    <row r="95" spans="1:7" x14ac:dyDescent="0.2">
      <c r="A95" s="905" t="s">
        <v>140</v>
      </c>
      <c r="B95" s="905" t="s">
        <v>175</v>
      </c>
      <c r="C95" s="907">
        <v>1700</v>
      </c>
      <c r="D95" s="915" t="str">
        <f>'Revenues 9-14'!A82</f>
        <v>Total District/School Activity Income</v>
      </c>
      <c r="E95" s="903"/>
      <c r="F95" s="1711">
        <f>SUM('Revenues 9-14'!C82,'Revenues 9-14'!D82)</f>
        <v>0</v>
      </c>
      <c r="G95" s="909"/>
    </row>
    <row r="96" spans="1:7" x14ac:dyDescent="0.2">
      <c r="A96" s="905" t="s">
        <v>459</v>
      </c>
      <c r="B96" s="905" t="s">
        <v>176</v>
      </c>
      <c r="C96" s="907">
        <f>'Revenues 9-14'!B84</f>
        <v>1811</v>
      </c>
      <c r="D96" s="908" t="str">
        <f>'Revenues 9-14'!A84</f>
        <v>Rentals - Regular Textbooks</v>
      </c>
      <c r="E96" s="903"/>
      <c r="F96" s="1711">
        <f>'Revenues 9-14'!C84</f>
        <v>0</v>
      </c>
      <c r="G96" s="909"/>
    </row>
    <row r="97" spans="1:7" x14ac:dyDescent="0.2">
      <c r="A97" s="905" t="s">
        <v>459</v>
      </c>
      <c r="B97" s="905" t="s">
        <v>177</v>
      </c>
      <c r="C97" s="907">
        <f>'Revenues 9-14'!B87</f>
        <v>1819</v>
      </c>
      <c r="D97" s="908" t="str">
        <f>'Revenues 9-14'!A87</f>
        <v>Rentals - Other (Describe &amp; Itemize)</v>
      </c>
      <c r="E97" s="903"/>
      <c r="F97" s="1711">
        <f>'Revenues 9-14'!C87</f>
        <v>0</v>
      </c>
      <c r="G97" s="909"/>
    </row>
    <row r="98" spans="1:7" x14ac:dyDescent="0.2">
      <c r="A98" s="905" t="s">
        <v>459</v>
      </c>
      <c r="B98" s="905" t="s">
        <v>178</v>
      </c>
      <c r="C98" s="907">
        <f>'Revenues 9-14'!B88</f>
        <v>1821</v>
      </c>
      <c r="D98" s="908" t="str">
        <f>'Revenues 9-14'!A88</f>
        <v>Sales - Regular Textbooks</v>
      </c>
      <c r="E98" s="903"/>
      <c r="F98" s="1711">
        <f>'Revenues 9-14'!C88</f>
        <v>0</v>
      </c>
      <c r="G98" s="909"/>
    </row>
    <row r="99" spans="1:7" x14ac:dyDescent="0.2">
      <c r="A99" s="905" t="s">
        <v>459</v>
      </c>
      <c r="B99" s="905" t="s">
        <v>179</v>
      </c>
      <c r="C99" s="907">
        <f>'Revenues 9-14'!B91</f>
        <v>1829</v>
      </c>
      <c r="D99" s="908" t="str">
        <f>'Revenues 9-14'!A91</f>
        <v>Sales - Other (Describe &amp; Itemize)</v>
      </c>
      <c r="E99" s="903"/>
      <c r="F99" s="1711">
        <f>'Revenues 9-14'!C91</f>
        <v>0</v>
      </c>
      <c r="G99" s="909"/>
    </row>
    <row r="100" spans="1:7" x14ac:dyDescent="0.2">
      <c r="A100" s="905" t="s">
        <v>459</v>
      </c>
      <c r="B100" s="905" t="s">
        <v>180</v>
      </c>
      <c r="C100" s="907">
        <f>'Revenues 9-14'!B92</f>
        <v>1890</v>
      </c>
      <c r="D100" s="908" t="str">
        <f>'Revenues 9-14'!A92</f>
        <v>Other (Describe &amp; Itemize)</v>
      </c>
      <c r="E100" s="903"/>
      <c r="F100" s="1711">
        <f>'Revenues 9-14'!C92</f>
        <v>0</v>
      </c>
      <c r="G100" s="909"/>
    </row>
    <row r="101" spans="1:7" x14ac:dyDescent="0.2">
      <c r="A101" s="905" t="s">
        <v>140</v>
      </c>
      <c r="B101" s="905" t="s">
        <v>181</v>
      </c>
      <c r="C101" s="907">
        <f>'Revenues 9-14'!B95</f>
        <v>1910</v>
      </c>
      <c r="D101" s="908" t="str">
        <f>'Revenues 9-14'!A95</f>
        <v>Rentals</v>
      </c>
      <c r="E101" s="903"/>
      <c r="F101" s="1711">
        <f>SUM('Revenues 9-14'!C95:D95)</f>
        <v>0</v>
      </c>
      <c r="G101" s="909"/>
    </row>
    <row r="102" spans="1:7" x14ac:dyDescent="0.2">
      <c r="A102" s="905" t="s">
        <v>503</v>
      </c>
      <c r="B102" s="905" t="s">
        <v>182</v>
      </c>
      <c r="C102" s="907">
        <f>'Revenues 9-14'!B98</f>
        <v>1940</v>
      </c>
      <c r="D102" s="908" t="str">
        <f>'Revenues 9-14'!A98</f>
        <v>Services Provided Other Districts</v>
      </c>
      <c r="E102" s="903"/>
      <c r="F102" s="1711">
        <f>SUM('Revenues 9-14'!C98,'Revenues 9-14'!D98,'Revenues 9-14'!F98)</f>
        <v>12764</v>
      </c>
      <c r="G102" s="909"/>
    </row>
    <row r="103" spans="1:7" x14ac:dyDescent="0.2">
      <c r="A103" s="905" t="s">
        <v>1009</v>
      </c>
      <c r="B103" s="905" t="s">
        <v>801</v>
      </c>
      <c r="C103" s="907">
        <f>'Revenues 9-14'!B104</f>
        <v>1991</v>
      </c>
      <c r="D103" s="916" t="str">
        <f>'Revenues 9-14'!A104</f>
        <v>Payment from Other Districts</v>
      </c>
      <c r="E103" s="903"/>
      <c r="F103" s="1711">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11">
        <f>('Revenues 9-14'!C106)</f>
        <v>0</v>
      </c>
      <c r="G104" s="909"/>
    </row>
    <row r="105" spans="1:7" x14ac:dyDescent="0.2">
      <c r="A105" s="905" t="s">
        <v>503</v>
      </c>
      <c r="B105" s="905" t="s">
        <v>1997</v>
      </c>
      <c r="C105" s="910">
        <v>3100</v>
      </c>
      <c r="D105" s="916" t="str">
        <f>'Revenues 9-14'!A132</f>
        <v>Total Special Education</v>
      </c>
      <c r="E105" s="903"/>
      <c r="F105" s="1711">
        <f>SUM('Revenues 9-14'!C132:D132,'Revenues 9-14'!F132)</f>
        <v>0</v>
      </c>
      <c r="G105" s="909"/>
    </row>
    <row r="106" spans="1:7" x14ac:dyDescent="0.2">
      <c r="A106" s="905" t="s">
        <v>673</v>
      </c>
      <c r="B106" s="905" t="s">
        <v>1998</v>
      </c>
      <c r="C106" s="917">
        <v>3200</v>
      </c>
      <c r="D106" s="908" t="str">
        <f>'Revenues 9-14'!A141</f>
        <v>Total Career and Technical Education</v>
      </c>
      <c r="E106" s="903"/>
      <c r="F106" s="1711">
        <f>SUM('Revenues 9-14'!C141,'Revenues 9-14'!D141,'Revenues 9-14'!G141)</f>
        <v>0</v>
      </c>
      <c r="G106" s="909"/>
    </row>
    <row r="107" spans="1:7" x14ac:dyDescent="0.2">
      <c r="A107" s="918" t="s">
        <v>664</v>
      </c>
      <c r="B107" s="905" t="s">
        <v>1999</v>
      </c>
      <c r="C107" s="917">
        <v>3300</v>
      </c>
      <c r="D107" s="908" t="str">
        <f>'Revenues 9-14'!A145</f>
        <v>Total Bilingual Ed</v>
      </c>
      <c r="E107" s="903"/>
      <c r="F107" s="1711">
        <f>SUM('Revenues 9-14'!C145,'Revenues 9-14'!G145)</f>
        <v>0</v>
      </c>
      <c r="G107" s="909"/>
    </row>
    <row r="108" spans="1:7" x14ac:dyDescent="0.2">
      <c r="A108" s="905" t="s">
        <v>459</v>
      </c>
      <c r="B108" s="905" t="s">
        <v>2000</v>
      </c>
      <c r="C108" s="917">
        <f>'Revenues 9-14'!B146</f>
        <v>3360</v>
      </c>
      <c r="D108" s="908" t="str">
        <f>'Revenues 9-14'!A146</f>
        <v>State Free Lunch &amp; Breakfast</v>
      </c>
      <c r="E108" s="903"/>
      <c r="F108" s="1711">
        <f>'Revenues 9-14'!C146</f>
        <v>0</v>
      </c>
      <c r="G108" s="909"/>
    </row>
    <row r="109" spans="1:7" x14ac:dyDescent="0.2">
      <c r="A109" s="905" t="s">
        <v>673</v>
      </c>
      <c r="B109" s="905" t="s">
        <v>2001</v>
      </c>
      <c r="C109" s="917">
        <f>'Revenues 9-14'!B147</f>
        <v>3365</v>
      </c>
      <c r="D109" s="908" t="str">
        <f>'Revenues 9-14'!A147</f>
        <v>School Breakfast Initiative</v>
      </c>
      <c r="E109" s="903"/>
      <c r="F109" s="1711">
        <f>SUM('Revenues 9-14'!C147,'Revenues 9-14'!D147,'Revenues 9-14'!G147)</f>
        <v>0</v>
      </c>
      <c r="G109" s="909"/>
    </row>
    <row r="110" spans="1:7" x14ac:dyDescent="0.2">
      <c r="A110" s="905" t="s">
        <v>140</v>
      </c>
      <c r="B110" s="905" t="s">
        <v>2002</v>
      </c>
      <c r="C110" s="917">
        <f>'Revenues 9-14'!B148</f>
        <v>3370</v>
      </c>
      <c r="D110" s="908" t="str">
        <f>'Revenues 9-14'!A148</f>
        <v>Driver Education</v>
      </c>
      <c r="E110" s="903"/>
      <c r="F110" s="1711">
        <f>SUM('Revenues 9-14'!C148,'Revenues 9-14'!D148)</f>
        <v>0</v>
      </c>
      <c r="G110" s="909"/>
    </row>
    <row r="111" spans="1:7" x14ac:dyDescent="0.2">
      <c r="A111" s="905" t="s">
        <v>668</v>
      </c>
      <c r="B111" s="905" t="s">
        <v>2003</v>
      </c>
      <c r="C111" s="919">
        <v>3500</v>
      </c>
      <c r="D111" s="908" t="str">
        <f>'Revenues 9-14'!A155</f>
        <v>Total Transportation</v>
      </c>
      <c r="E111" s="903"/>
      <c r="F111" s="1711">
        <f>SUM('Revenues 9-14'!C155,'Revenues 9-14'!D155,'Revenues 9-14'!F155,'Revenues 9-14'!G155)</f>
        <v>0</v>
      </c>
      <c r="G111" s="909"/>
    </row>
    <row r="112" spans="1:7" x14ac:dyDescent="0.2">
      <c r="A112" s="905" t="s">
        <v>459</v>
      </c>
      <c r="B112" s="905" t="s">
        <v>2004</v>
      </c>
      <c r="C112" s="917">
        <f>'Revenues 9-14'!B156</f>
        <v>3610</v>
      </c>
      <c r="D112" s="908" t="str">
        <f>'Revenues 9-14'!A156</f>
        <v>Learning Improvement - Change Grants</v>
      </c>
      <c r="E112" s="903"/>
      <c r="F112" s="1711">
        <f>'Revenues 9-14'!C156</f>
        <v>0</v>
      </c>
      <c r="G112" s="909"/>
    </row>
    <row r="113" spans="1:7" x14ac:dyDescent="0.2">
      <c r="A113" s="905" t="s">
        <v>668</v>
      </c>
      <c r="B113" s="905" t="s">
        <v>2005</v>
      </c>
      <c r="C113" s="917">
        <f>'Revenues 9-14'!B157</f>
        <v>3660</v>
      </c>
      <c r="D113" s="908" t="str">
        <f>'Revenues 9-14'!A157</f>
        <v>Scientific Literacy</v>
      </c>
      <c r="E113" s="903"/>
      <c r="F113" s="1711">
        <f>SUM('Revenues 9-14'!C157,'Revenues 9-14'!D157,'Revenues 9-14'!F157,'Revenues 9-14'!G157)</f>
        <v>0</v>
      </c>
      <c r="G113" s="909"/>
    </row>
    <row r="114" spans="1:7" x14ac:dyDescent="0.2">
      <c r="A114" s="905" t="s">
        <v>5</v>
      </c>
      <c r="B114" s="905" t="s">
        <v>2006</v>
      </c>
      <c r="C114" s="917">
        <f>'Revenues 9-14'!B158</f>
        <v>3695</v>
      </c>
      <c r="D114" s="908" t="str">
        <f>'Revenues 9-14'!A158</f>
        <v>Truant Alternative/Optional Education</v>
      </c>
      <c r="E114" s="903"/>
      <c r="F114" s="1711">
        <f>SUM('Revenues 9-14'!C158,'Revenues 9-14'!F158,'Revenues 9-14'!G158)</f>
        <v>0</v>
      </c>
      <c r="G114" s="909"/>
    </row>
    <row r="115" spans="1:7" x14ac:dyDescent="0.2">
      <c r="A115" s="905" t="s">
        <v>668</v>
      </c>
      <c r="B115" s="905" t="s">
        <v>2007</v>
      </c>
      <c r="C115" s="917">
        <f>'Revenues 9-14'!B160</f>
        <v>3766</v>
      </c>
      <c r="D115" s="908" t="str">
        <f>'Revenues 9-14'!A160</f>
        <v>Chicago General Education Block Grant</v>
      </c>
      <c r="E115" s="903"/>
      <c r="F115" s="1711">
        <f>SUM('Revenues 9-14'!C160,'Revenues 9-14'!D160,'Revenues 9-14'!F160,'Revenues 9-14'!G160)</f>
        <v>0</v>
      </c>
      <c r="G115" s="909"/>
    </row>
    <row r="116" spans="1:7" x14ac:dyDescent="0.2">
      <c r="A116" s="905" t="s">
        <v>668</v>
      </c>
      <c r="B116" s="905" t="s">
        <v>2008</v>
      </c>
      <c r="C116" s="917">
        <f>'Revenues 9-14'!B161</f>
        <v>3767</v>
      </c>
      <c r="D116" s="908" t="str">
        <f>'Revenues 9-14'!A161</f>
        <v>Chicago Educational Services Block Grant</v>
      </c>
      <c r="E116" s="903"/>
      <c r="F116" s="1711">
        <f>SUM('Revenues 9-14'!C161,'Revenues 9-14'!D161,'Revenues 9-14'!F161,'Revenues 9-14'!G161)</f>
        <v>0</v>
      </c>
      <c r="G116" s="909"/>
    </row>
    <row r="117" spans="1:7" x14ac:dyDescent="0.2">
      <c r="A117" s="920" t="s">
        <v>1009</v>
      </c>
      <c r="B117" s="920" t="s">
        <v>2009</v>
      </c>
      <c r="C117" s="921">
        <f>'Revenues 9-14'!B162</f>
        <v>3775</v>
      </c>
      <c r="D117" s="922" t="str">
        <f>'Revenues 9-14'!A162</f>
        <v>School Safety &amp; Educational Improvement Block Grant</v>
      </c>
      <c r="E117" s="903"/>
      <c r="F117" s="1822">
        <f>SUM('Revenues 9-14'!C162,'Revenues 9-14'!D162,'Revenues 9-14'!E162,'Revenues 9-14'!F162,'Revenues 9-14'!G162)</f>
        <v>0</v>
      </c>
      <c r="G117" s="909"/>
    </row>
    <row r="118" spans="1:7" x14ac:dyDescent="0.2">
      <c r="A118" s="920" t="s">
        <v>1009</v>
      </c>
      <c r="B118" s="920" t="s">
        <v>2010</v>
      </c>
      <c r="C118" s="921">
        <f>'Revenues 9-14'!B163</f>
        <v>3780</v>
      </c>
      <c r="D118" s="922" t="str">
        <f>'Revenues 9-14'!A163</f>
        <v>Technology - Technology for Success</v>
      </c>
      <c r="E118" s="903"/>
      <c r="F118" s="1822">
        <f>SUM('Revenues 9-14'!C163:G163)</f>
        <v>0</v>
      </c>
      <c r="G118" s="909"/>
    </row>
    <row r="119" spans="1:7" x14ac:dyDescent="0.2">
      <c r="A119" s="920" t="s">
        <v>504</v>
      </c>
      <c r="B119" s="920" t="s">
        <v>2011</v>
      </c>
      <c r="C119" s="921">
        <f>'Revenues 9-14'!B164</f>
        <v>3815</v>
      </c>
      <c r="D119" s="922" t="str">
        <f>'Revenues 9-14'!A164</f>
        <v>State Charter Schools</v>
      </c>
      <c r="E119" s="903"/>
      <c r="F119" s="1822">
        <f>SUM('Revenues 9-14'!C164,'Revenues 9-14'!F164)</f>
        <v>0</v>
      </c>
      <c r="G119" s="909"/>
    </row>
    <row r="120" spans="1:7" x14ac:dyDescent="0.2">
      <c r="A120" s="924" t="s">
        <v>460</v>
      </c>
      <c r="B120" s="924" t="s">
        <v>2012</v>
      </c>
      <c r="C120" s="925">
        <f>'Revenues 9-14'!B167</f>
        <v>3925</v>
      </c>
      <c r="D120" s="926" t="str">
        <f>'Revenues 9-14'!A167</f>
        <v>School Infrastructure - Maintenance Projects</v>
      </c>
      <c r="E120" s="903"/>
      <c r="F120" s="1711">
        <f>'Revenues 9-14'!D167</f>
        <v>0</v>
      </c>
      <c r="G120" s="927"/>
    </row>
    <row r="121" spans="1:7" x14ac:dyDescent="0.2">
      <c r="A121" s="924" t="s">
        <v>500</v>
      </c>
      <c r="B121" s="924" t="s">
        <v>2013</v>
      </c>
      <c r="C121" s="925">
        <f>'Revenues 9-14'!B168</f>
        <v>3999</v>
      </c>
      <c r="D121" s="926" t="s">
        <v>543</v>
      </c>
      <c r="E121" s="928"/>
      <c r="F121" s="1711">
        <f>SUM('Revenues 9-14'!C168:G168,'Revenues 9-14'!J168)</f>
        <v>0</v>
      </c>
      <c r="G121" s="927"/>
    </row>
    <row r="122" spans="1:7" x14ac:dyDescent="0.2">
      <c r="A122" s="924" t="s">
        <v>459</v>
      </c>
      <c r="B122" s="924" t="s">
        <v>2014</v>
      </c>
      <c r="C122" s="929">
        <f>'Revenues 9-14'!B177</f>
        <v>4045</v>
      </c>
      <c r="D122" s="926" t="str">
        <f>'Revenues 9-14'!A177 &amp; " (Subtract)"</f>
        <v>Head Start (Subtract)</v>
      </c>
      <c r="E122" s="903"/>
      <c r="F122" s="1711">
        <f>SUM(-'Revenues 9-14'!C177)</f>
        <v>0</v>
      </c>
      <c r="G122" s="927"/>
    </row>
    <row r="123" spans="1:7" x14ac:dyDescent="0.2">
      <c r="A123" s="924" t="s">
        <v>668</v>
      </c>
      <c r="B123" s="924" t="s">
        <v>2015</v>
      </c>
      <c r="C123" s="929" t="s">
        <v>982</v>
      </c>
      <c r="D123" s="926" t="str">
        <f>('Revenues 9-14'!A181)</f>
        <v>Total Restricted Grants-In-Aid Received Directly from Federal Govt</v>
      </c>
      <c r="E123" s="903"/>
      <c r="F123" s="1711">
        <f>SUM('Revenues 9-14'!C181,'Revenues 9-14'!D181,'Revenues 9-14'!F181,'Revenues 9-14'!G181)</f>
        <v>0</v>
      </c>
      <c r="G123" s="927"/>
    </row>
    <row r="124" spans="1:7" x14ac:dyDescent="0.2">
      <c r="A124" s="924" t="s">
        <v>668</v>
      </c>
      <c r="B124" s="924" t="s">
        <v>2016</v>
      </c>
      <c r="C124" s="929">
        <v>4100</v>
      </c>
      <c r="D124" s="930" t="str">
        <f>'Revenues 9-14'!A188</f>
        <v>Total Title V</v>
      </c>
      <c r="E124" s="903"/>
      <c r="F124" s="1711">
        <f>SUM('Revenues 9-14'!C188,'Revenues 9-14'!D188,'Revenues 9-14'!F188,'Revenues 9-14'!G188)</f>
        <v>0</v>
      </c>
      <c r="G124" s="927"/>
    </row>
    <row r="125" spans="1:7" x14ac:dyDescent="0.2">
      <c r="A125" s="924" t="s">
        <v>664</v>
      </c>
      <c r="B125" s="924" t="s">
        <v>2017</v>
      </c>
      <c r="C125" s="929">
        <v>4200</v>
      </c>
      <c r="D125" s="926" t="str">
        <f>'Revenues 9-14'!A198</f>
        <v>Total Food Service</v>
      </c>
      <c r="E125" s="903"/>
      <c r="F125" s="1711">
        <f>SUM('Revenues 9-14'!C198,'Revenues 9-14'!G198)</f>
        <v>0</v>
      </c>
      <c r="G125" s="927"/>
    </row>
    <row r="126" spans="1:7" x14ac:dyDescent="0.2">
      <c r="A126" s="924" t="s">
        <v>668</v>
      </c>
      <c r="B126" s="924" t="s">
        <v>2018</v>
      </c>
      <c r="C126" s="929">
        <v>4300</v>
      </c>
      <c r="D126" s="930" t="str">
        <f>'Revenues 9-14'!A204</f>
        <v>Total Title I</v>
      </c>
      <c r="E126" s="903"/>
      <c r="F126" s="1711">
        <f>SUM('Revenues 9-14'!C204,'Revenues 9-14'!D204,'Revenues 9-14'!F204,'Revenues 9-14'!G204)</f>
        <v>0</v>
      </c>
      <c r="G126" s="927"/>
    </row>
    <row r="127" spans="1:7" x14ac:dyDescent="0.2">
      <c r="A127" s="924" t="s">
        <v>668</v>
      </c>
      <c r="B127" s="924" t="s">
        <v>2019</v>
      </c>
      <c r="C127" s="929">
        <v>4400</v>
      </c>
      <c r="D127" s="930" t="str">
        <f>'Revenues 9-14'!A209</f>
        <v>Total Title IV</v>
      </c>
      <c r="E127" s="903"/>
      <c r="F127" s="1711">
        <f>SUM('Revenues 9-14'!C209,'Revenues 9-14'!D209,'Revenues 9-14'!F209,'Revenues 9-14'!G209)</f>
        <v>0</v>
      </c>
      <c r="G127" s="927"/>
    </row>
    <row r="128" spans="1:7" x14ac:dyDescent="0.2">
      <c r="A128" s="924" t="s">
        <v>668</v>
      </c>
      <c r="B128" s="924" t="s">
        <v>2020</v>
      </c>
      <c r="C128" s="929">
        <f>'Revenues 9-14'!B213</f>
        <v>4620</v>
      </c>
      <c r="D128" s="930" t="str">
        <f>'Revenues 9-14'!A213</f>
        <v>Fed - Spec Education - IDEA - Flow Through</v>
      </c>
      <c r="E128" s="903"/>
      <c r="F128" s="1711">
        <f>SUM('Revenues 9-14'!C213:D213,'Revenues 9-14'!F213:G213)</f>
        <v>122553</v>
      </c>
      <c r="G128" s="927"/>
    </row>
    <row r="129" spans="1:7" x14ac:dyDescent="0.2">
      <c r="A129" s="924" t="s">
        <v>668</v>
      </c>
      <c r="B129" s="924" t="s">
        <v>2021</v>
      </c>
      <c r="C129" s="929">
        <f>'Revenues 9-14'!B214</f>
        <v>4625</v>
      </c>
      <c r="D129" s="930" t="str">
        <f>'Revenues 9-14'!A214</f>
        <v>Fed - Spec Education - IDEA - Room &amp; Board</v>
      </c>
      <c r="E129" s="903"/>
      <c r="F129" s="1711">
        <f>SUM('Revenues 9-14'!C214,'Revenues 9-14'!D214,'Revenues 9-14'!F214,'Revenues 9-14'!G214)</f>
        <v>0</v>
      </c>
      <c r="G129" s="927"/>
    </row>
    <row r="130" spans="1:7" x14ac:dyDescent="0.2">
      <c r="A130" s="924" t="s">
        <v>668</v>
      </c>
      <c r="B130" s="924" t="s">
        <v>2022</v>
      </c>
      <c r="C130" s="929">
        <f>'Revenues 9-14'!B215</f>
        <v>4630</v>
      </c>
      <c r="D130" s="930" t="str">
        <f>'Revenues 9-14'!A215</f>
        <v>Fed - Spec Education - IDEA - Discretionary</v>
      </c>
      <c r="E130" s="903"/>
      <c r="F130" s="1711">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11">
        <f>SUM('Revenues 9-14'!C216:D216,'Revenues 9-14'!F216:G216)</f>
        <v>0</v>
      </c>
      <c r="G131" s="927"/>
    </row>
    <row r="132" spans="1:7" x14ac:dyDescent="0.2">
      <c r="A132" s="924" t="s">
        <v>673</v>
      </c>
      <c r="B132" s="924" t="s">
        <v>2023</v>
      </c>
      <c r="C132" s="929">
        <v>4700</v>
      </c>
      <c r="D132" s="926" t="str">
        <f>'Revenues 9-14'!A221</f>
        <v>Total CTE - Perkins</v>
      </c>
      <c r="E132" s="903"/>
      <c r="F132" s="1711">
        <f>SUM('Revenues 9-14'!C221,'Revenues 9-14'!D221,'Revenues 9-14'!G221)</f>
        <v>0</v>
      </c>
      <c r="G132" s="927">
        <v>6303</v>
      </c>
    </row>
    <row r="133" spans="1:7" s="864" customFormat="1" hidden="1" x14ac:dyDescent="0.2">
      <c r="A133" s="931" t="s">
        <v>206</v>
      </c>
      <c r="B133" s="931" t="s">
        <v>2024</v>
      </c>
      <c r="C133" s="932" t="s">
        <v>207</v>
      </c>
      <c r="D133" s="933" t="str">
        <f>'Revenues 9-14'!A224</f>
        <v>ARRA - Title I - Low Income</v>
      </c>
      <c r="E133" s="934"/>
      <c r="F133" s="1822">
        <f>SUM('Revenues 9-14'!$C$224:$D$224,'Revenues 9-14'!$F$224:$G$224)</f>
        <v>0</v>
      </c>
      <c r="G133" s="902"/>
    </row>
    <row r="134" spans="1:7" s="864" customFormat="1" hidden="1" x14ac:dyDescent="0.2">
      <c r="A134" s="931" t="s">
        <v>206</v>
      </c>
      <c r="B134" s="931" t="s">
        <v>2025</v>
      </c>
      <c r="C134" s="932" t="s">
        <v>208</v>
      </c>
      <c r="D134" s="933" t="str">
        <f>'Revenues 9-14'!A225</f>
        <v>ARRA - Title I - Neglected, Private</v>
      </c>
      <c r="E134" s="934"/>
      <c r="F134" s="1711">
        <f>SUM('Revenues 9-14'!C225:G225,'Revenues 9-14'!J225)</f>
        <v>0</v>
      </c>
      <c r="G134" s="902"/>
    </row>
    <row r="135" spans="1:7" s="864" customFormat="1" hidden="1" x14ac:dyDescent="0.2">
      <c r="A135" s="931" t="s">
        <v>206</v>
      </c>
      <c r="B135" s="931" t="s">
        <v>2026</v>
      </c>
      <c r="C135" s="932" t="s">
        <v>209</v>
      </c>
      <c r="D135" s="933" t="str">
        <f>'Revenues 9-14'!A226</f>
        <v>ARRA - Title I - Delinquent, Private</v>
      </c>
      <c r="E135" s="934"/>
      <c r="F135" s="1711">
        <f>SUM('Revenues 9-14'!C226:G226,'Revenues 9-14'!J226)</f>
        <v>0</v>
      </c>
      <c r="G135" s="902"/>
    </row>
    <row r="136" spans="1:7" s="864" customFormat="1" hidden="1" x14ac:dyDescent="0.2">
      <c r="A136" s="931" t="s">
        <v>206</v>
      </c>
      <c r="B136" s="931" t="s">
        <v>2027</v>
      </c>
      <c r="C136" s="932" t="s">
        <v>210</v>
      </c>
      <c r="D136" s="933" t="str">
        <f>'Revenues 9-14'!A227</f>
        <v>ARRA - Title I - School Improvement (Part A)</v>
      </c>
      <c r="E136" s="934"/>
      <c r="F136" s="1711">
        <f>SUM('Revenues 9-14'!C227:G227,'Revenues 9-14'!J227)</f>
        <v>0</v>
      </c>
      <c r="G136" s="902"/>
    </row>
    <row r="137" spans="1:7" s="864" customFormat="1" hidden="1" x14ac:dyDescent="0.2">
      <c r="A137" s="931" t="s">
        <v>206</v>
      </c>
      <c r="B137" s="931" t="s">
        <v>2028</v>
      </c>
      <c r="C137" s="932" t="s">
        <v>211</v>
      </c>
      <c r="D137" s="933" t="str">
        <f>'Revenues 9-14'!A228</f>
        <v>ARRA - Title I - School Improvement (Section 1003g)</v>
      </c>
      <c r="E137" s="934"/>
      <c r="F137" s="1711">
        <f>SUM('Revenues 9-14'!C228:G228,'Revenues 9-14'!J228)</f>
        <v>0</v>
      </c>
      <c r="G137" s="902"/>
    </row>
    <row r="138" spans="1:7" s="864" customFormat="1" hidden="1" x14ac:dyDescent="0.2">
      <c r="A138" s="931" t="s">
        <v>206</v>
      </c>
      <c r="B138" s="931" t="s">
        <v>2029</v>
      </c>
      <c r="C138" s="932" t="s">
        <v>212</v>
      </c>
      <c r="D138" s="933" t="str">
        <f>'Revenues 9-14'!A229</f>
        <v>ARRA - IDEA - Part B - Preschool</v>
      </c>
      <c r="E138" s="934"/>
      <c r="F138" s="1711">
        <v>0</v>
      </c>
      <c r="G138" s="902"/>
    </row>
    <row r="139" spans="1:7" s="864" customFormat="1" hidden="1" x14ac:dyDescent="0.2">
      <c r="A139" s="931" t="s">
        <v>206</v>
      </c>
      <c r="B139" s="931" t="s">
        <v>2030</v>
      </c>
      <c r="C139" s="932" t="s">
        <v>213</v>
      </c>
      <c r="D139" s="933" t="str">
        <f>'Revenues 9-14'!A230</f>
        <v>ARRA - IDEA - Part B - Flow-Through</v>
      </c>
      <c r="E139" s="934"/>
      <c r="F139" s="1711">
        <f>SUM('Revenues 9-14'!C230:G230,'Revenues 9-14'!J230)</f>
        <v>0</v>
      </c>
      <c r="G139" s="902"/>
    </row>
    <row r="140" spans="1:7" s="864" customFormat="1" hidden="1" x14ac:dyDescent="0.2">
      <c r="A140" s="931" t="s">
        <v>206</v>
      </c>
      <c r="B140" s="931" t="s">
        <v>2031</v>
      </c>
      <c r="C140" s="932" t="s">
        <v>214</v>
      </c>
      <c r="D140" s="933" t="str">
        <f>'Revenues 9-14'!A231</f>
        <v>ARRA - Title IID - Technology-Formula</v>
      </c>
      <c r="E140" s="934"/>
      <c r="F140" s="1711">
        <f>SUM('Revenues 9-14'!C231:G231,'Revenues 9-14'!J231)</f>
        <v>0</v>
      </c>
      <c r="G140" s="902"/>
    </row>
    <row r="141" spans="1:7" s="864" customFormat="1" hidden="1" x14ac:dyDescent="0.2">
      <c r="A141" s="931" t="s">
        <v>206</v>
      </c>
      <c r="B141" s="931" t="s">
        <v>2032</v>
      </c>
      <c r="C141" s="932" t="s">
        <v>216</v>
      </c>
      <c r="D141" s="933" t="str">
        <f>'Revenues 9-14'!A232</f>
        <v>ARRA - Title IID - Technology-Competitive</v>
      </c>
      <c r="E141" s="934"/>
      <c r="F141" s="1711">
        <f>SUM('Revenues 9-14'!C232:G232,'Revenues 9-14'!J232)</f>
        <v>0</v>
      </c>
      <c r="G141" s="902"/>
    </row>
    <row r="142" spans="1:7" s="864" customFormat="1" hidden="1" x14ac:dyDescent="0.2">
      <c r="A142" s="931" t="s">
        <v>668</v>
      </c>
      <c r="B142" s="931" t="s">
        <v>2033</v>
      </c>
      <c r="C142" s="932" t="s">
        <v>217</v>
      </c>
      <c r="D142" s="933" t="str">
        <f>'Revenues 9-14'!A233</f>
        <v>ARRA - McKinney - Vento Homeless Education</v>
      </c>
      <c r="E142" s="934"/>
      <c r="F142" s="1711">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11">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11">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11">
        <f>SUM('Revenues 9-14'!C239:G239,'Revenues 9-14'!J239)</f>
        <v>0</v>
      </c>
      <c r="G145" s="902"/>
    </row>
    <row r="146" spans="1:7" s="864" customFormat="1" hidden="1" x14ac:dyDescent="0.2">
      <c r="A146" s="931" t="s">
        <v>206</v>
      </c>
      <c r="B146" s="931" t="s">
        <v>2034</v>
      </c>
      <c r="C146" s="932" t="s">
        <v>223</v>
      </c>
      <c r="D146" s="933" t="str">
        <f>'Revenues 9-14'!A240</f>
        <v>Build America Bond Interest Reimbursement</v>
      </c>
      <c r="E146" s="934"/>
      <c r="F146" s="1711">
        <f>SUM('Revenues 9-14'!C240:G240,'Revenues 9-14'!J240)</f>
        <v>0</v>
      </c>
      <c r="G146" s="902"/>
    </row>
    <row r="147" spans="1:7" s="864" customFormat="1" hidden="1" x14ac:dyDescent="0.2">
      <c r="A147" s="931" t="s">
        <v>206</v>
      </c>
      <c r="B147" s="931" t="s">
        <v>2035</v>
      </c>
      <c r="C147" s="932" t="s">
        <v>225</v>
      </c>
      <c r="D147" s="933" t="str">
        <f>'Revenues 9-14'!A242</f>
        <v>Other ARRA Funds - II</v>
      </c>
      <c r="E147" s="934"/>
      <c r="F147" s="1711">
        <f>SUM('Revenues 9-14'!C242:G242,'Revenues 9-14'!J242)</f>
        <v>0</v>
      </c>
      <c r="G147" s="902"/>
    </row>
    <row r="148" spans="1:7" s="864" customFormat="1" hidden="1" x14ac:dyDescent="0.2">
      <c r="A148" s="931" t="s">
        <v>206</v>
      </c>
      <c r="B148" s="931" t="s">
        <v>2036</v>
      </c>
      <c r="C148" s="932" t="s">
        <v>226</v>
      </c>
      <c r="D148" s="933" t="str">
        <f>'Revenues 9-14'!A243</f>
        <v>Other ARRA Funds - III</v>
      </c>
      <c r="E148" s="934"/>
      <c r="F148" s="1711">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11">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11">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11">
        <v>0</v>
      </c>
      <c r="G151" s="902"/>
    </row>
    <row r="152" spans="1:7" s="864" customFormat="1" hidden="1" x14ac:dyDescent="0.2">
      <c r="A152" s="931" t="s">
        <v>206</v>
      </c>
      <c r="B152" s="931" t="s">
        <v>1417</v>
      </c>
      <c r="C152" s="932" t="s">
        <v>233</v>
      </c>
      <c r="D152" s="933" t="str">
        <f>'Revenues 9-14'!A247</f>
        <v>Other ARRA Funds VII</v>
      </c>
      <c r="E152" s="934"/>
      <c r="F152" s="1711">
        <f>SUM('Revenues 9-14'!C247:G247,'Revenues 9-14'!J247)</f>
        <v>0</v>
      </c>
      <c r="G152" s="902"/>
    </row>
    <row r="153" spans="1:7" s="864" customFormat="1" hidden="1" x14ac:dyDescent="0.2">
      <c r="A153" s="931" t="s">
        <v>206</v>
      </c>
      <c r="B153" s="931" t="s">
        <v>2037</v>
      </c>
      <c r="C153" s="932" t="s">
        <v>234</v>
      </c>
      <c r="D153" s="933" t="str">
        <f>'Revenues 9-14'!A248</f>
        <v>Other ARRA Funds VIII</v>
      </c>
      <c r="E153" s="934"/>
      <c r="F153" s="1711">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11">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11">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11">
        <f>SUM('Revenues 9-14'!C251:G251,'Revenues 9-14'!J251)</f>
        <v>0</v>
      </c>
      <c r="G156" s="902"/>
    </row>
    <row r="157" spans="1:7" s="864" customFormat="1" x14ac:dyDescent="0.2">
      <c r="A157" s="935" t="s">
        <v>500</v>
      </c>
      <c r="B157" s="936" t="s">
        <v>2038</v>
      </c>
      <c r="C157" s="937" t="s">
        <v>841</v>
      </c>
      <c r="D157" s="938" t="s">
        <v>777</v>
      </c>
      <c r="E157" s="939"/>
      <c r="F157" s="1711">
        <f>SUM(F133:F156)</f>
        <v>0</v>
      </c>
      <c r="G157" s="902"/>
    </row>
    <row r="158" spans="1:7" s="864" customFormat="1" x14ac:dyDescent="0.2">
      <c r="A158" s="935" t="s">
        <v>459</v>
      </c>
      <c r="B158" s="936" t="s">
        <v>2039</v>
      </c>
      <c r="C158" s="937" t="s">
        <v>1427</v>
      </c>
      <c r="D158" s="938" t="s">
        <v>1428</v>
      </c>
      <c r="E158" s="939"/>
      <c r="F158" s="1711">
        <f>SUM('Revenues 9-14'!C253)</f>
        <v>0</v>
      </c>
      <c r="G158" s="902"/>
    </row>
    <row r="159" spans="1:7" s="864" customFormat="1" x14ac:dyDescent="0.2">
      <c r="A159" s="935" t="s">
        <v>500</v>
      </c>
      <c r="B159" s="936" t="s">
        <v>2040</v>
      </c>
      <c r="C159" s="937" t="s">
        <v>1466</v>
      </c>
      <c r="D159" s="938" t="s">
        <v>1467</v>
      </c>
      <c r="E159" s="939"/>
      <c r="F159" s="1711">
        <f>SUM('Revenues 9-14'!C254:H254,'Revenues 9-14'!J254:K254)</f>
        <v>0</v>
      </c>
      <c r="G159" s="902"/>
    </row>
    <row r="160" spans="1:7" x14ac:dyDescent="0.2">
      <c r="A160" s="924" t="s">
        <v>5</v>
      </c>
      <c r="B160" s="924" t="s">
        <v>2041</v>
      </c>
      <c r="C160" s="929">
        <f>'Revenues 9-14'!B255</f>
        <v>4905</v>
      </c>
      <c r="D160" s="926" t="str">
        <f>'Revenues 9-14'!A255</f>
        <v>Title III - Immigrant Education Program (IEP)</v>
      </c>
      <c r="E160" s="903"/>
      <c r="F160" s="1711">
        <f>SUM('Revenues 9-14'!C255,'Revenues 9-14'!F255,'Revenues 9-14'!G255)</f>
        <v>0</v>
      </c>
      <c r="G160" s="940">
        <v>6306</v>
      </c>
    </row>
    <row r="161" spans="1:7" x14ac:dyDescent="0.2">
      <c r="A161" s="924" t="s">
        <v>5</v>
      </c>
      <c r="B161" s="924" t="s">
        <v>2042</v>
      </c>
      <c r="C161" s="929">
        <f>'Revenues 9-14'!B256</f>
        <v>4909</v>
      </c>
      <c r="D161" s="926" t="str">
        <f>'Revenues 9-14'!A256</f>
        <v>Title III - Language Inst Program - Limited Eng (LIPLEP)</v>
      </c>
      <c r="E161" s="903"/>
      <c r="F161" s="1711">
        <f>SUM('Revenues 9-14'!C256,'Revenues 9-14'!F256,'Revenues 9-14'!G256)</f>
        <v>0</v>
      </c>
      <c r="G161" s="940"/>
    </row>
    <row r="162" spans="1:7" x14ac:dyDescent="0.2">
      <c r="A162" s="924" t="s">
        <v>668</v>
      </c>
      <c r="B162" s="924" t="s">
        <v>2043</v>
      </c>
      <c r="C162" s="929">
        <f>'Revenues 9-14'!B257</f>
        <v>4920</v>
      </c>
      <c r="D162" s="926" t="str">
        <f>'Revenues 9-14'!A257</f>
        <v>McKinney Education for Homeless Children</v>
      </c>
      <c r="E162" s="903"/>
      <c r="F162" s="1711">
        <f>SUM('Revenues 9-14'!C257,'Revenues 9-14'!D257,'Revenues 9-14'!F257,'Revenues 9-14'!G257)</f>
        <v>0</v>
      </c>
      <c r="G162" s="927"/>
    </row>
    <row r="163" spans="1:7" x14ac:dyDescent="0.2">
      <c r="A163" s="941" t="s">
        <v>668</v>
      </c>
      <c r="B163" s="941" t="s">
        <v>2044</v>
      </c>
      <c r="C163" s="942">
        <f>'Revenues 9-14'!B258</f>
        <v>4930</v>
      </c>
      <c r="D163" s="943" t="str">
        <f>'Revenues 9-14'!A258</f>
        <v>Title II - Eisenhower Professional Development Formula</v>
      </c>
      <c r="E163" s="923"/>
      <c r="F163" s="1822">
        <f>SUM('Revenues 9-14'!C258:D258,'Revenues 9-14'!F258,'Revenues 9-14'!G258)</f>
        <v>0</v>
      </c>
      <c r="G163" s="927"/>
    </row>
    <row r="164" spans="1:7" x14ac:dyDescent="0.2">
      <c r="A164" s="924" t="s">
        <v>668</v>
      </c>
      <c r="B164" s="924" t="s">
        <v>2045</v>
      </c>
      <c r="C164" s="929">
        <f>'Revenues 9-14'!B259</f>
        <v>4932</v>
      </c>
      <c r="D164" s="930" t="str">
        <f>'Revenues 9-14'!A259</f>
        <v>Title II - Teacher Quality</v>
      </c>
      <c r="E164" s="903"/>
      <c r="F164" s="1822">
        <f>SUM('Revenues 9-14'!C259,'Revenues 9-14'!D259,'Revenues 9-14'!F259,'Revenues 9-14'!G259)</f>
        <v>0</v>
      </c>
      <c r="G164" s="927"/>
    </row>
    <row r="165" spans="1:7" x14ac:dyDescent="0.2">
      <c r="A165" s="924" t="s">
        <v>668</v>
      </c>
      <c r="B165" s="924" t="s">
        <v>2046</v>
      </c>
      <c r="C165" s="929">
        <f>'Revenues 9-14'!B260</f>
        <v>4960</v>
      </c>
      <c r="D165" s="926" t="str">
        <f>'Revenues 9-14'!A260</f>
        <v>Federal Charter Schools</v>
      </c>
      <c r="E165" s="903"/>
      <c r="F165" s="1711">
        <f>SUM('Revenues 9-14'!C260:D260,'Revenues 9-14'!F260:G260)</f>
        <v>0</v>
      </c>
      <c r="G165" s="927"/>
    </row>
    <row r="166" spans="1:7" x14ac:dyDescent="0.2">
      <c r="A166" s="924" t="s">
        <v>668</v>
      </c>
      <c r="B166" s="924" t="s">
        <v>1991</v>
      </c>
      <c r="C166" s="929">
        <f>'Revenues 9-14'!B261</f>
        <v>4981</v>
      </c>
      <c r="D166" s="926" t="str">
        <f>'Revenues 9-14'!A261</f>
        <v>State Assessment Grants</v>
      </c>
      <c r="E166" s="903"/>
      <c r="F166" s="1711">
        <f>SUM('Revenues 9-14'!C261:D261,'Revenues 9-14'!F261:G261)</f>
        <v>0</v>
      </c>
      <c r="G166" s="927"/>
    </row>
    <row r="167" spans="1:7" x14ac:dyDescent="0.2">
      <c r="A167" s="924" t="s">
        <v>668</v>
      </c>
      <c r="B167" s="924" t="s">
        <v>1992</v>
      </c>
      <c r="C167" s="929">
        <f>'Revenues 9-14'!B262</f>
        <v>4982</v>
      </c>
      <c r="D167" s="926" t="str">
        <f>'Revenues 9-14'!A262</f>
        <v>Grant for State Assessments and Related Activities</v>
      </c>
      <c r="E167" s="903"/>
      <c r="F167" s="1711">
        <f>SUM('Revenues 9-14'!C262:D262,'Revenues 9-14'!F262:G262)</f>
        <v>0</v>
      </c>
      <c r="G167" s="927"/>
    </row>
    <row r="168" spans="1:7" x14ac:dyDescent="0.2">
      <c r="A168" s="924" t="s">
        <v>668</v>
      </c>
      <c r="B168" s="924" t="s">
        <v>2047</v>
      </c>
      <c r="C168" s="929">
        <f>'Revenues 9-14'!B263</f>
        <v>4991</v>
      </c>
      <c r="D168" s="930" t="str">
        <f>'Revenues 9-14'!A263</f>
        <v>Medicaid Matching Funds - Administrative Outreach</v>
      </c>
      <c r="E168" s="903"/>
      <c r="F168" s="1711">
        <f>SUM('Revenues 9-14'!C263:D263,'Revenues 9-14'!F263:G263)</f>
        <v>72043</v>
      </c>
      <c r="G168" s="944">
        <v>6320</v>
      </c>
    </row>
    <row r="169" spans="1:7" x14ac:dyDescent="0.2">
      <c r="A169" s="924" t="s">
        <v>668</v>
      </c>
      <c r="B169" s="924" t="s">
        <v>2048</v>
      </c>
      <c r="C169" s="929">
        <f>'Revenues 9-14'!B264</f>
        <v>4992</v>
      </c>
      <c r="D169" s="930" t="str">
        <f>'Revenues 9-14'!A264</f>
        <v>Medicaid Matching Funds - Fee-for-Service Program</v>
      </c>
      <c r="E169" s="903"/>
      <c r="F169" s="1711">
        <f>SUM('Revenues 9-14'!C264:D264,'Revenues 9-14'!F264:G264)</f>
        <v>198607</v>
      </c>
      <c r="G169" s="944"/>
    </row>
    <row r="170" spans="1:7" x14ac:dyDescent="0.2">
      <c r="A170" s="945" t="s">
        <v>668</v>
      </c>
      <c r="B170" s="941" t="s">
        <v>2049</v>
      </c>
      <c r="C170" s="942">
        <f>'Revenues 9-14'!B265</f>
        <v>4999</v>
      </c>
      <c r="D170" s="943" t="str">
        <f>'Revenues 9-14'!A265</f>
        <v>Other Restricted Revenue from Federal Sources (Describe &amp; Itemize)</v>
      </c>
      <c r="E170" s="903"/>
      <c r="F170" s="1711">
        <f>SUM('Revenues 9-14'!C265:D265,'Revenues 9-14'!F265:G265)</f>
        <v>24337</v>
      </c>
      <c r="G170" s="924"/>
    </row>
    <row r="171" spans="1:7" x14ac:dyDescent="0.2">
      <c r="A171" s="1833" t="s">
        <v>5</v>
      </c>
      <c r="B171" s="1834" t="s">
        <v>1914</v>
      </c>
      <c r="C171" s="1835">
        <v>3100</v>
      </c>
      <c r="D171" s="1836" t="s">
        <v>1916</v>
      </c>
      <c r="E171" s="903"/>
      <c r="F171" s="1821"/>
      <c r="G171" s="924"/>
    </row>
    <row r="172" spans="1:7" x14ac:dyDescent="0.2">
      <c r="A172" s="1833" t="s">
        <v>664</v>
      </c>
      <c r="B172" s="1834" t="s">
        <v>1914</v>
      </c>
      <c r="C172" s="1835">
        <v>3300</v>
      </c>
      <c r="D172" s="1836" t="s">
        <v>1917</v>
      </c>
      <c r="E172" s="903"/>
      <c r="F172" s="1821"/>
      <c r="G172" s="924"/>
    </row>
    <row r="173" spans="1:7" ht="6" customHeight="1" x14ac:dyDescent="0.2">
      <c r="A173" s="924"/>
      <c r="B173" s="924"/>
      <c r="C173" s="946"/>
      <c r="D173" s="924"/>
      <c r="E173" s="903"/>
      <c r="F173" s="947"/>
      <c r="G173" s="944"/>
    </row>
    <row r="174" spans="1:7" x14ac:dyDescent="0.2">
      <c r="A174" s="1692"/>
      <c r="B174" s="1706"/>
      <c r="C174" s="1707"/>
      <c r="D174" s="1708" t="s">
        <v>2050</v>
      </c>
      <c r="E174" s="1709" t="s">
        <v>958</v>
      </c>
      <c r="F174" s="1710">
        <f>SUM(F84:F132,F157:F172)</f>
        <v>435448</v>
      </c>
    </row>
    <row r="175" spans="1:7" ht="12" customHeight="1" x14ac:dyDescent="0.2">
      <c r="A175" s="1692"/>
      <c r="B175" s="1706"/>
      <c r="C175" s="1707"/>
      <c r="D175" s="1708" t="s">
        <v>2051</v>
      </c>
      <c r="E175" s="1709"/>
      <c r="F175" s="1711">
        <f>'PCTC-OEPP 27-28'!F77-F174</f>
        <v>4928148</v>
      </c>
    </row>
    <row r="176" spans="1:7" ht="12" customHeight="1" x14ac:dyDescent="0.2">
      <c r="A176" s="1692"/>
      <c r="B176" s="1706"/>
      <c r="C176" s="1707"/>
      <c r="D176" s="1708" t="s">
        <v>1812</v>
      </c>
      <c r="E176" s="1709"/>
      <c r="F176" s="1711">
        <f>'Cap Outlay Deprec 26'!I18</f>
        <v>28807</v>
      </c>
    </row>
    <row r="177" spans="1:7" ht="12" customHeight="1" x14ac:dyDescent="0.2">
      <c r="A177" s="1692"/>
      <c r="B177" s="1706"/>
      <c r="C177" s="1707"/>
      <c r="D177" s="1708" t="s">
        <v>2052</v>
      </c>
      <c r="E177" s="1709"/>
      <c r="F177" s="1711">
        <f>F175+F176</f>
        <v>4956955</v>
      </c>
    </row>
    <row r="178" spans="1:7" ht="12" customHeight="1" x14ac:dyDescent="0.2">
      <c r="A178" s="1692"/>
      <c r="B178" s="1712"/>
      <c r="C178" s="1707"/>
      <c r="D178" s="1708" t="str">
        <f>D78</f>
        <v>9 Month ADA from District Average Daily Attendance/Prior General State Aid Inquiry 2018-2019</v>
      </c>
      <c r="E178" s="1709"/>
      <c r="F178" s="1713">
        <f>'PCTC-OEPP 27-28'!F78</f>
        <v>0</v>
      </c>
      <c r="G178" s="927"/>
    </row>
    <row r="179" spans="1:7" ht="12" customHeight="1" thickBot="1" x14ac:dyDescent="0.25">
      <c r="A179" s="1692"/>
      <c r="B179" s="1712"/>
      <c r="C179" s="1707"/>
      <c r="D179" s="1708" t="s">
        <v>2053</v>
      </c>
      <c r="E179" s="1709" t="s">
        <v>1545</v>
      </c>
      <c r="F179" s="1714" t="e">
        <f>F177/F178</f>
        <v>#DIV/0!</v>
      </c>
      <c r="G179" s="853">
        <v>6323</v>
      </c>
    </row>
    <row r="180" spans="1:7" ht="12" thickTop="1" x14ac:dyDescent="0.2">
      <c r="B180" s="927"/>
      <c r="C180" s="946"/>
      <c r="D180" s="927"/>
      <c r="E180" s="946"/>
      <c r="F180" s="927"/>
      <c r="G180" s="948">
        <v>6326</v>
      </c>
    </row>
    <row r="181" spans="1:7" ht="12.2" customHeight="1" x14ac:dyDescent="0.2">
      <c r="A181" s="927" t="s">
        <v>1915</v>
      </c>
      <c r="B181" s="927"/>
      <c r="C181" s="946"/>
      <c r="D181" s="927"/>
      <c r="E181" s="946"/>
      <c r="F181" s="927"/>
      <c r="G181" s="927"/>
    </row>
    <row r="182" spans="1:7" s="1837" customFormat="1" ht="12.2" customHeight="1" x14ac:dyDescent="0.2">
      <c r="A182" s="1837" t="s">
        <v>1988</v>
      </c>
      <c r="B182" s="1838"/>
      <c r="C182" s="1839"/>
      <c r="D182" s="1838"/>
      <c r="E182" s="1839"/>
      <c r="F182" s="1838"/>
      <c r="G182" s="1838"/>
    </row>
    <row r="183" spans="1:7" s="1837" customFormat="1" ht="12.2" customHeight="1" x14ac:dyDescent="0.2">
      <c r="A183" s="1840" t="s">
        <v>1990</v>
      </c>
      <c r="C183" s="1839"/>
      <c r="D183" s="1838"/>
      <c r="E183" s="1839"/>
      <c r="F183" s="1838"/>
      <c r="G183" s="1838"/>
    </row>
    <row r="184" spans="1:7" ht="12" customHeight="1" x14ac:dyDescent="0.2">
      <c r="C184" s="946"/>
      <c r="D184" s="927"/>
      <c r="E184" s="946"/>
      <c r="F184" s="927"/>
      <c r="G184" s="927"/>
    </row>
    <row r="185" spans="1:7" x14ac:dyDescent="0.2">
      <c r="A185" s="1841" t="s">
        <v>1919</v>
      </c>
      <c r="B185" s="1842" t="s">
        <v>1918</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
    </sheetView>
  </sheetViews>
  <sheetFormatPr defaultRowHeight="15" x14ac:dyDescent="0.25"/>
  <cols>
    <col min="1" max="1" width="52" style="1464" customWidth="1"/>
    <col min="2" max="2" width="16.42578125" style="1465" bestFit="1" customWidth="1"/>
    <col min="3" max="3" width="33.7109375" style="1465" customWidth="1"/>
    <col min="4" max="4" width="16.28515625" style="1466" customWidth="1"/>
    <col min="5" max="5" width="30" style="1466" hidden="1" customWidth="1"/>
    <col min="6" max="6" width="23.5703125" style="1466" customWidth="1"/>
    <col min="7" max="7" width="23.28515625" style="1465" customWidth="1"/>
    <col min="8" max="16384" width="9.140625" style="1455"/>
  </cols>
  <sheetData>
    <row r="1" spans="1:7" ht="15" customHeight="1" x14ac:dyDescent="0.25">
      <c r="A1" s="1581" t="s">
        <v>1827</v>
      </c>
      <c r="B1" s="1582"/>
      <c r="C1" s="1582"/>
      <c r="D1" s="1582"/>
      <c r="E1" s="1582"/>
      <c r="F1" s="1582"/>
      <c r="G1" s="1582"/>
    </row>
    <row r="2" spans="1:7" x14ac:dyDescent="0.25">
      <c r="A2" s="1579"/>
      <c r="B2" s="1579"/>
      <c r="C2" s="1580" t="s">
        <v>979</v>
      </c>
      <c r="D2" s="1579"/>
      <c r="E2" s="1579"/>
      <c r="F2" s="1579"/>
      <c r="G2" s="1579"/>
    </row>
    <row r="3" spans="1:7" ht="5.25" customHeight="1" x14ac:dyDescent="0.25">
      <c r="A3" s="1467"/>
      <c r="B3" s="1467"/>
      <c r="C3" s="1467"/>
      <c r="D3" s="1467"/>
      <c r="E3" s="1467"/>
      <c r="F3" s="1467"/>
      <c r="G3" s="1467"/>
    </row>
    <row r="4" spans="1:7" ht="18.75" customHeight="1" x14ac:dyDescent="0.25">
      <c r="A4" s="2378" t="s">
        <v>1813</v>
      </c>
      <c r="B4" s="2379"/>
      <c r="C4" s="2379"/>
      <c r="D4" s="2379"/>
      <c r="E4" s="2379"/>
      <c r="F4" s="2379"/>
      <c r="G4" s="2380"/>
    </row>
    <row r="5" spans="1:7" x14ac:dyDescent="0.25">
      <c r="A5" s="2381"/>
      <c r="B5" s="2382"/>
      <c r="C5" s="2382"/>
      <c r="D5" s="2382"/>
      <c r="E5" s="2382"/>
      <c r="F5" s="2382"/>
      <c r="G5" s="2383"/>
    </row>
    <row r="6" spans="1:7" ht="18.75" x14ac:dyDescent="0.25">
      <c r="A6" s="1456" t="s">
        <v>1814</v>
      </c>
      <c r="B6" s="1457"/>
      <c r="C6" s="1457"/>
      <c r="D6" s="1457"/>
      <c r="E6" s="1457"/>
      <c r="F6" s="1457"/>
      <c r="G6" s="1458"/>
    </row>
    <row r="7" spans="1:7" ht="30.75" customHeight="1" x14ac:dyDescent="0.25">
      <c r="A7" s="2384" t="s">
        <v>1926</v>
      </c>
      <c r="B7" s="2385"/>
      <c r="C7" s="2385"/>
      <c r="D7" s="2385"/>
      <c r="E7" s="2385"/>
      <c r="F7" s="2385"/>
      <c r="G7" s="2386"/>
    </row>
    <row r="8" spans="1:7" ht="15.75" customHeight="1" x14ac:dyDescent="0.25">
      <c r="A8" s="2387" t="s">
        <v>1901</v>
      </c>
      <c r="B8" s="2388"/>
      <c r="C8" s="2388"/>
      <c r="D8" s="2388"/>
      <c r="E8" s="2388"/>
      <c r="F8" s="2388"/>
      <c r="G8" s="2389"/>
    </row>
    <row r="9" spans="1:7" ht="35.25" customHeight="1" x14ac:dyDescent="0.25">
      <c r="A9" s="2384" t="s">
        <v>1929</v>
      </c>
      <c r="B9" s="2385"/>
      <c r="C9" s="2385"/>
      <c r="D9" s="2385"/>
      <c r="E9" s="2385"/>
      <c r="F9" s="2385"/>
      <c r="G9" s="2386"/>
    </row>
    <row r="10" spans="1:7" ht="15" customHeight="1" x14ac:dyDescent="0.25">
      <c r="A10" s="1459" t="s">
        <v>1815</v>
      </c>
      <c r="B10" s="1460"/>
      <c r="C10" s="1460"/>
      <c r="D10" s="1460"/>
      <c r="E10" s="1460"/>
      <c r="F10" s="1460"/>
      <c r="G10" s="1461"/>
    </row>
    <row r="11" spans="1:7" ht="17.25" customHeight="1" x14ac:dyDescent="0.25">
      <c r="A11" s="2384" t="s">
        <v>1928</v>
      </c>
      <c r="B11" s="2385"/>
      <c r="C11" s="2385"/>
      <c r="D11" s="2385"/>
      <c r="E11" s="2385"/>
      <c r="F11" s="2385"/>
      <c r="G11" s="2386"/>
    </row>
    <row r="12" spans="1:7" ht="15" customHeight="1" x14ac:dyDescent="0.25">
      <c r="A12" s="1459" t="s">
        <v>1820</v>
      </c>
      <c r="B12" s="1460"/>
      <c r="C12" s="1460"/>
      <c r="D12" s="1460"/>
      <c r="E12" s="1460"/>
      <c r="F12" s="1460"/>
      <c r="G12" s="1461"/>
    </row>
    <row r="13" spans="1:7" ht="32.25" customHeight="1" x14ac:dyDescent="0.25">
      <c r="A13" s="2375" t="s">
        <v>1970</v>
      </c>
      <c r="B13" s="2376"/>
      <c r="C13" s="2376"/>
      <c r="D13" s="2376"/>
      <c r="E13" s="2376"/>
      <c r="F13" s="2376"/>
      <c r="G13" s="2377"/>
    </row>
    <row r="14" spans="1:7" x14ac:dyDescent="0.25">
      <c r="A14" s="1583" t="s">
        <v>1828</v>
      </c>
      <c r="B14" s="1584"/>
      <c r="C14" s="1584"/>
      <c r="D14" s="1584"/>
      <c r="E14" s="1584"/>
      <c r="F14" s="1584"/>
      <c r="G14" s="1585"/>
    </row>
    <row r="15" spans="1:7" ht="61.5" customHeight="1" x14ac:dyDescent="0.25">
      <c r="A15" s="1468" t="s">
        <v>1821</v>
      </c>
      <c r="B15" s="1468" t="s">
        <v>1822</v>
      </c>
      <c r="C15" s="1468" t="s">
        <v>1823</v>
      </c>
      <c r="D15" s="1469" t="s">
        <v>1824</v>
      </c>
      <c r="E15" s="1469" t="s">
        <v>1816</v>
      </c>
      <c r="F15" s="1469" t="s">
        <v>1825</v>
      </c>
      <c r="G15" s="1469" t="s">
        <v>1826</v>
      </c>
    </row>
    <row r="16" spans="1:7" x14ac:dyDescent="0.25">
      <c r="A16" s="1570" t="s">
        <v>1829</v>
      </c>
      <c r="B16" s="1571" t="s">
        <v>1819</v>
      </c>
      <c r="C16" s="1572" t="s">
        <v>1817</v>
      </c>
      <c r="D16" s="1573">
        <v>500000</v>
      </c>
      <c r="E16" s="1573">
        <f>IF(D16&lt;=25000,D16,IF(D16&gt;25000,25000,0))</f>
        <v>25000</v>
      </c>
      <c r="F16" s="157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74">
        <f>IF(F16=0,"0",D16-F16)</f>
        <v>475000</v>
      </c>
    </row>
    <row r="17" spans="1:8" x14ac:dyDescent="0.25">
      <c r="A17" s="2046" t="s">
        <v>2191</v>
      </c>
      <c r="B17" s="2047" t="s">
        <v>2190</v>
      </c>
      <c r="C17" s="2048" t="s">
        <v>2189</v>
      </c>
      <c r="D17" s="1766">
        <v>42875</v>
      </c>
      <c r="E17" s="1462">
        <f t="shared" ref="E17:E141" si="0">IF(D17&lt;=25000,D17,IF(D17&gt;25000,25000,0))</f>
        <v>25000</v>
      </c>
      <c r="F17" s="1847">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15">
        <f>IF(F17=0,0,D17-F17)</f>
        <v>17875</v>
      </c>
      <c r="H17" s="1569"/>
    </row>
    <row r="18" spans="1:8" x14ac:dyDescent="0.25">
      <c r="A18" s="2046"/>
      <c r="B18" s="2047"/>
      <c r="C18" s="2048"/>
      <c r="D18" s="1766"/>
      <c r="E18" s="1462">
        <f t="shared" ref="E18:E140" si="2">IF(D18&lt;=25000,D18,IF(D18&gt;25000,25000,0))</f>
        <v>0</v>
      </c>
      <c r="F18" s="1847">
        <f t="shared" si="1"/>
        <v>0</v>
      </c>
      <c r="G18" s="1715">
        <f t="shared" ref="G18:G140" si="3">IF(F18=0,0,D18-F18)</f>
        <v>0</v>
      </c>
    </row>
    <row r="19" spans="1:8" x14ac:dyDescent="0.25">
      <c r="A19" s="1575"/>
      <c r="B19" s="1849"/>
      <c r="C19" s="1578"/>
      <c r="D19" s="1766"/>
      <c r="E19" s="1462">
        <f t="shared" si="2"/>
        <v>0</v>
      </c>
      <c r="F19" s="1847">
        <f t="shared" si="1"/>
        <v>0</v>
      </c>
      <c r="G19" s="1715">
        <f t="shared" si="3"/>
        <v>0</v>
      </c>
    </row>
    <row r="20" spans="1:8" x14ac:dyDescent="0.25">
      <c r="A20" s="1575"/>
      <c r="B20" s="1849"/>
      <c r="C20" s="1578"/>
      <c r="D20" s="1766"/>
      <c r="E20" s="1462">
        <f t="shared" si="2"/>
        <v>0</v>
      </c>
      <c r="F20" s="1847">
        <f t="shared" si="1"/>
        <v>0</v>
      </c>
      <c r="G20" s="1715">
        <f t="shared" si="3"/>
        <v>0</v>
      </c>
    </row>
    <row r="21" spans="1:8" x14ac:dyDescent="0.25">
      <c r="A21" s="1575"/>
      <c r="B21" s="1849"/>
      <c r="C21" s="1578"/>
      <c r="D21" s="1766"/>
      <c r="E21" s="1462">
        <f t="shared" si="2"/>
        <v>0</v>
      </c>
      <c r="F21" s="1847">
        <f t="shared" si="1"/>
        <v>0</v>
      </c>
      <c r="G21" s="1715">
        <f t="shared" si="3"/>
        <v>0</v>
      </c>
    </row>
    <row r="22" spans="1:8" x14ac:dyDescent="0.25">
      <c r="A22" s="1575"/>
      <c r="B22" s="1849"/>
      <c r="C22" s="1578"/>
      <c r="D22" s="1766"/>
      <c r="E22" s="1462">
        <f t="shared" si="2"/>
        <v>0</v>
      </c>
      <c r="F22" s="1847">
        <f t="shared" si="1"/>
        <v>0</v>
      </c>
      <c r="G22" s="1715">
        <f t="shared" si="3"/>
        <v>0</v>
      </c>
    </row>
    <row r="23" spans="1:8" x14ac:dyDescent="0.25">
      <c r="A23" s="1575"/>
      <c r="B23" s="1849"/>
      <c r="C23" s="1578"/>
      <c r="D23" s="1766"/>
      <c r="E23" s="1462">
        <f t="shared" si="2"/>
        <v>0</v>
      </c>
      <c r="F23" s="1847">
        <f t="shared" si="1"/>
        <v>0</v>
      </c>
      <c r="G23" s="1715">
        <f t="shared" si="3"/>
        <v>0</v>
      </c>
    </row>
    <row r="24" spans="1:8" x14ac:dyDescent="0.25">
      <c r="A24" s="1575"/>
      <c r="B24" s="1849"/>
      <c r="C24" s="1578"/>
      <c r="D24" s="1766"/>
      <c r="E24" s="1462">
        <f t="shared" si="2"/>
        <v>0</v>
      </c>
      <c r="F24" s="1847">
        <f t="shared" si="1"/>
        <v>0</v>
      </c>
      <c r="G24" s="1715">
        <f t="shared" si="3"/>
        <v>0</v>
      </c>
    </row>
    <row r="25" spans="1:8" x14ac:dyDescent="0.25">
      <c r="A25" s="1575"/>
      <c r="B25" s="1849"/>
      <c r="C25" s="1578"/>
      <c r="D25" s="1766"/>
      <c r="E25" s="1462">
        <f t="shared" si="2"/>
        <v>0</v>
      </c>
      <c r="F25" s="1847">
        <f t="shared" si="1"/>
        <v>0</v>
      </c>
      <c r="G25" s="1715">
        <f t="shared" si="3"/>
        <v>0</v>
      </c>
    </row>
    <row r="26" spans="1:8" x14ac:dyDescent="0.25">
      <c r="A26" s="1575"/>
      <c r="B26" s="1849"/>
      <c r="C26" s="1576"/>
      <c r="D26" s="1766"/>
      <c r="E26" s="1462">
        <f t="shared" si="2"/>
        <v>0</v>
      </c>
      <c r="F26" s="1847">
        <f t="shared" si="1"/>
        <v>0</v>
      </c>
      <c r="G26" s="1715">
        <f t="shared" si="3"/>
        <v>0</v>
      </c>
    </row>
    <row r="27" spans="1:8" x14ac:dyDescent="0.25">
      <c r="A27" s="1575"/>
      <c r="B27" s="1849"/>
      <c r="C27" s="1576"/>
      <c r="D27" s="1766"/>
      <c r="E27" s="1462">
        <f t="shared" si="2"/>
        <v>0</v>
      </c>
      <c r="F27" s="1847">
        <f t="shared" si="1"/>
        <v>0</v>
      </c>
      <c r="G27" s="1715">
        <f t="shared" si="3"/>
        <v>0</v>
      </c>
    </row>
    <row r="28" spans="1:8" x14ac:dyDescent="0.25">
      <c r="A28" s="1575"/>
      <c r="B28" s="1849"/>
      <c r="C28" s="1576"/>
      <c r="D28" s="1766"/>
      <c r="E28" s="1462">
        <f t="shared" si="2"/>
        <v>0</v>
      </c>
      <c r="F28" s="1847">
        <f t="shared" si="1"/>
        <v>0</v>
      </c>
      <c r="G28" s="1715">
        <f t="shared" si="3"/>
        <v>0</v>
      </c>
    </row>
    <row r="29" spans="1:8" x14ac:dyDescent="0.25">
      <c r="A29" s="1575"/>
      <c r="B29" s="1849"/>
      <c r="C29" s="1576"/>
      <c r="D29" s="1766"/>
      <c r="E29" s="1462">
        <f t="shared" si="2"/>
        <v>0</v>
      </c>
      <c r="F29" s="1847">
        <f t="shared" si="1"/>
        <v>0</v>
      </c>
      <c r="G29" s="1715">
        <f t="shared" si="3"/>
        <v>0</v>
      </c>
    </row>
    <row r="30" spans="1:8" x14ac:dyDescent="0.25">
      <c r="A30" s="1575"/>
      <c r="B30" s="1849"/>
      <c r="C30" s="1576"/>
      <c r="D30" s="1766"/>
      <c r="E30" s="1462">
        <f t="shared" si="2"/>
        <v>0</v>
      </c>
      <c r="F30" s="1847">
        <f t="shared" si="1"/>
        <v>0</v>
      </c>
      <c r="G30" s="1715">
        <f t="shared" si="3"/>
        <v>0</v>
      </c>
    </row>
    <row r="31" spans="1:8" x14ac:dyDescent="0.25">
      <c r="A31" s="1575"/>
      <c r="B31" s="1849"/>
      <c r="C31" s="1576"/>
      <c r="D31" s="1766"/>
      <c r="E31" s="1462">
        <f t="shared" si="2"/>
        <v>0</v>
      </c>
      <c r="F31" s="1847">
        <f t="shared" si="1"/>
        <v>0</v>
      </c>
      <c r="G31" s="1715">
        <f t="shared" si="3"/>
        <v>0</v>
      </c>
    </row>
    <row r="32" spans="1:8" x14ac:dyDescent="0.25">
      <c r="A32" s="1575"/>
      <c r="B32" s="1849"/>
      <c r="C32" s="1576"/>
      <c r="D32" s="1766"/>
      <c r="E32" s="1462">
        <f t="shared" si="2"/>
        <v>0</v>
      </c>
      <c r="F32" s="1847">
        <f t="shared" si="1"/>
        <v>0</v>
      </c>
      <c r="G32" s="1715">
        <f t="shared" si="3"/>
        <v>0</v>
      </c>
    </row>
    <row r="33" spans="1:7" x14ac:dyDescent="0.25">
      <c r="A33" s="1575"/>
      <c r="B33" s="1849"/>
      <c r="C33" s="1576"/>
      <c r="D33" s="1766"/>
      <c r="E33" s="1462">
        <f t="shared" si="2"/>
        <v>0</v>
      </c>
      <c r="F33" s="1847">
        <f t="shared" si="1"/>
        <v>0</v>
      </c>
      <c r="G33" s="1715">
        <f t="shared" si="3"/>
        <v>0</v>
      </c>
    </row>
    <row r="34" spans="1:7" x14ac:dyDescent="0.25">
      <c r="A34" s="1575"/>
      <c r="B34" s="1849"/>
      <c r="C34" s="1576"/>
      <c r="D34" s="1766"/>
      <c r="E34" s="1462">
        <f t="shared" si="2"/>
        <v>0</v>
      </c>
      <c r="F34" s="1847">
        <f t="shared" si="1"/>
        <v>0</v>
      </c>
      <c r="G34" s="1715">
        <f t="shared" si="3"/>
        <v>0</v>
      </c>
    </row>
    <row r="35" spans="1:7" x14ac:dyDescent="0.25">
      <c r="A35" s="1575"/>
      <c r="B35" s="1849"/>
      <c r="C35" s="1576"/>
      <c r="D35" s="1766"/>
      <c r="E35" s="1462">
        <f t="shared" si="2"/>
        <v>0</v>
      </c>
      <c r="F35" s="1847">
        <f t="shared" si="1"/>
        <v>0</v>
      </c>
      <c r="G35" s="1715">
        <f t="shared" si="3"/>
        <v>0</v>
      </c>
    </row>
    <row r="36" spans="1:7" x14ac:dyDescent="0.25">
      <c r="A36" s="1575"/>
      <c r="B36" s="1849"/>
      <c r="C36" s="1576"/>
      <c r="D36" s="1766"/>
      <c r="E36" s="1462">
        <f t="shared" si="2"/>
        <v>0</v>
      </c>
      <c r="F36" s="1847">
        <f t="shared" si="1"/>
        <v>0</v>
      </c>
      <c r="G36" s="1715">
        <f t="shared" si="3"/>
        <v>0</v>
      </c>
    </row>
    <row r="37" spans="1:7" x14ac:dyDescent="0.25">
      <c r="A37" s="1575"/>
      <c r="B37" s="1849"/>
      <c r="C37" s="1576"/>
      <c r="D37" s="1766"/>
      <c r="E37" s="1462">
        <f t="shared" si="2"/>
        <v>0</v>
      </c>
      <c r="F37" s="1847">
        <f t="shared" si="1"/>
        <v>0</v>
      </c>
      <c r="G37" s="1715">
        <f t="shared" si="3"/>
        <v>0</v>
      </c>
    </row>
    <row r="38" spans="1:7" x14ac:dyDescent="0.25">
      <c r="A38" s="1575"/>
      <c r="B38" s="1850"/>
      <c r="C38" s="1576"/>
      <c r="D38" s="1766"/>
      <c r="E38" s="1462">
        <f t="shared" si="2"/>
        <v>0</v>
      </c>
      <c r="F38" s="1847">
        <f t="shared" si="1"/>
        <v>0</v>
      </c>
      <c r="G38" s="1715">
        <f t="shared" si="3"/>
        <v>0</v>
      </c>
    </row>
    <row r="39" spans="1:7" x14ac:dyDescent="0.25">
      <c r="A39" s="1575"/>
      <c r="B39" s="1850"/>
      <c r="C39" s="1576"/>
      <c r="D39" s="1766"/>
      <c r="E39" s="1462">
        <f t="shared" si="2"/>
        <v>0</v>
      </c>
      <c r="F39" s="1847">
        <f t="shared" si="1"/>
        <v>0</v>
      </c>
      <c r="G39" s="1715">
        <f t="shared" si="3"/>
        <v>0</v>
      </c>
    </row>
    <row r="40" spans="1:7" x14ac:dyDescent="0.25">
      <c r="A40" s="1575"/>
      <c r="B40" s="1850"/>
      <c r="C40" s="1576"/>
      <c r="D40" s="1766"/>
      <c r="E40" s="1462">
        <f t="shared" si="2"/>
        <v>0</v>
      </c>
      <c r="F40" s="1847">
        <f t="shared" si="1"/>
        <v>0</v>
      </c>
      <c r="G40" s="1715">
        <f t="shared" si="3"/>
        <v>0</v>
      </c>
    </row>
    <row r="41" spans="1:7" x14ac:dyDescent="0.25">
      <c r="A41" s="1575"/>
      <c r="B41" s="1850"/>
      <c r="C41" s="1576"/>
      <c r="D41" s="1766"/>
      <c r="E41" s="1462">
        <f t="shared" si="2"/>
        <v>0</v>
      </c>
      <c r="F41" s="1847">
        <f t="shared" si="1"/>
        <v>0</v>
      </c>
      <c r="G41" s="1715">
        <f t="shared" si="3"/>
        <v>0</v>
      </c>
    </row>
    <row r="42" spans="1:7" x14ac:dyDescent="0.25">
      <c r="A42" s="1575"/>
      <c r="B42" s="1850"/>
      <c r="C42" s="1576"/>
      <c r="D42" s="1766"/>
      <c r="E42" s="1462">
        <f t="shared" si="2"/>
        <v>0</v>
      </c>
      <c r="F42" s="1847">
        <f t="shared" si="1"/>
        <v>0</v>
      </c>
      <c r="G42" s="1715">
        <f t="shared" si="3"/>
        <v>0</v>
      </c>
    </row>
    <row r="43" spans="1:7" x14ac:dyDescent="0.25">
      <c r="A43" s="1575"/>
      <c r="B43" s="1850"/>
      <c r="C43" s="1576"/>
      <c r="D43" s="1766"/>
      <c r="E43" s="1462">
        <f t="shared" si="2"/>
        <v>0</v>
      </c>
      <c r="F43" s="1847">
        <f t="shared" si="1"/>
        <v>0</v>
      </c>
      <c r="G43" s="1715">
        <f t="shared" si="3"/>
        <v>0</v>
      </c>
    </row>
    <row r="44" spans="1:7" x14ac:dyDescent="0.25">
      <c r="A44" s="1575"/>
      <c r="B44" s="1850"/>
      <c r="C44" s="1576"/>
      <c r="D44" s="1766"/>
      <c r="E44" s="1462">
        <f t="shared" si="2"/>
        <v>0</v>
      </c>
      <c r="F44" s="1847">
        <f t="shared" si="1"/>
        <v>0</v>
      </c>
      <c r="G44" s="1715">
        <f t="shared" si="3"/>
        <v>0</v>
      </c>
    </row>
    <row r="45" spans="1:7" x14ac:dyDescent="0.25">
      <c r="A45" s="1575"/>
      <c r="B45" s="1850"/>
      <c r="C45" s="1576"/>
      <c r="D45" s="1766"/>
      <c r="E45" s="1462">
        <f t="shared" si="2"/>
        <v>0</v>
      </c>
      <c r="F45" s="1847">
        <f t="shared" si="1"/>
        <v>0</v>
      </c>
      <c r="G45" s="1715">
        <f t="shared" si="3"/>
        <v>0</v>
      </c>
    </row>
    <row r="46" spans="1:7" x14ac:dyDescent="0.25">
      <c r="A46" s="1575"/>
      <c r="B46" s="1589"/>
      <c r="C46" s="1576"/>
      <c r="D46" s="1766"/>
      <c r="E46" s="1462">
        <f t="shared" si="2"/>
        <v>0</v>
      </c>
      <c r="F46" s="1847">
        <f t="shared" si="1"/>
        <v>0</v>
      </c>
      <c r="G46" s="1715">
        <f t="shared" si="3"/>
        <v>0</v>
      </c>
    </row>
    <row r="47" spans="1:7" x14ac:dyDescent="0.25">
      <c r="A47" s="1575"/>
      <c r="B47" s="1589"/>
      <c r="C47" s="1576"/>
      <c r="D47" s="1766"/>
      <c r="E47" s="1462">
        <f t="shared" si="2"/>
        <v>0</v>
      </c>
      <c r="F47" s="1847">
        <f t="shared" si="1"/>
        <v>0</v>
      </c>
      <c r="G47" s="1715">
        <f t="shared" si="3"/>
        <v>0</v>
      </c>
    </row>
    <row r="48" spans="1:7" x14ac:dyDescent="0.25">
      <c r="A48" s="1575"/>
      <c r="B48" s="1589"/>
      <c r="C48" s="1576"/>
      <c r="D48" s="1766"/>
      <c r="E48" s="1462">
        <f t="shared" si="2"/>
        <v>0</v>
      </c>
      <c r="F48" s="1847">
        <f t="shared" si="1"/>
        <v>0</v>
      </c>
      <c r="G48" s="1715">
        <f t="shared" si="3"/>
        <v>0</v>
      </c>
    </row>
    <row r="49" spans="1:7" x14ac:dyDescent="0.25">
      <c r="A49" s="1575"/>
      <c r="B49" s="1589"/>
      <c r="C49" s="1576"/>
      <c r="D49" s="1766"/>
      <c r="E49" s="1462">
        <f t="shared" si="2"/>
        <v>0</v>
      </c>
      <c r="F49" s="1847">
        <f t="shared" si="1"/>
        <v>0</v>
      </c>
      <c r="G49" s="1715">
        <f t="shared" si="3"/>
        <v>0</v>
      </c>
    </row>
    <row r="50" spans="1:7" x14ac:dyDescent="0.25">
      <c r="A50" s="1575"/>
      <c r="B50" s="1589"/>
      <c r="C50" s="1576"/>
      <c r="D50" s="1766"/>
      <c r="E50" s="1462">
        <f t="shared" si="2"/>
        <v>0</v>
      </c>
      <c r="F50" s="1847">
        <f t="shared" si="1"/>
        <v>0</v>
      </c>
      <c r="G50" s="1715">
        <f t="shared" si="3"/>
        <v>0</v>
      </c>
    </row>
    <row r="51" spans="1:7" x14ac:dyDescent="0.25">
      <c r="A51" s="1575"/>
      <c r="B51" s="1589"/>
      <c r="C51" s="1576"/>
      <c r="D51" s="1766"/>
      <c r="E51" s="1462">
        <f t="shared" si="2"/>
        <v>0</v>
      </c>
      <c r="F51" s="1847">
        <f t="shared" si="1"/>
        <v>0</v>
      </c>
      <c r="G51" s="1715">
        <f t="shared" si="3"/>
        <v>0</v>
      </c>
    </row>
    <row r="52" spans="1:7" x14ac:dyDescent="0.25">
      <c r="A52" s="1575"/>
      <c r="B52" s="1589"/>
      <c r="C52" s="1576"/>
      <c r="D52" s="1766"/>
      <c r="E52" s="1462">
        <f t="shared" si="2"/>
        <v>0</v>
      </c>
      <c r="F52" s="1847">
        <f t="shared" si="1"/>
        <v>0</v>
      </c>
      <c r="G52" s="1715">
        <f t="shared" si="3"/>
        <v>0</v>
      </c>
    </row>
    <row r="53" spans="1:7" x14ac:dyDescent="0.25">
      <c r="A53" s="1575"/>
      <c r="B53" s="1589"/>
      <c r="C53" s="1576"/>
      <c r="D53" s="1766"/>
      <c r="E53" s="1462">
        <f t="shared" si="2"/>
        <v>0</v>
      </c>
      <c r="F53" s="1847">
        <f t="shared" si="1"/>
        <v>0</v>
      </c>
      <c r="G53" s="1715">
        <f t="shared" si="3"/>
        <v>0</v>
      </c>
    </row>
    <row r="54" spans="1:7" x14ac:dyDescent="0.25">
      <c r="A54" s="1575"/>
      <c r="B54" s="1589"/>
      <c r="C54" s="1576"/>
      <c r="D54" s="1766"/>
      <c r="E54" s="1462">
        <f t="shared" si="2"/>
        <v>0</v>
      </c>
      <c r="F54" s="1847">
        <f t="shared" si="1"/>
        <v>0</v>
      </c>
      <c r="G54" s="1715">
        <f t="shared" si="3"/>
        <v>0</v>
      </c>
    </row>
    <row r="55" spans="1:7" x14ac:dyDescent="0.25">
      <c r="A55" s="1575"/>
      <c r="B55" s="1589"/>
      <c r="C55" s="1576"/>
      <c r="D55" s="1766"/>
      <c r="E55" s="1462">
        <f t="shared" si="2"/>
        <v>0</v>
      </c>
      <c r="F55" s="1847">
        <f t="shared" si="1"/>
        <v>0</v>
      </c>
      <c r="G55" s="1715">
        <f t="shared" si="3"/>
        <v>0</v>
      </c>
    </row>
    <row r="56" spans="1:7" x14ac:dyDescent="0.25">
      <c r="A56" s="1575"/>
      <c r="B56" s="1589"/>
      <c r="C56" s="1576"/>
      <c r="D56" s="1766"/>
      <c r="E56" s="1462">
        <f t="shared" si="2"/>
        <v>0</v>
      </c>
      <c r="F56" s="1847">
        <f t="shared" si="1"/>
        <v>0</v>
      </c>
      <c r="G56" s="1715">
        <f t="shared" si="3"/>
        <v>0</v>
      </c>
    </row>
    <row r="57" spans="1:7" x14ac:dyDescent="0.25">
      <c r="A57" s="1575"/>
      <c r="B57" s="1589"/>
      <c r="C57" s="1576"/>
      <c r="D57" s="1766"/>
      <c r="E57" s="1462">
        <f t="shared" si="2"/>
        <v>0</v>
      </c>
      <c r="F57" s="1847">
        <f t="shared" si="1"/>
        <v>0</v>
      </c>
      <c r="G57" s="1715">
        <f t="shared" si="3"/>
        <v>0</v>
      </c>
    </row>
    <row r="58" spans="1:7" x14ac:dyDescent="0.25">
      <c r="A58" s="1575"/>
      <c r="B58" s="1589"/>
      <c r="C58" s="1576"/>
      <c r="D58" s="1766"/>
      <c r="E58" s="1462">
        <f t="shared" si="2"/>
        <v>0</v>
      </c>
      <c r="F58" s="1847">
        <f t="shared" si="1"/>
        <v>0</v>
      </c>
      <c r="G58" s="1715">
        <f t="shared" si="3"/>
        <v>0</v>
      </c>
    </row>
    <row r="59" spans="1:7" x14ac:dyDescent="0.25">
      <c r="A59" s="1575"/>
      <c r="B59" s="1589"/>
      <c r="C59" s="1576"/>
      <c r="D59" s="1766"/>
      <c r="E59" s="1462">
        <f t="shared" si="2"/>
        <v>0</v>
      </c>
      <c r="F59" s="1847">
        <f t="shared" si="1"/>
        <v>0</v>
      </c>
      <c r="G59" s="1715">
        <f t="shared" si="3"/>
        <v>0</v>
      </c>
    </row>
    <row r="60" spans="1:7" x14ac:dyDescent="0.25">
      <c r="A60" s="1575"/>
      <c r="B60" s="1589"/>
      <c r="C60" s="1576"/>
      <c r="D60" s="1766"/>
      <c r="E60" s="1462">
        <f t="shared" si="2"/>
        <v>0</v>
      </c>
      <c r="F60" s="1847">
        <f t="shared" si="1"/>
        <v>0</v>
      </c>
      <c r="G60" s="1715">
        <f t="shared" si="3"/>
        <v>0</v>
      </c>
    </row>
    <row r="61" spans="1:7" x14ac:dyDescent="0.25">
      <c r="A61" s="1575"/>
      <c r="B61" s="1589"/>
      <c r="C61" s="1576"/>
      <c r="D61" s="1766"/>
      <c r="E61" s="1462">
        <f t="shared" si="2"/>
        <v>0</v>
      </c>
      <c r="F61" s="1847">
        <f t="shared" si="1"/>
        <v>0</v>
      </c>
      <c r="G61" s="1715">
        <f t="shared" si="3"/>
        <v>0</v>
      </c>
    </row>
    <row r="62" spans="1:7" x14ac:dyDescent="0.25">
      <c r="A62" s="1575"/>
      <c r="B62" s="1589"/>
      <c r="C62" s="1576"/>
      <c r="D62" s="1766"/>
      <c r="E62" s="1462">
        <f t="shared" si="2"/>
        <v>0</v>
      </c>
      <c r="F62" s="1847">
        <f t="shared" si="1"/>
        <v>0</v>
      </c>
      <c r="G62" s="1715">
        <f t="shared" si="3"/>
        <v>0</v>
      </c>
    </row>
    <row r="63" spans="1:7" x14ac:dyDescent="0.25">
      <c r="A63" s="1575"/>
      <c r="B63" s="1589"/>
      <c r="C63" s="1576"/>
      <c r="D63" s="1766"/>
      <c r="E63" s="1462">
        <f t="shared" si="2"/>
        <v>0</v>
      </c>
      <c r="F63" s="1847">
        <f t="shared" si="1"/>
        <v>0</v>
      </c>
      <c r="G63" s="1715">
        <f t="shared" si="3"/>
        <v>0</v>
      </c>
    </row>
    <row r="64" spans="1:7" x14ac:dyDescent="0.25">
      <c r="A64" s="1577"/>
      <c r="B64" s="1589"/>
      <c r="C64" s="1578"/>
      <c r="D64" s="1766"/>
      <c r="E64" s="1462">
        <f t="shared" si="2"/>
        <v>0</v>
      </c>
      <c r="F64" s="1847">
        <f t="shared" si="1"/>
        <v>0</v>
      </c>
      <c r="G64" s="1715">
        <f t="shared" si="3"/>
        <v>0</v>
      </c>
    </row>
    <row r="65" spans="1:7" x14ac:dyDescent="0.25">
      <c r="A65" s="1575"/>
      <c r="B65" s="1589"/>
      <c r="C65" s="1576"/>
      <c r="D65" s="1766"/>
      <c r="E65" s="1462">
        <f t="shared" si="2"/>
        <v>0</v>
      </c>
      <c r="F65" s="1847">
        <f t="shared" si="1"/>
        <v>0</v>
      </c>
      <c r="G65" s="1715">
        <f t="shared" si="3"/>
        <v>0</v>
      </c>
    </row>
    <row r="66" spans="1:7" x14ac:dyDescent="0.25">
      <c r="A66" s="1575"/>
      <c r="B66" s="1589"/>
      <c r="C66" s="1576"/>
      <c r="D66" s="1766"/>
      <c r="E66" s="1462">
        <f t="shared" si="2"/>
        <v>0</v>
      </c>
      <c r="F66" s="1847">
        <f t="shared" si="1"/>
        <v>0</v>
      </c>
      <c r="G66" s="1715">
        <f t="shared" si="3"/>
        <v>0</v>
      </c>
    </row>
    <row r="67" spans="1:7" x14ac:dyDescent="0.25">
      <c r="A67" s="1575"/>
      <c r="B67" s="1589"/>
      <c r="C67" s="1576"/>
      <c r="D67" s="1766"/>
      <c r="E67" s="1462">
        <f t="shared" si="2"/>
        <v>0</v>
      </c>
      <c r="F67" s="1847">
        <f t="shared" si="1"/>
        <v>0</v>
      </c>
      <c r="G67" s="1715">
        <f t="shared" si="3"/>
        <v>0</v>
      </c>
    </row>
    <row r="68" spans="1:7" x14ac:dyDescent="0.25">
      <c r="A68" s="1575"/>
      <c r="B68" s="1589"/>
      <c r="C68" s="1576"/>
      <c r="D68" s="1766"/>
      <c r="E68" s="1462">
        <f t="shared" si="2"/>
        <v>0</v>
      </c>
      <c r="F68" s="1847">
        <f t="shared" si="1"/>
        <v>0</v>
      </c>
      <c r="G68" s="1715">
        <f t="shared" si="3"/>
        <v>0</v>
      </c>
    </row>
    <row r="69" spans="1:7" x14ac:dyDescent="0.25">
      <c r="A69" s="1575"/>
      <c r="B69" s="1589"/>
      <c r="C69" s="1576"/>
      <c r="D69" s="1766"/>
      <c r="E69" s="1462">
        <f t="shared" si="2"/>
        <v>0</v>
      </c>
      <c r="F69" s="1847">
        <f t="shared" si="1"/>
        <v>0</v>
      </c>
      <c r="G69" s="1715">
        <f t="shared" si="3"/>
        <v>0</v>
      </c>
    </row>
    <row r="70" spans="1:7" x14ac:dyDescent="0.25">
      <c r="A70" s="1575"/>
      <c r="B70" s="1589"/>
      <c r="C70" s="1576"/>
      <c r="D70" s="1766"/>
      <c r="E70" s="1462">
        <f t="shared" si="2"/>
        <v>0</v>
      </c>
      <c r="F70" s="1847">
        <f t="shared" si="1"/>
        <v>0</v>
      </c>
      <c r="G70" s="1715">
        <f t="shared" si="3"/>
        <v>0</v>
      </c>
    </row>
    <row r="71" spans="1:7" x14ac:dyDescent="0.25">
      <c r="A71" s="1575"/>
      <c r="B71" s="1589"/>
      <c r="C71" s="1576"/>
      <c r="D71" s="1766"/>
      <c r="E71" s="1462">
        <f t="shared" si="2"/>
        <v>0</v>
      </c>
      <c r="F71" s="1847">
        <f t="shared" si="1"/>
        <v>0</v>
      </c>
      <c r="G71" s="1715">
        <f t="shared" si="3"/>
        <v>0</v>
      </c>
    </row>
    <row r="72" spans="1:7" x14ac:dyDescent="0.25">
      <c r="A72" s="1575"/>
      <c r="B72" s="1589"/>
      <c r="C72" s="1576"/>
      <c r="D72" s="1766"/>
      <c r="E72" s="1462">
        <f t="shared" si="2"/>
        <v>0</v>
      </c>
      <c r="F72" s="1847">
        <f t="shared" si="1"/>
        <v>0</v>
      </c>
      <c r="G72" s="1715">
        <f t="shared" si="3"/>
        <v>0</v>
      </c>
    </row>
    <row r="73" spans="1:7" x14ac:dyDescent="0.25">
      <c r="A73" s="1575"/>
      <c r="B73" s="1589"/>
      <c r="C73" s="1576"/>
      <c r="D73" s="1766"/>
      <c r="E73" s="1462">
        <f t="shared" ref="E73:E84" si="4">IF(D73&lt;=25000,D73,IF(D73&gt;25000,25000,0))</f>
        <v>0</v>
      </c>
      <c r="F73" s="1847">
        <f t="shared" si="1"/>
        <v>0</v>
      </c>
      <c r="G73" s="1715">
        <f t="shared" ref="G73:G84" si="5">IF(F73=0,0,D73-F73)</f>
        <v>0</v>
      </c>
    </row>
    <row r="74" spans="1:7" x14ac:dyDescent="0.25">
      <c r="A74" s="1575"/>
      <c r="B74" s="1589"/>
      <c r="C74" s="1576"/>
      <c r="D74" s="1766"/>
      <c r="E74" s="1462">
        <f t="shared" si="4"/>
        <v>0</v>
      </c>
      <c r="F74" s="1847">
        <f t="shared" si="1"/>
        <v>0</v>
      </c>
      <c r="G74" s="1715">
        <f t="shared" si="5"/>
        <v>0</v>
      </c>
    </row>
    <row r="75" spans="1:7" x14ac:dyDescent="0.25">
      <c r="A75" s="1575"/>
      <c r="B75" s="1589"/>
      <c r="C75" s="1576"/>
      <c r="D75" s="1766"/>
      <c r="E75" s="1462">
        <f t="shared" si="4"/>
        <v>0</v>
      </c>
      <c r="F75" s="1847">
        <f t="shared" si="1"/>
        <v>0</v>
      </c>
      <c r="G75" s="1715">
        <f t="shared" si="5"/>
        <v>0</v>
      </c>
    </row>
    <row r="76" spans="1:7" x14ac:dyDescent="0.25">
      <c r="A76" s="1575"/>
      <c r="B76" s="1589"/>
      <c r="C76" s="1576"/>
      <c r="D76" s="1766"/>
      <c r="E76" s="1462">
        <f t="shared" si="4"/>
        <v>0</v>
      </c>
      <c r="F76" s="1847">
        <f t="shared" si="1"/>
        <v>0</v>
      </c>
      <c r="G76" s="1715">
        <f t="shared" si="5"/>
        <v>0</v>
      </c>
    </row>
    <row r="77" spans="1:7" x14ac:dyDescent="0.25">
      <c r="A77" s="1575"/>
      <c r="B77" s="1589"/>
      <c r="C77" s="1576"/>
      <c r="D77" s="1766"/>
      <c r="E77" s="1462">
        <f t="shared" si="4"/>
        <v>0</v>
      </c>
      <c r="F77" s="1847">
        <f t="shared" si="1"/>
        <v>0</v>
      </c>
      <c r="G77" s="1715">
        <f t="shared" si="5"/>
        <v>0</v>
      </c>
    </row>
    <row r="78" spans="1:7" x14ac:dyDescent="0.25">
      <c r="A78" s="1575"/>
      <c r="B78" s="1589"/>
      <c r="C78" s="1576"/>
      <c r="D78" s="1766"/>
      <c r="E78" s="1462">
        <f t="shared" si="4"/>
        <v>0</v>
      </c>
      <c r="F78" s="1847">
        <f t="shared" si="1"/>
        <v>0</v>
      </c>
      <c r="G78" s="1715">
        <f t="shared" si="5"/>
        <v>0</v>
      </c>
    </row>
    <row r="79" spans="1:7" x14ac:dyDescent="0.25">
      <c r="A79" s="1575"/>
      <c r="B79" s="1589"/>
      <c r="C79" s="1576"/>
      <c r="D79" s="1766"/>
      <c r="E79" s="1462">
        <f t="shared" si="4"/>
        <v>0</v>
      </c>
      <c r="F79" s="1847">
        <f t="shared" si="1"/>
        <v>0</v>
      </c>
      <c r="G79" s="1715">
        <f t="shared" si="5"/>
        <v>0</v>
      </c>
    </row>
    <row r="80" spans="1:7" x14ac:dyDescent="0.25">
      <c r="A80" s="1575"/>
      <c r="B80" s="1589"/>
      <c r="C80" s="1576"/>
      <c r="D80" s="1766"/>
      <c r="E80" s="1462">
        <f t="shared" si="4"/>
        <v>0</v>
      </c>
      <c r="F80" s="1847">
        <f t="shared" si="1"/>
        <v>0</v>
      </c>
      <c r="G80" s="1715">
        <f t="shared" si="5"/>
        <v>0</v>
      </c>
    </row>
    <row r="81" spans="1:7" x14ac:dyDescent="0.25">
      <c r="A81" s="1575"/>
      <c r="B81" s="1589"/>
      <c r="C81" s="1576"/>
      <c r="D81" s="1766"/>
      <c r="E81" s="1462">
        <f t="shared" si="4"/>
        <v>0</v>
      </c>
      <c r="F81" s="1847">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15">
        <f t="shared" si="5"/>
        <v>0</v>
      </c>
    </row>
    <row r="82" spans="1:7" x14ac:dyDescent="0.25">
      <c r="A82" s="1575"/>
      <c r="B82" s="1589"/>
      <c r="C82" s="1576"/>
      <c r="D82" s="1766"/>
      <c r="E82" s="1462">
        <f t="shared" si="4"/>
        <v>0</v>
      </c>
      <c r="F82" s="1847">
        <f t="shared" si="6"/>
        <v>0</v>
      </c>
      <c r="G82" s="1715">
        <f t="shared" si="5"/>
        <v>0</v>
      </c>
    </row>
    <row r="83" spans="1:7" x14ac:dyDescent="0.25">
      <c r="A83" s="1575"/>
      <c r="B83" s="1589"/>
      <c r="C83" s="1576"/>
      <c r="D83" s="1766"/>
      <c r="E83" s="1462">
        <f t="shared" si="4"/>
        <v>0</v>
      </c>
      <c r="F83" s="1847">
        <f t="shared" si="6"/>
        <v>0</v>
      </c>
      <c r="G83" s="1715">
        <f t="shared" si="5"/>
        <v>0</v>
      </c>
    </row>
    <row r="84" spans="1:7" x14ac:dyDescent="0.25">
      <c r="A84" s="1575"/>
      <c r="B84" s="1589"/>
      <c r="C84" s="1576"/>
      <c r="D84" s="1766"/>
      <c r="E84" s="1462">
        <f t="shared" si="4"/>
        <v>0</v>
      </c>
      <c r="F84" s="1847">
        <f t="shared" si="6"/>
        <v>0</v>
      </c>
      <c r="G84" s="1715">
        <f t="shared" si="5"/>
        <v>0</v>
      </c>
    </row>
    <row r="85" spans="1:7" x14ac:dyDescent="0.25">
      <c r="A85" s="1575"/>
      <c r="B85" s="1589"/>
      <c r="C85" s="1576"/>
      <c r="D85" s="1766"/>
      <c r="E85" s="1462">
        <f t="shared" si="2"/>
        <v>0</v>
      </c>
      <c r="F85" s="1847">
        <f t="shared" si="6"/>
        <v>0</v>
      </c>
      <c r="G85" s="1715">
        <f t="shared" si="3"/>
        <v>0</v>
      </c>
    </row>
    <row r="86" spans="1:7" x14ac:dyDescent="0.25">
      <c r="A86" s="1575"/>
      <c r="B86" s="1589"/>
      <c r="C86" s="1576"/>
      <c r="D86" s="1766"/>
      <c r="E86" s="1462">
        <f t="shared" si="2"/>
        <v>0</v>
      </c>
      <c r="F86" s="1847">
        <f t="shared" si="6"/>
        <v>0</v>
      </c>
      <c r="G86" s="1715">
        <f t="shared" si="3"/>
        <v>0</v>
      </c>
    </row>
    <row r="87" spans="1:7" x14ac:dyDescent="0.25">
      <c r="A87" s="1575"/>
      <c r="B87" s="1589"/>
      <c r="C87" s="1576"/>
      <c r="D87" s="1766"/>
      <c r="E87" s="1462">
        <f t="shared" si="2"/>
        <v>0</v>
      </c>
      <c r="F87" s="1847">
        <f t="shared" si="6"/>
        <v>0</v>
      </c>
      <c r="G87" s="1715">
        <f t="shared" si="3"/>
        <v>0</v>
      </c>
    </row>
    <row r="88" spans="1:7" x14ac:dyDescent="0.25">
      <c r="A88" s="1575"/>
      <c r="B88" s="1589"/>
      <c r="C88" s="1576"/>
      <c r="D88" s="1766"/>
      <c r="E88" s="1462">
        <f t="shared" si="2"/>
        <v>0</v>
      </c>
      <c r="F88" s="1847">
        <f t="shared" si="6"/>
        <v>0</v>
      </c>
      <c r="G88" s="1715">
        <f t="shared" si="3"/>
        <v>0</v>
      </c>
    </row>
    <row r="89" spans="1:7" x14ac:dyDescent="0.25">
      <c r="A89" s="1575"/>
      <c r="B89" s="1589"/>
      <c r="C89" s="1576"/>
      <c r="D89" s="1766"/>
      <c r="E89" s="1462">
        <f t="shared" si="2"/>
        <v>0</v>
      </c>
      <c r="F89" s="1847">
        <f t="shared" si="6"/>
        <v>0</v>
      </c>
      <c r="G89" s="1715">
        <f t="shared" si="3"/>
        <v>0</v>
      </c>
    </row>
    <row r="90" spans="1:7" x14ac:dyDescent="0.25">
      <c r="A90" s="1575"/>
      <c r="B90" s="1589"/>
      <c r="C90" s="1576"/>
      <c r="D90" s="1766"/>
      <c r="E90" s="1462">
        <f t="shared" si="2"/>
        <v>0</v>
      </c>
      <c r="F90" s="1847">
        <f t="shared" si="6"/>
        <v>0</v>
      </c>
      <c r="G90" s="1715">
        <f t="shared" si="3"/>
        <v>0</v>
      </c>
    </row>
    <row r="91" spans="1:7" x14ac:dyDescent="0.25">
      <c r="A91" s="1575"/>
      <c r="B91" s="1589"/>
      <c r="C91" s="1576"/>
      <c r="D91" s="1766"/>
      <c r="E91" s="1462">
        <f t="shared" si="2"/>
        <v>0</v>
      </c>
      <c r="F91" s="1847">
        <f t="shared" si="6"/>
        <v>0</v>
      </c>
      <c r="G91" s="1715">
        <f t="shared" si="3"/>
        <v>0</v>
      </c>
    </row>
    <row r="92" spans="1:7" x14ac:dyDescent="0.25">
      <c r="A92" s="1575"/>
      <c r="B92" s="1589"/>
      <c r="C92" s="1576"/>
      <c r="D92" s="1766"/>
      <c r="E92" s="1462">
        <f t="shared" si="2"/>
        <v>0</v>
      </c>
      <c r="F92" s="1847">
        <f t="shared" si="6"/>
        <v>0</v>
      </c>
      <c r="G92" s="1715">
        <f t="shared" si="3"/>
        <v>0</v>
      </c>
    </row>
    <row r="93" spans="1:7" x14ac:dyDescent="0.25">
      <c r="A93" s="1575"/>
      <c r="B93" s="1589"/>
      <c r="C93" s="1576"/>
      <c r="D93" s="1766"/>
      <c r="E93" s="1462">
        <f t="shared" ref="E93" si="7">IF(D93&lt;=25000,D93,IF(D93&gt;25000,25000,0))</f>
        <v>0</v>
      </c>
      <c r="F93" s="1847">
        <f t="shared" si="6"/>
        <v>0</v>
      </c>
      <c r="G93" s="1715">
        <f t="shared" ref="G93" si="8">IF(F93=0,0,D93-F93)</f>
        <v>0</v>
      </c>
    </row>
    <row r="94" spans="1:7" x14ac:dyDescent="0.25">
      <c r="A94" s="1575"/>
      <c r="B94" s="1589"/>
      <c r="C94" s="1576"/>
      <c r="D94" s="1766"/>
      <c r="E94" s="1462">
        <f t="shared" si="2"/>
        <v>0</v>
      </c>
      <c r="F94" s="1847">
        <f t="shared" si="6"/>
        <v>0</v>
      </c>
      <c r="G94" s="1715">
        <f t="shared" si="3"/>
        <v>0</v>
      </c>
    </row>
    <row r="95" spans="1:7" x14ac:dyDescent="0.25">
      <c r="A95" s="1575"/>
      <c r="B95" s="1589"/>
      <c r="C95" s="1576"/>
      <c r="D95" s="1766"/>
      <c r="E95" s="1462">
        <f t="shared" ref="E95:E98" si="9">IF(D95&lt;=25000,D95,IF(D95&gt;25000,25000,0))</f>
        <v>0</v>
      </c>
      <c r="F95" s="1847">
        <f t="shared" si="6"/>
        <v>0</v>
      </c>
      <c r="G95" s="1715">
        <f t="shared" ref="G95:G98" si="10">IF(F95=0,0,D95-F95)</f>
        <v>0</v>
      </c>
    </row>
    <row r="96" spans="1:7" x14ac:dyDescent="0.25">
      <c r="A96" s="1575"/>
      <c r="B96" s="1589"/>
      <c r="C96" s="1576"/>
      <c r="D96" s="1766"/>
      <c r="E96" s="1462">
        <f t="shared" si="9"/>
        <v>0</v>
      </c>
      <c r="F96" s="1847">
        <f t="shared" si="6"/>
        <v>0</v>
      </c>
      <c r="G96" s="1715">
        <f t="shared" si="10"/>
        <v>0</v>
      </c>
    </row>
    <row r="97" spans="1:7" x14ac:dyDescent="0.25">
      <c r="A97" s="1575"/>
      <c r="B97" s="1589"/>
      <c r="C97" s="1576"/>
      <c r="D97" s="1766"/>
      <c r="E97" s="1462">
        <f t="shared" si="9"/>
        <v>0</v>
      </c>
      <c r="F97" s="1847">
        <f t="shared" si="6"/>
        <v>0</v>
      </c>
      <c r="G97" s="1715">
        <f t="shared" si="10"/>
        <v>0</v>
      </c>
    </row>
    <row r="98" spans="1:7" x14ac:dyDescent="0.25">
      <c r="A98" s="1575"/>
      <c r="B98" s="1589"/>
      <c r="C98" s="1576"/>
      <c r="D98" s="1766"/>
      <c r="E98" s="1462">
        <f t="shared" si="9"/>
        <v>0</v>
      </c>
      <c r="F98" s="1847">
        <f t="shared" si="6"/>
        <v>0</v>
      </c>
      <c r="G98" s="1715">
        <f t="shared" si="10"/>
        <v>0</v>
      </c>
    </row>
    <row r="99" spans="1:7" x14ac:dyDescent="0.25">
      <c r="A99" s="1575"/>
      <c r="B99" s="1589"/>
      <c r="C99" s="1576"/>
      <c r="D99" s="1766"/>
      <c r="E99" s="1462">
        <f t="shared" ref="E99" si="11">IF(D99&lt;=25000,D99,IF(D99&gt;25000,25000,0))</f>
        <v>0</v>
      </c>
      <c r="F99" s="1847">
        <f t="shared" si="6"/>
        <v>0</v>
      </c>
      <c r="G99" s="1715">
        <f t="shared" ref="G99" si="12">IF(F99=0,0,D99-F99)</f>
        <v>0</v>
      </c>
    </row>
    <row r="100" spans="1:7" x14ac:dyDescent="0.25">
      <c r="A100" s="1575"/>
      <c r="B100" s="1589"/>
      <c r="C100" s="1576"/>
      <c r="D100" s="1766"/>
      <c r="E100" s="1462">
        <f t="shared" ref="E100:E112" si="13">IF(D100&lt;=25000,D100,IF(D100&gt;25000,25000,0))</f>
        <v>0</v>
      </c>
      <c r="F100" s="1847">
        <f t="shared" si="6"/>
        <v>0</v>
      </c>
      <c r="G100" s="1715">
        <f t="shared" ref="G100:G112" si="14">IF(F100=0,0,D100-F100)</f>
        <v>0</v>
      </c>
    </row>
    <row r="101" spans="1:7" x14ac:dyDescent="0.25">
      <c r="A101" s="1575"/>
      <c r="B101" s="1589"/>
      <c r="C101" s="1576"/>
      <c r="D101" s="1766"/>
      <c r="E101" s="1462">
        <f t="shared" si="13"/>
        <v>0</v>
      </c>
      <c r="F101" s="1847">
        <f t="shared" si="6"/>
        <v>0</v>
      </c>
      <c r="G101" s="1715">
        <f t="shared" si="14"/>
        <v>0</v>
      </c>
    </row>
    <row r="102" spans="1:7" x14ac:dyDescent="0.25">
      <c r="A102" s="1575"/>
      <c r="B102" s="1589"/>
      <c r="C102" s="1576"/>
      <c r="D102" s="1766"/>
      <c r="E102" s="1462">
        <f t="shared" si="13"/>
        <v>0</v>
      </c>
      <c r="F102" s="1847">
        <f t="shared" si="6"/>
        <v>0</v>
      </c>
      <c r="G102" s="1715">
        <f t="shared" si="14"/>
        <v>0</v>
      </c>
    </row>
    <row r="103" spans="1:7" x14ac:dyDescent="0.25">
      <c r="A103" s="1575"/>
      <c r="B103" s="1589"/>
      <c r="C103" s="1576"/>
      <c r="D103" s="1766"/>
      <c r="E103" s="1462">
        <f t="shared" si="13"/>
        <v>0</v>
      </c>
      <c r="F103" s="1847">
        <f t="shared" si="6"/>
        <v>0</v>
      </c>
      <c r="G103" s="1715">
        <f t="shared" si="14"/>
        <v>0</v>
      </c>
    </row>
    <row r="104" spans="1:7" x14ac:dyDescent="0.25">
      <c r="A104" s="1575"/>
      <c r="B104" s="1589"/>
      <c r="C104" s="1576"/>
      <c r="D104" s="1766"/>
      <c r="E104" s="1462">
        <f t="shared" si="13"/>
        <v>0</v>
      </c>
      <c r="F104" s="1847">
        <f t="shared" si="6"/>
        <v>0</v>
      </c>
      <c r="G104" s="1715">
        <f t="shared" si="14"/>
        <v>0</v>
      </c>
    </row>
    <row r="105" spans="1:7" x14ac:dyDescent="0.25">
      <c r="A105" s="1575"/>
      <c r="B105" s="1589"/>
      <c r="C105" s="1576"/>
      <c r="D105" s="1766"/>
      <c r="E105" s="1462">
        <f t="shared" si="13"/>
        <v>0</v>
      </c>
      <c r="F105" s="1847">
        <f t="shared" si="6"/>
        <v>0</v>
      </c>
      <c r="G105" s="1715">
        <f t="shared" si="14"/>
        <v>0</v>
      </c>
    </row>
    <row r="106" spans="1:7" x14ac:dyDescent="0.25">
      <c r="A106" s="1575"/>
      <c r="B106" s="1589"/>
      <c r="C106" s="1576"/>
      <c r="D106" s="1766"/>
      <c r="E106" s="1462">
        <f t="shared" si="13"/>
        <v>0</v>
      </c>
      <c r="F106" s="1847">
        <f t="shared" si="6"/>
        <v>0</v>
      </c>
      <c r="G106" s="1715">
        <f t="shared" si="14"/>
        <v>0</v>
      </c>
    </row>
    <row r="107" spans="1:7" x14ac:dyDescent="0.25">
      <c r="A107" s="1575"/>
      <c r="B107" s="1589"/>
      <c r="C107" s="1576"/>
      <c r="D107" s="1766"/>
      <c r="E107" s="1462">
        <f t="shared" si="13"/>
        <v>0</v>
      </c>
      <c r="F107" s="1847">
        <f t="shared" si="6"/>
        <v>0</v>
      </c>
      <c r="G107" s="1715">
        <f t="shared" si="14"/>
        <v>0</v>
      </c>
    </row>
    <row r="108" spans="1:7" x14ac:dyDescent="0.25">
      <c r="A108" s="1575"/>
      <c r="B108" s="1589"/>
      <c r="C108" s="1576"/>
      <c r="D108" s="1766"/>
      <c r="E108" s="1462">
        <f t="shared" si="13"/>
        <v>0</v>
      </c>
      <c r="F108" s="1847">
        <f t="shared" si="6"/>
        <v>0</v>
      </c>
      <c r="G108" s="1715">
        <f t="shared" si="14"/>
        <v>0</v>
      </c>
    </row>
    <row r="109" spans="1:7" x14ac:dyDescent="0.25">
      <c r="A109" s="1575"/>
      <c r="B109" s="1589"/>
      <c r="C109" s="1576"/>
      <c r="D109" s="1766"/>
      <c r="E109" s="1462">
        <f t="shared" si="13"/>
        <v>0</v>
      </c>
      <c r="F109" s="1847">
        <f t="shared" si="6"/>
        <v>0</v>
      </c>
      <c r="G109" s="1715">
        <f t="shared" si="14"/>
        <v>0</v>
      </c>
    </row>
    <row r="110" spans="1:7" x14ac:dyDescent="0.25">
      <c r="A110" s="1575"/>
      <c r="B110" s="1589"/>
      <c r="C110" s="1576"/>
      <c r="D110" s="1766"/>
      <c r="E110" s="1462">
        <f t="shared" si="13"/>
        <v>0</v>
      </c>
      <c r="F110" s="1847">
        <f t="shared" si="6"/>
        <v>0</v>
      </c>
      <c r="G110" s="1715">
        <f t="shared" si="14"/>
        <v>0</v>
      </c>
    </row>
    <row r="111" spans="1:7" x14ac:dyDescent="0.25">
      <c r="A111" s="1575"/>
      <c r="B111" s="1589"/>
      <c r="C111" s="1576"/>
      <c r="D111" s="1766"/>
      <c r="E111" s="1462">
        <f t="shared" si="13"/>
        <v>0</v>
      </c>
      <c r="F111" s="1847">
        <f t="shared" si="6"/>
        <v>0</v>
      </c>
      <c r="G111" s="1715">
        <f t="shared" si="14"/>
        <v>0</v>
      </c>
    </row>
    <row r="112" spans="1:7" x14ac:dyDescent="0.25">
      <c r="A112" s="1575"/>
      <c r="B112" s="1589"/>
      <c r="C112" s="1576"/>
      <c r="D112" s="1766"/>
      <c r="E112" s="1462">
        <f t="shared" si="13"/>
        <v>0</v>
      </c>
      <c r="F112" s="1847">
        <f t="shared" si="6"/>
        <v>0</v>
      </c>
      <c r="G112" s="1715">
        <f t="shared" si="14"/>
        <v>0</v>
      </c>
    </row>
    <row r="113" spans="1:7" x14ac:dyDescent="0.25">
      <c r="A113" s="1575"/>
      <c r="B113" s="1589"/>
      <c r="C113" s="1576"/>
      <c r="D113" s="1766"/>
      <c r="E113" s="1462">
        <f t="shared" ref="E113:E125" si="15">IF(D113&lt;=25000,D113,IF(D113&gt;25000,25000,0))</f>
        <v>0</v>
      </c>
      <c r="F113" s="1847">
        <f t="shared" si="6"/>
        <v>0</v>
      </c>
      <c r="G113" s="1715">
        <f t="shared" ref="G113:G125" si="16">IF(F113=0,0,D113-F113)</f>
        <v>0</v>
      </c>
    </row>
    <row r="114" spans="1:7" x14ac:dyDescent="0.25">
      <c r="A114" s="1575"/>
      <c r="B114" s="1589"/>
      <c r="C114" s="1576"/>
      <c r="D114" s="1766"/>
      <c r="E114" s="1462">
        <f t="shared" si="15"/>
        <v>0</v>
      </c>
      <c r="F114" s="1847">
        <f t="shared" si="6"/>
        <v>0</v>
      </c>
      <c r="G114" s="1715">
        <f t="shared" si="16"/>
        <v>0</v>
      </c>
    </row>
    <row r="115" spans="1:7" x14ac:dyDescent="0.25">
      <c r="A115" s="1575"/>
      <c r="B115" s="1589"/>
      <c r="C115" s="1576"/>
      <c r="D115" s="1766"/>
      <c r="E115" s="1462">
        <f t="shared" si="15"/>
        <v>0</v>
      </c>
      <c r="F115" s="1847">
        <f t="shared" si="6"/>
        <v>0</v>
      </c>
      <c r="G115" s="1715">
        <f t="shared" si="16"/>
        <v>0</v>
      </c>
    </row>
    <row r="116" spans="1:7" x14ac:dyDescent="0.25">
      <c r="A116" s="1575"/>
      <c r="B116" s="1589"/>
      <c r="C116" s="1576"/>
      <c r="D116" s="1766"/>
      <c r="E116" s="1462">
        <f t="shared" si="15"/>
        <v>0</v>
      </c>
      <c r="F116" s="1847">
        <f t="shared" si="6"/>
        <v>0</v>
      </c>
      <c r="G116" s="1715">
        <f t="shared" si="16"/>
        <v>0</v>
      </c>
    </row>
    <row r="117" spans="1:7" x14ac:dyDescent="0.25">
      <c r="A117" s="1575"/>
      <c r="B117" s="1589"/>
      <c r="C117" s="1576"/>
      <c r="D117" s="1766"/>
      <c r="E117" s="1462">
        <f t="shared" si="15"/>
        <v>0</v>
      </c>
      <c r="F117" s="1847">
        <f t="shared" si="6"/>
        <v>0</v>
      </c>
      <c r="G117" s="1715">
        <f t="shared" si="16"/>
        <v>0</v>
      </c>
    </row>
    <row r="118" spans="1:7" x14ac:dyDescent="0.25">
      <c r="A118" s="1575"/>
      <c r="B118" s="1589"/>
      <c r="C118" s="1576"/>
      <c r="D118" s="1766"/>
      <c r="E118" s="1462">
        <f t="shared" si="15"/>
        <v>0</v>
      </c>
      <c r="F118" s="1847">
        <f t="shared" si="6"/>
        <v>0</v>
      </c>
      <c r="G118" s="1715">
        <f t="shared" si="16"/>
        <v>0</v>
      </c>
    </row>
    <row r="119" spans="1:7" x14ac:dyDescent="0.25">
      <c r="A119" s="1575"/>
      <c r="B119" s="1589"/>
      <c r="C119" s="1576"/>
      <c r="D119" s="1766"/>
      <c r="E119" s="1462">
        <f t="shared" si="15"/>
        <v>0</v>
      </c>
      <c r="F119" s="1847">
        <f t="shared" si="6"/>
        <v>0</v>
      </c>
      <c r="G119" s="1715">
        <f t="shared" si="16"/>
        <v>0</v>
      </c>
    </row>
    <row r="120" spans="1:7" x14ac:dyDescent="0.25">
      <c r="A120" s="1575"/>
      <c r="B120" s="1589"/>
      <c r="C120" s="1576"/>
      <c r="D120" s="1766"/>
      <c r="E120" s="1462">
        <f t="shared" si="15"/>
        <v>0</v>
      </c>
      <c r="F120" s="1847">
        <f t="shared" si="6"/>
        <v>0</v>
      </c>
      <c r="G120" s="1715">
        <f t="shared" si="16"/>
        <v>0</v>
      </c>
    </row>
    <row r="121" spans="1:7" x14ac:dyDescent="0.25">
      <c r="A121" s="1575"/>
      <c r="B121" s="1589"/>
      <c r="C121" s="1576"/>
      <c r="D121" s="1766"/>
      <c r="E121" s="1462">
        <f t="shared" si="15"/>
        <v>0</v>
      </c>
      <c r="F121" s="1847">
        <f t="shared" si="6"/>
        <v>0</v>
      </c>
      <c r="G121" s="1715">
        <f t="shared" si="16"/>
        <v>0</v>
      </c>
    </row>
    <row r="122" spans="1:7" x14ac:dyDescent="0.25">
      <c r="A122" s="1575"/>
      <c r="B122" s="1589"/>
      <c r="C122" s="1576"/>
      <c r="D122" s="1766"/>
      <c r="E122" s="1462">
        <f t="shared" si="15"/>
        <v>0</v>
      </c>
      <c r="F122" s="1847">
        <f t="shared" si="6"/>
        <v>0</v>
      </c>
      <c r="G122" s="1715">
        <f t="shared" si="16"/>
        <v>0</v>
      </c>
    </row>
    <row r="123" spans="1:7" x14ac:dyDescent="0.25">
      <c r="A123" s="1575"/>
      <c r="B123" s="1589"/>
      <c r="C123" s="1576"/>
      <c r="D123" s="1766"/>
      <c r="E123" s="1462">
        <f t="shared" si="15"/>
        <v>0</v>
      </c>
      <c r="F123" s="1847">
        <f t="shared" si="6"/>
        <v>0</v>
      </c>
      <c r="G123" s="1715">
        <f t="shared" si="16"/>
        <v>0</v>
      </c>
    </row>
    <row r="124" spans="1:7" x14ac:dyDescent="0.25">
      <c r="A124" s="1575"/>
      <c r="B124" s="1589"/>
      <c r="C124" s="1576"/>
      <c r="D124" s="1766"/>
      <c r="E124" s="1462">
        <f t="shared" si="15"/>
        <v>0</v>
      </c>
      <c r="F124" s="1847">
        <f t="shared" si="6"/>
        <v>0</v>
      </c>
      <c r="G124" s="1715">
        <f t="shared" si="16"/>
        <v>0</v>
      </c>
    </row>
    <row r="125" spans="1:7" x14ac:dyDescent="0.25">
      <c r="A125" s="1575"/>
      <c r="B125" s="1589"/>
      <c r="C125" s="1576"/>
      <c r="D125" s="1766"/>
      <c r="E125" s="1462">
        <f t="shared" si="15"/>
        <v>0</v>
      </c>
      <c r="F125" s="1847">
        <f t="shared" si="6"/>
        <v>0</v>
      </c>
      <c r="G125" s="1715">
        <f t="shared" si="16"/>
        <v>0</v>
      </c>
    </row>
    <row r="126" spans="1:7" x14ac:dyDescent="0.25">
      <c r="A126" s="1575"/>
      <c r="B126" s="1589"/>
      <c r="C126" s="1576"/>
      <c r="D126" s="1766"/>
      <c r="E126" s="1462">
        <f t="shared" ref="E126:E134" si="17">IF(D126&lt;=25000,D126,IF(D126&gt;25000,25000,0))</f>
        <v>0</v>
      </c>
      <c r="F126" s="1847">
        <f t="shared" si="6"/>
        <v>0</v>
      </c>
      <c r="G126" s="1715">
        <f t="shared" ref="G126:G134" si="18">IF(F126=0,0,D126-F126)</f>
        <v>0</v>
      </c>
    </row>
    <row r="127" spans="1:7" x14ac:dyDescent="0.25">
      <c r="A127" s="1575"/>
      <c r="B127" s="1589"/>
      <c r="C127" s="1576"/>
      <c r="D127" s="1766"/>
      <c r="E127" s="1462">
        <f t="shared" si="17"/>
        <v>0</v>
      </c>
      <c r="F127" s="1847">
        <f t="shared" si="6"/>
        <v>0</v>
      </c>
      <c r="G127" s="1715">
        <f t="shared" si="18"/>
        <v>0</v>
      </c>
    </row>
    <row r="128" spans="1:7" x14ac:dyDescent="0.25">
      <c r="A128" s="1575"/>
      <c r="B128" s="1589"/>
      <c r="C128" s="1576"/>
      <c r="D128" s="1766"/>
      <c r="E128" s="1462">
        <f t="shared" si="17"/>
        <v>0</v>
      </c>
      <c r="F128" s="1847">
        <f t="shared" si="6"/>
        <v>0</v>
      </c>
      <c r="G128" s="1715">
        <f t="shared" si="18"/>
        <v>0</v>
      </c>
    </row>
    <row r="129" spans="1:7" x14ac:dyDescent="0.25">
      <c r="A129" s="1575"/>
      <c r="B129" s="1589"/>
      <c r="C129" s="1576"/>
      <c r="D129" s="1766"/>
      <c r="E129" s="1462">
        <f t="shared" si="17"/>
        <v>0</v>
      </c>
      <c r="F129" s="1847">
        <f t="shared" si="6"/>
        <v>0</v>
      </c>
      <c r="G129" s="1715">
        <f t="shared" si="18"/>
        <v>0</v>
      </c>
    </row>
    <row r="130" spans="1:7" x14ac:dyDescent="0.25">
      <c r="A130" s="1575"/>
      <c r="B130" s="1589"/>
      <c r="C130" s="1576"/>
      <c r="D130" s="1766"/>
      <c r="E130" s="1462">
        <f t="shared" si="17"/>
        <v>0</v>
      </c>
      <c r="F130" s="1847">
        <f t="shared" si="6"/>
        <v>0</v>
      </c>
      <c r="G130" s="1715">
        <f t="shared" si="18"/>
        <v>0</v>
      </c>
    </row>
    <row r="131" spans="1:7" x14ac:dyDescent="0.25">
      <c r="A131" s="1575"/>
      <c r="B131" s="1759"/>
      <c r="C131" s="1576"/>
      <c r="D131" s="1766"/>
      <c r="E131" s="1462">
        <f t="shared" si="17"/>
        <v>0</v>
      </c>
      <c r="F131" s="1847">
        <f t="shared" si="6"/>
        <v>0</v>
      </c>
      <c r="G131" s="1715">
        <f t="shared" si="18"/>
        <v>0</v>
      </c>
    </row>
    <row r="132" spans="1:7" x14ac:dyDescent="0.25">
      <c r="A132" s="1575"/>
      <c r="B132" s="1759"/>
      <c r="C132" s="1576"/>
      <c r="D132" s="1766"/>
      <c r="E132" s="1462">
        <f t="shared" si="17"/>
        <v>0</v>
      </c>
      <c r="F132" s="1847">
        <f t="shared" si="6"/>
        <v>0</v>
      </c>
      <c r="G132" s="1715">
        <f t="shared" si="18"/>
        <v>0</v>
      </c>
    </row>
    <row r="133" spans="1:7" x14ac:dyDescent="0.25">
      <c r="A133" s="1575"/>
      <c r="B133" s="1589"/>
      <c r="C133" s="1576"/>
      <c r="D133" s="1766"/>
      <c r="E133" s="1462">
        <f t="shared" si="17"/>
        <v>0</v>
      </c>
      <c r="F133" s="1847">
        <f t="shared" si="6"/>
        <v>0</v>
      </c>
      <c r="G133" s="1715">
        <f t="shared" si="18"/>
        <v>0</v>
      </c>
    </row>
    <row r="134" spans="1:7" x14ac:dyDescent="0.25">
      <c r="A134" s="1575"/>
      <c r="B134" s="1589"/>
      <c r="C134" s="1576"/>
      <c r="D134" s="1766"/>
      <c r="E134" s="1462">
        <f t="shared" si="17"/>
        <v>0</v>
      </c>
      <c r="F134" s="1847">
        <f t="shared" si="6"/>
        <v>0</v>
      </c>
      <c r="G134" s="1715">
        <f t="shared" si="18"/>
        <v>0</v>
      </c>
    </row>
    <row r="135" spans="1:7" x14ac:dyDescent="0.25">
      <c r="A135" s="1575"/>
      <c r="B135" s="1589"/>
      <c r="C135" s="1576"/>
      <c r="D135" s="1766"/>
      <c r="E135" s="1462">
        <f t="shared" ref="E135:E139" si="19">IF(D135&lt;=25000,D135,IF(D135&gt;25000,25000,0))</f>
        <v>0</v>
      </c>
      <c r="F135" s="1847">
        <f t="shared" si="6"/>
        <v>0</v>
      </c>
      <c r="G135" s="1715">
        <f t="shared" ref="G135:G139" si="20">IF(F135=0,0,D135-F135)</f>
        <v>0</v>
      </c>
    </row>
    <row r="136" spans="1:7" x14ac:dyDescent="0.25">
      <c r="A136" s="1575"/>
      <c r="B136" s="1589"/>
      <c r="C136" s="1576"/>
      <c r="D136" s="1766"/>
      <c r="E136" s="1462">
        <f t="shared" si="19"/>
        <v>0</v>
      </c>
      <c r="F136" s="1847">
        <f t="shared" si="6"/>
        <v>0</v>
      </c>
      <c r="G136" s="1715">
        <f t="shared" si="20"/>
        <v>0</v>
      </c>
    </row>
    <row r="137" spans="1:7" x14ac:dyDescent="0.25">
      <c r="A137" s="1575"/>
      <c r="B137" s="1589"/>
      <c r="C137" s="1576"/>
      <c r="D137" s="1766"/>
      <c r="E137" s="1462">
        <f t="shared" si="19"/>
        <v>0</v>
      </c>
      <c r="F137" s="1847">
        <f t="shared" si="6"/>
        <v>0</v>
      </c>
      <c r="G137" s="1715">
        <f t="shared" si="20"/>
        <v>0</v>
      </c>
    </row>
    <row r="138" spans="1:7" x14ac:dyDescent="0.25">
      <c r="A138" s="1575"/>
      <c r="B138" s="1589"/>
      <c r="C138" s="1576"/>
      <c r="D138" s="1766"/>
      <c r="E138" s="1462">
        <f t="shared" si="19"/>
        <v>0</v>
      </c>
      <c r="F138" s="1847">
        <f t="shared" si="6"/>
        <v>0</v>
      </c>
      <c r="G138" s="1715">
        <f t="shared" si="20"/>
        <v>0</v>
      </c>
    </row>
    <row r="139" spans="1:7" x14ac:dyDescent="0.25">
      <c r="A139" s="1575"/>
      <c r="B139" s="1589"/>
      <c r="C139" s="1576"/>
      <c r="D139" s="1766"/>
      <c r="E139" s="1462">
        <f t="shared" si="19"/>
        <v>0</v>
      </c>
      <c r="F139" s="1847">
        <f t="shared" si="6"/>
        <v>0</v>
      </c>
      <c r="G139" s="1715">
        <f t="shared" si="20"/>
        <v>0</v>
      </c>
    </row>
    <row r="140" spans="1:7" x14ac:dyDescent="0.25">
      <c r="A140" s="1575"/>
      <c r="B140" s="1588"/>
      <c r="C140" s="1576"/>
      <c r="D140" s="1766"/>
      <c r="E140" s="1462">
        <f t="shared" si="2"/>
        <v>0</v>
      </c>
      <c r="F140" s="1847">
        <f t="shared" si="6"/>
        <v>0</v>
      </c>
      <c r="G140" s="1715">
        <f t="shared" si="3"/>
        <v>0</v>
      </c>
    </row>
    <row r="141" spans="1:7" x14ac:dyDescent="0.25">
      <c r="A141" s="1718" t="s">
        <v>156</v>
      </c>
      <c r="B141" s="1719"/>
      <c r="C141" s="1720"/>
      <c r="D141" s="1716">
        <f>SUM(D17:D140)</f>
        <v>42875</v>
      </c>
      <c r="E141" s="1463">
        <f t="shared" si="0"/>
        <v>25000</v>
      </c>
      <c r="F141" s="1848">
        <f>SUM(F17:F140)</f>
        <v>25000</v>
      </c>
      <c r="G141" s="1717">
        <f>SUM(G17:G140)</f>
        <v>17875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56" t="s">
        <v>1115</v>
      </c>
      <c r="B1" s="1557"/>
      <c r="C1" s="1558"/>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90" t="s">
        <v>1677</v>
      </c>
      <c r="B5" s="2391"/>
      <c r="C5" s="2391"/>
      <c r="D5" s="2391"/>
      <c r="E5" s="2391"/>
      <c r="F5" s="2391"/>
      <c r="G5" s="2392"/>
      <c r="H5" s="252"/>
      <c r="I5" s="606"/>
    </row>
    <row r="6" spans="1:9" s="665" customFormat="1" x14ac:dyDescent="0.2">
      <c r="A6" s="1559"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1927</v>
      </c>
      <c r="B10" s="968"/>
      <c r="C10" s="973"/>
      <c r="D10" s="969"/>
      <c r="E10" s="970"/>
      <c r="F10" s="971"/>
      <c r="G10" s="972"/>
      <c r="H10" s="162"/>
      <c r="I10" s="162"/>
    </row>
    <row r="11" spans="1:9" s="665" customFormat="1" ht="22.5" customHeight="1" x14ac:dyDescent="0.2">
      <c r="A11" s="2395" t="s">
        <v>1971</v>
      </c>
      <c r="B11" s="2396"/>
      <c r="C11" s="2396"/>
      <c r="D11" s="2397"/>
      <c r="E11" s="974"/>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560" t="s">
        <v>532</v>
      </c>
      <c r="E17" s="1561"/>
      <c r="F17" s="1560" t="s">
        <v>433</v>
      </c>
      <c r="G17" s="1562"/>
      <c r="H17" s="162"/>
      <c r="I17" s="162"/>
    </row>
    <row r="18" spans="1:9" s="259" customFormat="1" ht="11.25" x14ac:dyDescent="0.2">
      <c r="A18" s="985"/>
      <c r="C18" s="986" t="s">
        <v>434</v>
      </c>
      <c r="D18" s="1563" t="s">
        <v>435</v>
      </c>
      <c r="E18" s="1563" t="s">
        <v>53</v>
      </c>
      <c r="F18" s="1563" t="s">
        <v>435</v>
      </c>
      <c r="G18" s="1563" t="s">
        <v>53</v>
      </c>
      <c r="H18" s="178"/>
      <c r="I18" s="178"/>
    </row>
    <row r="19" spans="1:9" s="665" customFormat="1" ht="12" customHeight="1" x14ac:dyDescent="0.2">
      <c r="A19" s="987" t="s">
        <v>456</v>
      </c>
      <c r="B19" s="988"/>
      <c r="C19" s="989" t="s">
        <v>570</v>
      </c>
      <c r="D19" s="1721"/>
      <c r="E19" s="1722">
        <f>'Expenditures 15-22'!K33-SUM('Expenditures 15-22'!G33,'Expenditures 15-22'!I33)+'Expenditures 15-22'!D229</f>
        <v>1953367</v>
      </c>
      <c r="F19" s="1721"/>
      <c r="G19" s="1723">
        <f>'Expenditures 15-22'!K33-SUM('Expenditures 15-22'!G33,'Expenditures 15-22'!I33)+'Expenditures 15-22'!D229</f>
        <v>1953367</v>
      </c>
      <c r="H19" s="984"/>
      <c r="I19" s="162"/>
    </row>
    <row r="20" spans="1:9" s="665" customFormat="1" ht="12" customHeight="1" x14ac:dyDescent="0.2">
      <c r="A20" s="987" t="s">
        <v>54</v>
      </c>
      <c r="B20" s="988"/>
      <c r="C20" s="990"/>
      <c r="D20" s="1724"/>
      <c r="E20" s="1724"/>
      <c r="F20" s="1724"/>
      <c r="G20" s="1725"/>
      <c r="H20" s="984"/>
      <c r="I20" s="162"/>
    </row>
    <row r="21" spans="1:9" s="665" customFormat="1" ht="12" customHeight="1" x14ac:dyDescent="0.2">
      <c r="A21" s="991" t="s">
        <v>401</v>
      </c>
      <c r="B21" s="992"/>
      <c r="C21" s="990">
        <v>2100</v>
      </c>
      <c r="D21" s="1724"/>
      <c r="E21" s="1726">
        <f>'Expenditures 15-22'!K42-SUM('Expenditures 15-22'!G42,'Expenditures 15-22'!I42)+'Expenditures 15-22'!K120-SUM('Expenditures 15-22'!G120,'Expenditures 15-22'!I120)+'Expenditures 15-22'!K180-SUM('Expenditures 15-22'!G180,'Expenditures 15-22'!I180)+'Expenditures 15-22'!D238</f>
        <v>2124610</v>
      </c>
      <c r="F21" s="1724"/>
      <c r="G21" s="1727">
        <f>'Expenditures 15-22'!K42-SUM('Expenditures 15-22'!G42,'Expenditures 15-22'!I42)+'Expenditures 15-22'!K120-SUM('Expenditures 15-22'!G120,'Expenditures 15-22'!I120)+'Expenditures 15-22'!K180-SUM('Expenditures 15-22'!G180,'Expenditures 15-22'!I180)+'Expenditures 15-22'!D238</f>
        <v>2124610</v>
      </c>
      <c r="H21" s="984"/>
      <c r="I21" s="162"/>
    </row>
    <row r="22" spans="1:9" s="665" customFormat="1" ht="12" customHeight="1" x14ac:dyDescent="0.2">
      <c r="A22" s="991" t="s">
        <v>564</v>
      </c>
      <c r="B22" s="992"/>
      <c r="C22" s="990">
        <v>2200</v>
      </c>
      <c r="D22" s="1724"/>
      <c r="E22" s="1726">
        <f>'Expenditures 15-22'!K47-SUM('Expenditures 15-22'!G47,'Expenditures 15-22'!I47)+'Expenditures 15-22'!D243</f>
        <v>76893</v>
      </c>
      <c r="F22" s="1724"/>
      <c r="G22" s="1727">
        <f>'Expenditures 15-22'!K47-SUM('Expenditures 15-22'!G47,'Expenditures 15-22'!I47)+'Expenditures 15-22'!D243</f>
        <v>76893</v>
      </c>
      <c r="H22" s="984"/>
      <c r="I22" s="162"/>
    </row>
    <row r="23" spans="1:9" s="665" customFormat="1" ht="12" customHeight="1" x14ac:dyDescent="0.2">
      <c r="A23" s="991" t="s">
        <v>565</v>
      </c>
      <c r="B23" s="992"/>
      <c r="C23" s="990">
        <v>2300</v>
      </c>
      <c r="D23" s="1724"/>
      <c r="E23" s="1726">
        <f>'Expenditures 15-22'!K53-SUM('Expenditures 15-22'!G53,'Expenditures 15-22'!I53)+'Expenditures 15-22'!D257+'Expenditures 15-22'!K330-SUM('Expenditures 15-22'!G330,'Expenditures 15-22'!I330)</f>
        <v>1028717</v>
      </c>
      <c r="F23" s="1724"/>
      <c r="G23" s="1726">
        <f>'Expenditures 15-22'!K53-SUM('Expenditures 15-22'!G53,'Expenditures 15-22'!I53)+'Expenditures 15-22'!D257+'Expenditures 15-22'!K330-SUM('Expenditures 15-22'!G330,'Expenditures 15-22'!I330)</f>
        <v>1028717</v>
      </c>
      <c r="H23" s="984"/>
      <c r="I23" s="162"/>
    </row>
    <row r="24" spans="1:9" s="665" customFormat="1" ht="12" customHeight="1" x14ac:dyDescent="0.2">
      <c r="A24" s="991" t="s">
        <v>566</v>
      </c>
      <c r="B24" s="992"/>
      <c r="C24" s="990">
        <v>2400</v>
      </c>
      <c r="D24" s="1724"/>
      <c r="E24" s="1726">
        <f>'Expenditures 15-22'!K57-SUM('Expenditures 15-22'!G57,'Expenditures 15-22'!I57)+'Expenditures 15-22'!D261</f>
        <v>0</v>
      </c>
      <c r="F24" s="1724"/>
      <c r="G24" s="1727">
        <f>'Expenditures 15-22'!K57-SUM('Expenditures 15-22'!G57,'Expenditures 15-22'!I57)+'Expenditures 15-22'!D261</f>
        <v>0</v>
      </c>
      <c r="H24" s="984"/>
      <c r="I24" s="162"/>
    </row>
    <row r="25" spans="1:9" s="665" customFormat="1" ht="12" customHeight="1" x14ac:dyDescent="0.2">
      <c r="A25" s="987" t="s">
        <v>567</v>
      </c>
      <c r="B25" s="993"/>
      <c r="C25" s="990"/>
      <c r="D25" s="1724"/>
      <c r="E25" s="1726"/>
      <c r="F25" s="1724"/>
      <c r="G25" s="1727"/>
      <c r="H25" s="984"/>
      <c r="I25" s="162"/>
    </row>
    <row r="26" spans="1:9" s="665" customFormat="1" ht="12" customHeight="1" x14ac:dyDescent="0.2">
      <c r="A26" s="991" t="s">
        <v>515</v>
      </c>
      <c r="B26" s="994"/>
      <c r="C26" s="990">
        <v>2510</v>
      </c>
      <c r="D26" s="1726">
        <f>'Expenditures 15-22'!K59-SUM('Expenditures 15-22'!G59,'Expenditures 15-22'!I59)+'Expenditures 15-22'!D263-E7</f>
        <v>0</v>
      </c>
      <c r="E26" s="1726">
        <f>'Expenditures 15-22'!K122-SUM('Expenditures 15-22'!G122,'Expenditures 15-22'!I122)+E7</f>
        <v>0</v>
      </c>
      <c r="F26" s="1726">
        <f>'Expenditures 15-22'!K59-SUM('Expenditures 15-22'!G59,'Expenditures 15-22'!I59)+'Expenditures 15-22'!D263-E7</f>
        <v>0</v>
      </c>
      <c r="G26" s="1727">
        <f>'Expenditures 15-22'!K122-SUM('Expenditures 15-22'!G122,'Expenditures 15-22'!I122)+E7</f>
        <v>0</v>
      </c>
      <c r="H26" s="984"/>
      <c r="I26" s="162"/>
    </row>
    <row r="27" spans="1:9" s="665" customFormat="1" ht="12" customHeight="1" x14ac:dyDescent="0.2">
      <c r="A27" s="991" t="s">
        <v>463</v>
      </c>
      <c r="B27" s="994"/>
      <c r="C27" s="990">
        <v>2520</v>
      </c>
      <c r="D27" s="1726">
        <f>'Expenditures 15-22'!K60-SUM('Expenditures 15-22'!G60,'Expenditures 15-22'!I60)+'Expenditures 15-22'!D264-E8</f>
        <v>9617</v>
      </c>
      <c r="E27" s="1726">
        <f>E8</f>
        <v>0</v>
      </c>
      <c r="F27" s="1726">
        <f>'Expenditures 15-22'!K60-SUM('Expenditures 15-22'!G60,'Expenditures 15-22'!I60)+'Expenditures 15-22'!D264-E8</f>
        <v>9617</v>
      </c>
      <c r="G27" s="1727">
        <f>E8</f>
        <v>0</v>
      </c>
      <c r="H27" s="984"/>
      <c r="I27" s="162"/>
    </row>
    <row r="28" spans="1:9" s="665" customFormat="1" ht="12" customHeight="1" x14ac:dyDescent="0.2">
      <c r="A28" s="991" t="s">
        <v>516</v>
      </c>
      <c r="B28" s="994"/>
      <c r="C28" s="990">
        <v>2540</v>
      </c>
      <c r="D28" s="1728"/>
      <c r="E28" s="1726">
        <f>'Expenditures 15-22'!K61-SUM('Expenditures 15-22'!G61,'Expenditures 15-22'!I61)+'Expenditures 15-22'!K124-SUM('Expenditures 15-22'!G124,'Expenditures 15-22'!I124)+'Expenditures 15-22'!D266</f>
        <v>139225</v>
      </c>
      <c r="F28" s="1728">
        <f>'Expenditures 15-22'!K61-SUM('Expenditures 15-22'!G61,'Expenditures 15-22'!I61)+'Expenditures 15-22'!K124-SUM('Expenditures 15-22'!G124,'Expenditures 15-22'!I124)+'Expenditures 15-22'!D266-E9</f>
        <v>139225</v>
      </c>
      <c r="G28" s="1727">
        <f>E9</f>
        <v>0</v>
      </c>
      <c r="H28" s="984"/>
      <c r="I28" s="162"/>
    </row>
    <row r="29" spans="1:9" ht="12" customHeight="1" x14ac:dyDescent="0.2">
      <c r="A29" s="991" t="s">
        <v>517</v>
      </c>
      <c r="B29" s="994"/>
      <c r="C29" s="990">
        <v>2550</v>
      </c>
      <c r="D29" s="1724"/>
      <c r="E29" s="1726">
        <f>'Expenditures 15-22'!K62-SUM('Expenditures 15-22'!G62,'Expenditures 15-22'!I62)+'Expenditures 15-22'!K125-SUM('Expenditures 15-22'!G125,'Expenditures 15-22'!I125)+'Expenditures 15-22'!K182-SUM('Expenditures 15-22'!G182,'Expenditures 15-22'!I182)+'Expenditures 15-22'!D267</f>
        <v>7049</v>
      </c>
      <c r="F29" s="1724"/>
      <c r="G29" s="1727">
        <f>'Expenditures 15-22'!K62-SUM('Expenditures 15-22'!G62,'Expenditures 15-22'!I62)+'Expenditures 15-22'!K125-SUM('Expenditures 15-22'!G125,'Expenditures 15-22'!I125)+'Expenditures 15-22'!K182-SUM('Expenditures 15-22'!G182,'Expenditures 15-22'!I182)+'Expenditures 15-22'!D267</f>
        <v>7049</v>
      </c>
      <c r="H29" s="982"/>
    </row>
    <row r="30" spans="1:9" ht="12" customHeight="1" x14ac:dyDescent="0.2">
      <c r="A30" s="991" t="s">
        <v>100</v>
      </c>
      <c r="B30" s="994"/>
      <c r="C30" s="990">
        <v>2560</v>
      </c>
      <c r="D30" s="1724"/>
      <c r="E30" s="1726">
        <f>'Expenditures 15-22'!K63-SUM('Expenditures 15-22'!G63,'Expenditures 15-22'!I63)+'Expenditures 15-22'!D268-E10</f>
        <v>24118</v>
      </c>
      <c r="F30" s="1724"/>
      <c r="G30" s="1726">
        <f>'Expenditures 15-22'!K63-SUM('Expenditures 15-22'!G63,'Expenditures 15-22'!I63)+'Expenditures 15-22'!D268-E10</f>
        <v>24118</v>
      </c>
    </row>
    <row r="31" spans="1:9" ht="12" customHeight="1" x14ac:dyDescent="0.2">
      <c r="A31" s="991" t="s">
        <v>101</v>
      </c>
      <c r="B31" s="994"/>
      <c r="C31" s="990">
        <v>2570</v>
      </c>
      <c r="D31" s="1726">
        <f>'Expenditures 15-22'!K64-SUM('Expenditures 15-22'!G64,'Expenditures 15-22'!I64)+'Expenditures 15-22'!D269-E12</f>
        <v>0</v>
      </c>
      <c r="E31" s="1726">
        <f>E12</f>
        <v>0</v>
      </c>
      <c r="F31" s="1726">
        <f>'Expenditures 15-22'!K64-SUM('Expenditures 15-22'!G64,'Expenditures 15-22'!I64)+'Expenditures 15-22'!D269-E12</f>
        <v>0</v>
      </c>
      <c r="G31" s="1726">
        <f>E12</f>
        <v>0</v>
      </c>
    </row>
    <row r="32" spans="1:9" ht="12" customHeight="1" x14ac:dyDescent="0.2">
      <c r="A32" s="987" t="s">
        <v>518</v>
      </c>
      <c r="B32" s="993"/>
      <c r="C32" s="990"/>
      <c r="D32" s="1724"/>
      <c r="E32" s="1724"/>
      <c r="F32" s="1724"/>
      <c r="G32" s="1724"/>
    </row>
    <row r="33" spans="1:7" ht="12" customHeight="1" x14ac:dyDescent="0.2">
      <c r="A33" s="991" t="s">
        <v>519</v>
      </c>
      <c r="B33" s="994"/>
      <c r="C33" s="990">
        <v>2610</v>
      </c>
      <c r="D33" s="1724"/>
      <c r="E33" s="1726">
        <f>'Expenditures 15-22'!K67-SUM('Expenditures 15-22'!G67,'Expenditures 15-22'!I67)+'Expenditures 15-22'!D272</f>
        <v>0</v>
      </c>
      <c r="F33" s="1724"/>
      <c r="G33" s="1726">
        <f>'Expenditures 15-22'!K67-SUM('Expenditures 15-22'!G67,'Expenditures 15-22'!I67)+'Expenditures 15-22'!D272</f>
        <v>0</v>
      </c>
    </row>
    <row r="34" spans="1:7" ht="12" customHeight="1" x14ac:dyDescent="0.2">
      <c r="A34" s="991" t="s">
        <v>520</v>
      </c>
      <c r="B34" s="994"/>
      <c r="C34" s="990">
        <v>2620</v>
      </c>
      <c r="D34" s="1724"/>
      <c r="E34" s="1726">
        <f>'Expenditures 15-22'!K68-SUM('Expenditures 15-22'!G68,'Expenditures 15-22'!I68)+'Expenditures 15-22'!D273</f>
        <v>0</v>
      </c>
      <c r="F34" s="1724"/>
      <c r="G34" s="1726">
        <f>'Expenditures 15-22'!K68-SUM('Expenditures 15-22'!G68,'Expenditures 15-22'!I68)+'Expenditures 15-22'!D273</f>
        <v>0</v>
      </c>
    </row>
    <row r="35" spans="1:7" ht="12" customHeight="1" x14ac:dyDescent="0.2">
      <c r="A35" s="991" t="s">
        <v>1061</v>
      </c>
      <c r="B35" s="994"/>
      <c r="C35" s="990">
        <v>2630</v>
      </c>
      <c r="D35" s="1724"/>
      <c r="E35" s="1726">
        <f>'Expenditures 15-22'!K69-SUM('Expenditures 15-22'!G69,'Expenditures 15-22'!I69)+'Expenditures 15-22'!D274</f>
        <v>0</v>
      </c>
      <c r="F35" s="1724"/>
      <c r="G35" s="1726">
        <f>'Expenditures 15-22'!K69-SUM('Expenditures 15-22'!G69,'Expenditures 15-22'!I69)+'Expenditures 15-22'!D274</f>
        <v>0</v>
      </c>
    </row>
    <row r="36" spans="1:7" ht="12" customHeight="1" x14ac:dyDescent="0.2">
      <c r="A36" s="991" t="s">
        <v>403</v>
      </c>
      <c r="B36" s="994"/>
      <c r="C36" s="990">
        <v>2640</v>
      </c>
      <c r="D36" s="1726">
        <f>'Expenditures 15-22'!K70-SUM('Expenditures 15-22'!G70,'Expenditures 15-22'!I70)+'Expenditures 15-22'!D275-E13</f>
        <v>0</v>
      </c>
      <c r="E36" s="1726">
        <f>E13</f>
        <v>0</v>
      </c>
      <c r="F36" s="1726">
        <f>'Expenditures 15-22'!K70-SUM('Expenditures 15-22'!G70,'Expenditures 15-22'!I70)+'Expenditures 15-22'!D275-E13</f>
        <v>0</v>
      </c>
      <c r="G36" s="1726">
        <f>E13</f>
        <v>0</v>
      </c>
    </row>
    <row r="37" spans="1:7" ht="12" customHeight="1" x14ac:dyDescent="0.2">
      <c r="A37" s="991" t="s">
        <v>404</v>
      </c>
      <c r="B37" s="994"/>
      <c r="C37" s="990">
        <v>2660</v>
      </c>
      <c r="D37" s="1726">
        <f>'Expenditures 15-22'!K71-SUM('Expenditures 15-22'!G71,'Expenditures 15-22'!I71)+'Expenditures 15-22'!D276-E14</f>
        <v>0</v>
      </c>
      <c r="E37" s="1726">
        <f>E14</f>
        <v>0</v>
      </c>
      <c r="F37" s="1726">
        <f>'Expenditures 15-22'!K71-SUM('Expenditures 15-22'!G71,'Expenditures 15-22'!I71)+'Expenditures 15-22'!D276-E14</f>
        <v>0</v>
      </c>
      <c r="G37" s="1726">
        <f>E14</f>
        <v>0</v>
      </c>
    </row>
    <row r="38" spans="1:7" ht="12" customHeight="1" x14ac:dyDescent="0.2">
      <c r="A38" s="987" t="s">
        <v>521</v>
      </c>
      <c r="B38" s="988"/>
      <c r="C38" s="990">
        <v>2900</v>
      </c>
      <c r="D38" s="1724"/>
      <c r="E38" s="1726">
        <f>'Expenditures 15-22'!K73-SUM('Expenditures 15-22'!G73,'Expenditures 15-22'!I73)+'Expenditures 15-22'!K128-SUM('Expenditures 15-22'!G128,'Expenditures 15-22'!I128)+'Expenditures 15-22'!K183-SUM('Expenditures 15-22'!G183,'Expenditures 15-22'!I183)+'Expenditures 15-22'!D278</f>
        <v>0</v>
      </c>
      <c r="F38" s="1724"/>
      <c r="G38" s="17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24"/>
      <c r="E39" s="1726">
        <f>'Expenditures 15-22'!K75-SUM('Expenditures 15-22'!G75,'Expenditures 15-22'!I75)+'Expenditures 15-22'!K130-SUM('Expenditures 15-22'!G130,'Expenditures 15-22'!I130)+'Expenditures 15-22'!K185-SUM('Expenditures 15-22'!G185,'Expenditures 15-22'!I185)+'Expenditures 15-22'!D280</f>
        <v>77369</v>
      </c>
      <c r="F39" s="1724"/>
      <c r="G39" s="1726">
        <f>'Expenditures 15-22'!K75-SUM('Expenditures 15-22'!G75,'Expenditures 15-22'!I75)+'Expenditures 15-22'!K130-SUM('Expenditures 15-22'!G130,'Expenditures 15-22'!I130)+'Expenditures 15-22'!K185-SUM('Expenditures 15-22'!G185,'Expenditures 15-22'!I185)+'Expenditures 15-22'!D280</f>
        <v>77369</v>
      </c>
    </row>
    <row r="40" spans="1:7" ht="12" customHeight="1" x14ac:dyDescent="0.2">
      <c r="A40" s="987" t="s">
        <v>1818</v>
      </c>
      <c r="B40" s="988"/>
      <c r="C40" s="990"/>
      <c r="D40" s="1724"/>
      <c r="E40" s="1728">
        <f>-'Contracts Paid in CY 29'!G141</f>
        <v>-17875</v>
      </c>
      <c r="F40" s="1724"/>
      <c r="G40" s="1728">
        <f>-'Contracts Paid in CY 29'!G141</f>
        <v>-17875</v>
      </c>
    </row>
    <row r="41" spans="1:7" ht="12" customHeight="1" x14ac:dyDescent="0.2">
      <c r="A41" s="995" t="s">
        <v>156</v>
      </c>
      <c r="B41" s="996"/>
      <c r="C41" s="997"/>
      <c r="D41" s="1728">
        <f>SUM(D19:D39)</f>
        <v>9617</v>
      </c>
      <c r="E41" s="1728">
        <f>SUM(E19:E40)</f>
        <v>5413473</v>
      </c>
      <c r="F41" s="1728">
        <f>SUM(F19:F39)</f>
        <v>148842</v>
      </c>
      <c r="G41" s="1728">
        <f>SUM(G19:G40)</f>
        <v>5274248</v>
      </c>
    </row>
    <row r="42" spans="1:7" x14ac:dyDescent="0.2">
      <c r="A42" s="984"/>
      <c r="B42" s="162"/>
      <c r="C42" s="998"/>
      <c r="D42" s="2393" t="s">
        <v>522</v>
      </c>
      <c r="E42" s="2394"/>
      <c r="F42" s="999" t="s">
        <v>523</v>
      </c>
      <c r="G42" s="1000"/>
    </row>
    <row r="43" spans="1:7" ht="12" customHeight="1" x14ac:dyDescent="0.2">
      <c r="A43" s="984"/>
      <c r="B43" s="162"/>
      <c r="C43" s="998"/>
      <c r="D43" s="1729" t="s">
        <v>473</v>
      </c>
      <c r="E43" s="1730">
        <f>D41</f>
        <v>9617</v>
      </c>
      <c r="F43" s="1729" t="s">
        <v>473</v>
      </c>
      <c r="G43" s="1730">
        <f>F41</f>
        <v>148842</v>
      </c>
    </row>
    <row r="44" spans="1:7" ht="12" customHeight="1" x14ac:dyDescent="0.2">
      <c r="A44" s="984"/>
      <c r="B44" s="162"/>
      <c r="C44" s="998"/>
      <c r="D44" s="1729" t="s">
        <v>474</v>
      </c>
      <c r="E44" s="1730">
        <f>E41</f>
        <v>5413473</v>
      </c>
      <c r="F44" s="1729" t="s">
        <v>474</v>
      </c>
      <c r="G44" s="1730">
        <f>G41</f>
        <v>5274248</v>
      </c>
    </row>
    <row r="45" spans="1:7" ht="12" customHeight="1" x14ac:dyDescent="0.2">
      <c r="A45" s="984"/>
      <c r="B45" s="162"/>
      <c r="C45" s="162"/>
      <c r="D45" s="1731" t="s">
        <v>1006</v>
      </c>
      <c r="E45" s="1732">
        <f>(E43/E44)</f>
        <v>1.7764935744576541E-3</v>
      </c>
      <c r="F45" s="1731" t="s">
        <v>1006</v>
      </c>
      <c r="G45" s="1732">
        <f>(G43/G44)</f>
        <v>2.8220515986354833E-2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17" sqref="A17:J17"/>
      <selection pane="bottomLeft" activeCell="A5" sqref="A5:F5"/>
    </sheetView>
  </sheetViews>
  <sheetFormatPr defaultColWidth="9.140625" defaultRowHeight="12.75" x14ac:dyDescent="0.2"/>
  <cols>
    <col min="1" max="1" width="54.5703125" style="1796" customWidth="1"/>
    <col min="2" max="2" width="4.140625" style="1796" customWidth="1"/>
    <col min="3" max="4" width="9.85546875" style="1767" customWidth="1"/>
    <col min="5" max="5" width="12.5703125" style="1797" customWidth="1"/>
    <col min="6" max="6" width="67.5703125" style="1767" customWidth="1"/>
    <col min="7" max="7" width="9.140625" style="1767" customWidth="1"/>
    <col min="8" max="8" width="5.5703125" style="1798" bestFit="1" customWidth="1"/>
    <col min="9" max="10" width="2" style="1798" bestFit="1" customWidth="1"/>
    <col min="11" max="11" width="9" style="1798" customWidth="1"/>
    <col min="12" max="16384" width="9.140625" style="1767"/>
  </cols>
  <sheetData>
    <row r="1" spans="1:10" x14ac:dyDescent="0.2">
      <c r="A1" s="2401" t="s">
        <v>1379</v>
      </c>
      <c r="B1" s="2401"/>
      <c r="C1" s="2401"/>
      <c r="D1" s="2401"/>
      <c r="E1" s="2401"/>
      <c r="F1" s="2401"/>
    </row>
    <row r="2" spans="1:10" x14ac:dyDescent="0.2">
      <c r="A2" s="1807" t="s">
        <v>1906</v>
      </c>
      <c r="B2" s="1768"/>
      <c r="C2" s="1807"/>
      <c r="D2" s="1768"/>
      <c r="E2" s="1768"/>
      <c r="F2" s="1769"/>
    </row>
    <row r="3" spans="1:10" x14ac:dyDescent="0.2">
      <c r="A3" s="1807" t="s">
        <v>1972</v>
      </c>
      <c r="B3" s="1768"/>
      <c r="C3" s="1807"/>
      <c r="D3" s="1768"/>
      <c r="E3" s="1768"/>
      <c r="F3" s="1769"/>
    </row>
    <row r="4" spans="1:10" ht="3.75" customHeight="1" x14ac:dyDescent="0.2">
      <c r="A4" s="1768"/>
      <c r="B4" s="1768"/>
      <c r="C4" s="1768"/>
      <c r="D4" s="1768"/>
      <c r="E4" s="1768"/>
      <c r="F4" s="1769"/>
    </row>
    <row r="5" spans="1:10" ht="15" x14ac:dyDescent="0.25">
      <c r="A5" s="2402" t="s">
        <v>1546</v>
      </c>
      <c r="B5" s="2403"/>
      <c r="C5" s="2404"/>
      <c r="D5" s="2404"/>
      <c r="E5" s="2404"/>
      <c r="F5" s="2404"/>
    </row>
    <row r="6" spans="1:10" ht="12" customHeight="1" x14ac:dyDescent="0.25">
      <c r="A6" s="1770"/>
      <c r="B6" s="1771"/>
      <c r="C6" s="2405" t="str">
        <f>COVER!A17</f>
        <v>Woodford County Spec Educ Assn</v>
      </c>
      <c r="D6" s="2405"/>
      <c r="E6" s="2405"/>
      <c r="F6" s="1772"/>
    </row>
    <row r="7" spans="1:10" ht="11.25" customHeight="1" thickBot="1" x14ac:dyDescent="0.3">
      <c r="A7" s="1770"/>
      <c r="B7" s="1771"/>
      <c r="C7" s="2406">
        <f>COVER!A13</f>
        <v>53102069061</v>
      </c>
      <c r="D7" s="2406"/>
      <c r="E7" s="2406"/>
      <c r="F7" s="1772"/>
    </row>
    <row r="8" spans="1:10" ht="25.5" customHeight="1" thickBot="1" x14ac:dyDescent="0.25">
      <c r="A8" s="1813" t="s">
        <v>1902</v>
      </c>
      <c r="B8" s="1773" t="s">
        <v>2064</v>
      </c>
      <c r="C8" s="1809" t="s">
        <v>1679</v>
      </c>
      <c r="D8" s="1808" t="s">
        <v>1680</v>
      </c>
      <c r="E8" s="1810" t="s">
        <v>1380</v>
      </c>
      <c r="F8" s="1808" t="s">
        <v>1681</v>
      </c>
      <c r="H8" s="1774" t="b">
        <v>0</v>
      </c>
    </row>
    <row r="9" spans="1:10" ht="15.75" customHeight="1" x14ac:dyDescent="0.2">
      <c r="A9" s="1775" t="s">
        <v>1542</v>
      </c>
      <c r="B9" s="1776"/>
      <c r="C9" s="1777"/>
      <c r="D9" s="1777"/>
      <c r="E9" s="1778"/>
      <c r="F9" s="1779"/>
    </row>
    <row r="10" spans="1:10" ht="27.75" customHeight="1" x14ac:dyDescent="0.2">
      <c r="A10" s="1780" t="s">
        <v>1678</v>
      </c>
      <c r="B10" s="1781"/>
      <c r="C10" s="1782"/>
      <c r="D10" s="1782"/>
      <c r="E10" s="1811" t="s">
        <v>1381</v>
      </c>
      <c r="F10" s="1812" t="s">
        <v>1382</v>
      </c>
    </row>
    <row r="11" spans="1:10" ht="12" customHeight="1" x14ac:dyDescent="0.2">
      <c r="A11" s="1783" t="s">
        <v>1383</v>
      </c>
      <c r="B11" s="1784"/>
      <c r="C11" s="1785"/>
      <c r="D11" s="1785"/>
      <c r="E11" s="1786"/>
      <c r="F11" s="1787"/>
      <c r="H11" s="1798">
        <f>IF(C11="X",5,0)</f>
        <v>0</v>
      </c>
      <c r="I11" s="1798">
        <f>IF(D11="X",5,0)</f>
        <v>0</v>
      </c>
      <c r="J11" s="1798">
        <f>IF(E11="X",5,0)</f>
        <v>0</v>
      </c>
    </row>
    <row r="12" spans="1:10" ht="12" customHeight="1" x14ac:dyDescent="0.2">
      <c r="A12" s="1783" t="s">
        <v>1384</v>
      </c>
      <c r="B12" s="1784"/>
      <c r="C12" s="1785"/>
      <c r="D12" s="1785"/>
      <c r="E12" s="1788"/>
      <c r="F12" s="1787"/>
      <c r="H12" s="1798">
        <f t="shared" ref="H12:H33" si="0">IF(C12="X",5,0)</f>
        <v>0</v>
      </c>
      <c r="I12" s="1798">
        <f t="shared" ref="I12:I33" si="1">IF(D12="X",5,0)</f>
        <v>0</v>
      </c>
      <c r="J12" s="1798">
        <f t="shared" ref="J12:J33" si="2">IF(E12="X",5,0)</f>
        <v>0</v>
      </c>
    </row>
    <row r="13" spans="1:10" ht="12" customHeight="1" x14ac:dyDescent="0.2">
      <c r="A13" s="1783" t="s">
        <v>1385</v>
      </c>
      <c r="B13" s="1784"/>
      <c r="C13" s="1785"/>
      <c r="D13" s="1785"/>
      <c r="E13" s="1788"/>
      <c r="F13" s="1787"/>
      <c r="H13" s="1798">
        <f t="shared" si="0"/>
        <v>0</v>
      </c>
      <c r="I13" s="1798">
        <f t="shared" si="1"/>
        <v>0</v>
      </c>
      <c r="J13" s="1798">
        <f t="shared" si="2"/>
        <v>0</v>
      </c>
    </row>
    <row r="14" spans="1:10" ht="12" customHeight="1" x14ac:dyDescent="0.2">
      <c r="A14" s="1783" t="s">
        <v>1386</v>
      </c>
      <c r="B14" s="1784"/>
      <c r="C14" s="1785"/>
      <c r="D14" s="1785"/>
      <c r="E14" s="1788"/>
      <c r="F14" s="1787"/>
      <c r="H14" s="1798">
        <f t="shared" si="0"/>
        <v>0</v>
      </c>
      <c r="I14" s="1798">
        <f t="shared" si="1"/>
        <v>0</v>
      </c>
      <c r="J14" s="1798">
        <f t="shared" si="2"/>
        <v>0</v>
      </c>
    </row>
    <row r="15" spans="1:10" ht="12" customHeight="1" x14ac:dyDescent="0.2">
      <c r="A15" s="1783" t="s">
        <v>1387</v>
      </c>
      <c r="B15" s="1784"/>
      <c r="C15" s="1785"/>
      <c r="D15" s="1785"/>
      <c r="E15" s="1788"/>
      <c r="F15" s="1787"/>
      <c r="H15" s="1798">
        <f t="shared" si="0"/>
        <v>0</v>
      </c>
      <c r="I15" s="1798">
        <f t="shared" si="1"/>
        <v>0</v>
      </c>
      <c r="J15" s="1798">
        <f t="shared" si="2"/>
        <v>0</v>
      </c>
    </row>
    <row r="16" spans="1:10" ht="12" customHeight="1" x14ac:dyDescent="0.2">
      <c r="A16" s="1783" t="s">
        <v>1388</v>
      </c>
      <c r="B16" s="1784"/>
      <c r="C16" s="1785"/>
      <c r="D16" s="1785"/>
      <c r="E16" s="1788"/>
      <c r="F16" s="1787"/>
      <c r="H16" s="1798">
        <f t="shared" si="0"/>
        <v>0</v>
      </c>
      <c r="I16" s="1798">
        <f t="shared" si="1"/>
        <v>0</v>
      </c>
      <c r="J16" s="1798">
        <f t="shared" si="2"/>
        <v>0</v>
      </c>
    </row>
    <row r="17" spans="1:12" ht="12" customHeight="1" x14ac:dyDescent="0.2">
      <c r="A17" s="1783" t="s">
        <v>1389</v>
      </c>
      <c r="B17" s="1784"/>
      <c r="C17" s="1785"/>
      <c r="D17" s="1785"/>
      <c r="E17" s="1788"/>
      <c r="F17" s="1787"/>
      <c r="H17" s="1798">
        <f t="shared" si="0"/>
        <v>0</v>
      </c>
      <c r="I17" s="1798">
        <f t="shared" si="1"/>
        <v>0</v>
      </c>
      <c r="J17" s="1798">
        <f t="shared" si="2"/>
        <v>0</v>
      </c>
    </row>
    <row r="18" spans="1:12" ht="12" customHeight="1" x14ac:dyDescent="0.2">
      <c r="A18" s="1783" t="s">
        <v>1390</v>
      </c>
      <c r="B18" s="1784"/>
      <c r="C18" s="1785"/>
      <c r="D18" s="1785"/>
      <c r="E18" s="1788"/>
      <c r="F18" s="1787"/>
      <c r="H18" s="1798">
        <f t="shared" si="0"/>
        <v>0</v>
      </c>
      <c r="I18" s="1798">
        <f t="shared" si="1"/>
        <v>0</v>
      </c>
      <c r="J18" s="1798">
        <f t="shared" si="2"/>
        <v>0</v>
      </c>
    </row>
    <row r="19" spans="1:12" ht="12" customHeight="1" x14ac:dyDescent="0.2">
      <c r="A19" s="1783" t="s">
        <v>1527</v>
      </c>
      <c r="B19" s="1784"/>
      <c r="C19" s="1785"/>
      <c r="D19" s="1785"/>
      <c r="E19" s="1788"/>
      <c r="F19" s="1787"/>
      <c r="H19" s="1798">
        <f t="shared" si="0"/>
        <v>0</v>
      </c>
      <c r="I19" s="1798">
        <f t="shared" si="1"/>
        <v>0</v>
      </c>
      <c r="J19" s="1798">
        <f t="shared" si="2"/>
        <v>0</v>
      </c>
    </row>
    <row r="20" spans="1:12" ht="12" customHeight="1" x14ac:dyDescent="0.2">
      <c r="A20" s="1783" t="s">
        <v>1528</v>
      </c>
      <c r="B20" s="1784"/>
      <c r="C20" s="1785"/>
      <c r="D20" s="1785"/>
      <c r="E20" s="1788"/>
      <c r="F20" s="1787"/>
      <c r="H20" s="1798">
        <f t="shared" si="0"/>
        <v>0</v>
      </c>
      <c r="I20" s="1798">
        <f t="shared" si="1"/>
        <v>0</v>
      </c>
      <c r="J20" s="1798">
        <f t="shared" si="2"/>
        <v>0</v>
      </c>
    </row>
    <row r="21" spans="1:12" ht="12" customHeight="1" x14ac:dyDescent="0.2">
      <c r="A21" s="1783" t="s">
        <v>1529</v>
      </c>
      <c r="B21" s="1784"/>
      <c r="C21" s="1785"/>
      <c r="D21" s="1785"/>
      <c r="E21" s="1788"/>
      <c r="F21" s="1787"/>
      <c r="H21" s="1798">
        <f t="shared" si="0"/>
        <v>0</v>
      </c>
      <c r="I21" s="1798">
        <f t="shared" si="1"/>
        <v>0</v>
      </c>
      <c r="J21" s="1798">
        <f t="shared" si="2"/>
        <v>0</v>
      </c>
    </row>
    <row r="22" spans="1:12" ht="12" customHeight="1" x14ac:dyDescent="0.2">
      <c r="A22" s="1783" t="s">
        <v>1530</v>
      </c>
      <c r="B22" s="1784"/>
      <c r="C22" s="1785"/>
      <c r="D22" s="1785"/>
      <c r="E22" s="1788"/>
      <c r="F22" s="1787"/>
      <c r="H22" s="1798">
        <f t="shared" si="0"/>
        <v>0</v>
      </c>
      <c r="I22" s="1798">
        <f t="shared" si="1"/>
        <v>0</v>
      </c>
      <c r="J22" s="1798">
        <f t="shared" si="2"/>
        <v>0</v>
      </c>
    </row>
    <row r="23" spans="1:12" ht="12" customHeight="1" x14ac:dyDescent="0.2">
      <c r="A23" s="1783" t="s">
        <v>1531</v>
      </c>
      <c r="B23" s="1784"/>
      <c r="C23" s="1785"/>
      <c r="D23" s="1785"/>
      <c r="E23" s="1788"/>
      <c r="F23" s="1787"/>
      <c r="H23" s="1798">
        <f t="shared" si="0"/>
        <v>0</v>
      </c>
      <c r="I23" s="1798">
        <f t="shared" si="1"/>
        <v>0</v>
      </c>
      <c r="J23" s="1798">
        <f t="shared" si="2"/>
        <v>0</v>
      </c>
    </row>
    <row r="24" spans="1:12" ht="12" customHeight="1" x14ac:dyDescent="0.2">
      <c r="A24" s="1783" t="s">
        <v>1532</v>
      </c>
      <c r="B24" s="1784"/>
      <c r="C24" s="1785"/>
      <c r="D24" s="1785"/>
      <c r="E24" s="1788"/>
      <c r="F24" s="1787"/>
      <c r="H24" s="1798">
        <f t="shared" si="0"/>
        <v>0</v>
      </c>
      <c r="I24" s="1798">
        <f t="shared" si="1"/>
        <v>0</v>
      </c>
      <c r="J24" s="1798">
        <f t="shared" si="2"/>
        <v>0</v>
      </c>
    </row>
    <row r="25" spans="1:12" ht="12" customHeight="1" x14ac:dyDescent="0.2">
      <c r="A25" s="1783" t="s">
        <v>1533</v>
      </c>
      <c r="B25" s="1784"/>
      <c r="C25" s="1785"/>
      <c r="D25" s="1785"/>
      <c r="E25" s="1788"/>
      <c r="F25" s="1787"/>
      <c r="H25" s="1798">
        <f t="shared" si="0"/>
        <v>0</v>
      </c>
      <c r="I25" s="1798">
        <f t="shared" si="1"/>
        <v>0</v>
      </c>
      <c r="J25" s="1798">
        <f t="shared" si="2"/>
        <v>0</v>
      </c>
    </row>
    <row r="26" spans="1:12" ht="12" customHeight="1" x14ac:dyDescent="0.2">
      <c r="A26" s="1783" t="s">
        <v>1534</v>
      </c>
      <c r="B26" s="1784"/>
      <c r="C26" s="1785"/>
      <c r="D26" s="1785"/>
      <c r="E26" s="1788"/>
      <c r="F26" s="1787"/>
      <c r="H26" s="1798">
        <f t="shared" si="0"/>
        <v>0</v>
      </c>
      <c r="I26" s="1798">
        <f t="shared" si="1"/>
        <v>0</v>
      </c>
      <c r="J26" s="1798">
        <f t="shared" si="2"/>
        <v>0</v>
      </c>
    </row>
    <row r="27" spans="1:12" ht="18.75" x14ac:dyDescent="0.2">
      <c r="A27" s="1783" t="s">
        <v>1535</v>
      </c>
      <c r="B27" s="1784"/>
      <c r="C27" s="1785"/>
      <c r="D27" s="1785"/>
      <c r="E27" s="1788"/>
      <c r="F27" s="1787"/>
      <c r="H27" s="1798">
        <f t="shared" si="0"/>
        <v>0</v>
      </c>
      <c r="I27" s="1798">
        <f t="shared" si="1"/>
        <v>0</v>
      </c>
      <c r="J27" s="1798">
        <f t="shared" si="2"/>
        <v>0</v>
      </c>
    </row>
    <row r="28" spans="1:12" ht="12" customHeight="1" x14ac:dyDescent="0.2">
      <c r="A28" s="1783" t="s">
        <v>1536</v>
      </c>
      <c r="B28" s="1784"/>
      <c r="C28" s="1785"/>
      <c r="D28" s="1785"/>
      <c r="E28" s="1788"/>
      <c r="F28" s="1787"/>
      <c r="H28" s="1798">
        <f t="shared" si="0"/>
        <v>0</v>
      </c>
      <c r="I28" s="1798">
        <f t="shared" si="1"/>
        <v>0</v>
      </c>
      <c r="J28" s="1798">
        <f t="shared" si="2"/>
        <v>0</v>
      </c>
    </row>
    <row r="29" spans="1:12" ht="12" customHeight="1" x14ac:dyDescent="0.2">
      <c r="A29" s="1783" t="s">
        <v>1537</v>
      </c>
      <c r="B29" s="1784"/>
      <c r="C29" s="1785"/>
      <c r="D29" s="1785"/>
      <c r="E29" s="1788"/>
      <c r="F29" s="1787"/>
      <c r="H29" s="1798">
        <f t="shared" si="0"/>
        <v>0</v>
      </c>
      <c r="I29" s="1798">
        <f t="shared" si="1"/>
        <v>0</v>
      </c>
      <c r="J29" s="1798">
        <f t="shared" si="2"/>
        <v>0</v>
      </c>
    </row>
    <row r="30" spans="1:12" ht="12" customHeight="1" x14ac:dyDescent="0.2">
      <c r="A30" s="1783" t="s">
        <v>1538</v>
      </c>
      <c r="B30" s="1784"/>
      <c r="C30" s="1785"/>
      <c r="D30" s="1785"/>
      <c r="E30" s="1788"/>
      <c r="F30" s="1787"/>
      <c r="H30" s="1798">
        <f t="shared" si="0"/>
        <v>0</v>
      </c>
      <c r="I30" s="1798">
        <f t="shared" si="1"/>
        <v>0</v>
      </c>
      <c r="J30" s="1798">
        <f t="shared" si="2"/>
        <v>0</v>
      </c>
    </row>
    <row r="31" spans="1:12" ht="12" customHeight="1" x14ac:dyDescent="0.2">
      <c r="A31" s="1783" t="s">
        <v>1539</v>
      </c>
      <c r="B31" s="1784"/>
      <c r="C31" s="1785"/>
      <c r="D31" s="1785"/>
      <c r="E31" s="1788"/>
      <c r="F31" s="1787"/>
      <c r="H31" s="1798">
        <f t="shared" si="0"/>
        <v>0</v>
      </c>
      <c r="I31" s="1798">
        <f t="shared" si="1"/>
        <v>0</v>
      </c>
      <c r="J31" s="1798">
        <f t="shared" si="2"/>
        <v>0</v>
      </c>
      <c r="L31" s="1789"/>
    </row>
    <row r="32" spans="1:12" ht="12" customHeight="1" x14ac:dyDescent="0.2">
      <c r="A32" s="1783" t="s">
        <v>1540</v>
      </c>
      <c r="B32" s="1784"/>
      <c r="C32" s="1785"/>
      <c r="D32" s="1785"/>
      <c r="E32" s="1788"/>
      <c r="F32" s="1787"/>
      <c r="H32" s="1798">
        <f t="shared" si="0"/>
        <v>0</v>
      </c>
      <c r="I32" s="1798">
        <f t="shared" si="1"/>
        <v>0</v>
      </c>
      <c r="J32" s="1798">
        <f t="shared" si="2"/>
        <v>0</v>
      </c>
    </row>
    <row r="33" spans="1:11" ht="12" customHeight="1" x14ac:dyDescent="0.2">
      <c r="A33" s="1783" t="s">
        <v>1541</v>
      </c>
      <c r="B33" s="1784"/>
      <c r="C33" s="1785"/>
      <c r="D33" s="1785"/>
      <c r="E33" s="1788"/>
      <c r="F33" s="1787"/>
      <c r="H33" s="1798">
        <f t="shared" si="0"/>
        <v>0</v>
      </c>
      <c r="I33" s="1798">
        <f t="shared" si="1"/>
        <v>0</v>
      </c>
      <c r="J33" s="1798">
        <f t="shared" si="2"/>
        <v>0</v>
      </c>
    </row>
    <row r="34" spans="1:11" ht="12" customHeight="1" x14ac:dyDescent="0.25">
      <c r="A34" s="1790"/>
      <c r="B34" s="1790"/>
      <c r="C34" s="1790"/>
      <c r="D34" s="1790"/>
      <c r="E34" s="1790"/>
      <c r="F34" s="1790"/>
      <c r="H34" s="1798">
        <f>SUM(H11:H32)</f>
        <v>0</v>
      </c>
      <c r="I34" s="1798">
        <f>SUM(I11:I32)</f>
        <v>0</v>
      </c>
      <c r="J34" s="1798">
        <f>SUM(J11:J32)</f>
        <v>0</v>
      </c>
      <c r="K34" s="1798">
        <f>SUM(H34:J34)</f>
        <v>0</v>
      </c>
    </row>
    <row r="35" spans="1:11" ht="12" customHeight="1" x14ac:dyDescent="0.2">
      <c r="A35" s="1791" t="s">
        <v>1392</v>
      </c>
      <c r="B35" s="1792"/>
      <c r="C35" s="2407"/>
      <c r="D35" s="2407"/>
      <c r="E35" s="2407"/>
      <c r="F35" s="2408"/>
    </row>
    <row r="36" spans="1:11" ht="12" customHeight="1" x14ac:dyDescent="0.2">
      <c r="A36" s="2398"/>
      <c r="B36" s="2399"/>
      <c r="C36" s="2399"/>
      <c r="D36" s="2399"/>
      <c r="E36" s="2399"/>
      <c r="F36" s="2400"/>
    </row>
    <row r="37" spans="1:11" ht="12" customHeight="1" x14ac:dyDescent="0.2">
      <c r="A37" s="2398"/>
      <c r="B37" s="2399"/>
      <c r="C37" s="2399"/>
      <c r="D37" s="2399"/>
      <c r="E37" s="2399"/>
      <c r="F37" s="2400"/>
    </row>
    <row r="38" spans="1:11" ht="12" customHeight="1" x14ac:dyDescent="0.2">
      <c r="A38" s="2412"/>
      <c r="B38" s="2413"/>
      <c r="C38" s="2413"/>
      <c r="D38" s="2413"/>
      <c r="E38" s="2413"/>
      <c r="F38" s="2414"/>
    </row>
    <row r="39" spans="1:11" ht="4.5" hidden="1" customHeight="1" x14ac:dyDescent="0.2">
      <c r="A39" s="1793"/>
      <c r="B39" s="1793"/>
      <c r="C39" s="1793"/>
      <c r="D39" s="1793"/>
      <c r="E39" s="1793"/>
      <c r="F39" s="1793"/>
    </row>
    <row r="40" spans="1:11" s="1790" customFormat="1" ht="12" customHeight="1" x14ac:dyDescent="0.25">
      <c r="A40" s="1794" t="s">
        <v>1391</v>
      </c>
      <c r="B40" s="1795"/>
      <c r="C40" s="2415"/>
      <c r="D40" s="2415"/>
      <c r="E40" s="2415"/>
      <c r="F40" s="2416"/>
      <c r="H40" s="1799"/>
      <c r="I40" s="1799"/>
      <c r="J40" s="1799"/>
      <c r="K40" s="1799"/>
    </row>
    <row r="41" spans="1:11" s="1790" customFormat="1" ht="12" customHeight="1" x14ac:dyDescent="0.25">
      <c r="A41" s="2417"/>
      <c r="B41" s="2418"/>
      <c r="C41" s="2418"/>
      <c r="D41" s="2418"/>
      <c r="E41" s="2418"/>
      <c r="F41" s="2419"/>
      <c r="H41" s="1799"/>
      <c r="I41" s="1799"/>
      <c r="J41" s="1799"/>
      <c r="K41" s="1799"/>
    </row>
    <row r="42" spans="1:11" s="1790" customFormat="1" ht="12" customHeight="1" x14ac:dyDescent="0.25">
      <c r="A42" s="2417"/>
      <c r="B42" s="2418"/>
      <c r="C42" s="2418"/>
      <c r="D42" s="2418"/>
      <c r="E42" s="2418"/>
      <c r="F42" s="2419"/>
      <c r="H42" s="1799"/>
      <c r="I42" s="1799"/>
      <c r="J42" s="1799"/>
      <c r="K42" s="1799"/>
    </row>
    <row r="43" spans="1:11" s="1790" customFormat="1" ht="15" x14ac:dyDescent="0.25">
      <c r="A43" s="2409"/>
      <c r="B43" s="2410"/>
      <c r="C43" s="2410"/>
      <c r="D43" s="2410"/>
      <c r="E43" s="2410"/>
      <c r="F43" s="2411"/>
      <c r="H43" s="1799"/>
      <c r="I43" s="1799"/>
      <c r="J43" s="1799"/>
      <c r="K43" s="1799"/>
    </row>
    <row r="44" spans="1:11" s="1790" customFormat="1" ht="12" hidden="1" customHeight="1" x14ac:dyDescent="0.25">
      <c r="A44" s="2409"/>
      <c r="B44" s="2410"/>
      <c r="C44" s="2410"/>
      <c r="D44" s="2410"/>
      <c r="E44" s="2410"/>
      <c r="F44" s="2411"/>
      <c r="H44" s="1799"/>
      <c r="I44" s="1799"/>
      <c r="J44" s="1799"/>
      <c r="K44" s="1799"/>
    </row>
    <row r="45" spans="1:11" s="1790" customFormat="1" ht="12" customHeight="1" x14ac:dyDescent="0.25">
      <c r="H45" s="1799"/>
      <c r="I45" s="1799"/>
      <c r="J45" s="1799"/>
      <c r="K45" s="1799"/>
    </row>
    <row r="46" spans="1:11" s="1790" customFormat="1" ht="9.75" customHeight="1" x14ac:dyDescent="0.25">
      <c r="H46" s="1799"/>
      <c r="I46" s="1799"/>
      <c r="J46" s="1799"/>
      <c r="K46" s="1799"/>
    </row>
    <row r="47" spans="1:11" s="1790" customFormat="1" ht="13.5" customHeight="1" x14ac:dyDescent="0.25">
      <c r="H47" s="1799"/>
      <c r="I47" s="1799"/>
      <c r="J47" s="1799"/>
      <c r="K47" s="1799"/>
    </row>
    <row r="48" spans="1:11" s="1790" customFormat="1" ht="15" x14ac:dyDescent="0.25">
      <c r="H48" s="1799"/>
      <c r="I48" s="1799"/>
      <c r="J48" s="1799"/>
      <c r="K48" s="1799"/>
    </row>
    <row r="49" spans="1:11" s="1790" customFormat="1" ht="15" hidden="1" x14ac:dyDescent="0.25">
      <c r="A49" s="1790" t="b">
        <v>0</v>
      </c>
      <c r="H49" s="1799"/>
      <c r="I49" s="1799"/>
      <c r="J49" s="1799"/>
      <c r="K49" s="1799"/>
    </row>
    <row r="50" spans="1:11" s="1790" customFormat="1" ht="15" x14ac:dyDescent="0.25">
      <c r="H50" s="1799"/>
      <c r="I50" s="1799"/>
      <c r="J50" s="1799"/>
      <c r="K50" s="1799"/>
    </row>
    <row r="51" spans="1:11" s="1790" customFormat="1" ht="15" x14ac:dyDescent="0.25">
      <c r="H51" s="1799"/>
      <c r="I51" s="1799"/>
      <c r="J51" s="1799"/>
      <c r="K51" s="1799"/>
    </row>
    <row r="52" spans="1:11" s="1790" customFormat="1" ht="15" x14ac:dyDescent="0.25">
      <c r="H52" s="1799"/>
      <c r="I52" s="1799"/>
      <c r="J52" s="1799"/>
      <c r="K52" s="1799"/>
    </row>
    <row r="53" spans="1:11" s="1790" customFormat="1" ht="15" x14ac:dyDescent="0.25">
      <c r="H53" s="1799"/>
      <c r="I53" s="1799"/>
      <c r="J53" s="1799"/>
      <c r="K53" s="1799"/>
    </row>
    <row r="54" spans="1:11" s="1790" customFormat="1" ht="15" x14ac:dyDescent="0.25">
      <c r="H54" s="1799"/>
      <c r="I54" s="1799"/>
      <c r="J54" s="1799"/>
      <c r="K54" s="1799"/>
    </row>
    <row r="55" spans="1:11" s="1790" customFormat="1" ht="15" x14ac:dyDescent="0.25">
      <c r="H55" s="1799"/>
      <c r="I55" s="1799"/>
      <c r="J55" s="1799"/>
      <c r="K55" s="1799"/>
    </row>
    <row r="56" spans="1:11" s="1790" customFormat="1" ht="15" x14ac:dyDescent="0.25">
      <c r="H56" s="1799"/>
      <c r="I56" s="1799"/>
      <c r="J56" s="1799"/>
      <c r="K56" s="1799"/>
    </row>
    <row r="57" spans="1:11" s="1790" customFormat="1" ht="15" x14ac:dyDescent="0.25">
      <c r="H57" s="1799"/>
      <c r="I57" s="1799"/>
      <c r="J57" s="1799"/>
      <c r="K57" s="1799"/>
    </row>
    <row r="58" spans="1:11" s="1790" customFormat="1" ht="15" x14ac:dyDescent="0.25">
      <c r="H58" s="1799"/>
      <c r="I58" s="1799"/>
      <c r="J58" s="1799"/>
      <c r="K58" s="1799"/>
    </row>
    <row r="59" spans="1:11" s="1790" customFormat="1" ht="15" x14ac:dyDescent="0.25">
      <c r="H59" s="1799"/>
      <c r="I59" s="1799"/>
      <c r="J59" s="1799"/>
      <c r="K59" s="1799"/>
    </row>
    <row r="60" spans="1:11" s="1790" customFormat="1" ht="15" x14ac:dyDescent="0.25">
      <c r="H60" s="1799"/>
      <c r="I60" s="1799"/>
      <c r="J60" s="1799"/>
      <c r="K60" s="1799"/>
    </row>
    <row r="61" spans="1:11" s="1790" customFormat="1" ht="15" x14ac:dyDescent="0.25">
      <c r="H61" s="1799"/>
      <c r="I61" s="1799"/>
      <c r="J61" s="1799"/>
      <c r="K61" s="1799"/>
    </row>
    <row r="62" spans="1:11" s="1790" customFormat="1" ht="15" x14ac:dyDescent="0.25">
      <c r="H62" s="1799"/>
      <c r="I62" s="1799"/>
      <c r="J62" s="1799"/>
      <c r="K62" s="1799"/>
    </row>
    <row r="63" spans="1:11" s="1790" customFormat="1" ht="15" x14ac:dyDescent="0.25">
      <c r="H63" s="1799"/>
      <c r="I63" s="1799"/>
      <c r="J63" s="1799"/>
      <c r="K63" s="1799"/>
    </row>
    <row r="64" spans="1:11" s="1790" customFormat="1" ht="15" x14ac:dyDescent="0.25">
      <c r="H64" s="1799"/>
      <c r="I64" s="1799"/>
      <c r="J64" s="1799"/>
      <c r="K64" s="1799"/>
    </row>
    <row r="65" spans="8:11" s="1790" customFormat="1" ht="15" x14ac:dyDescent="0.25">
      <c r="H65" s="1799"/>
      <c r="I65" s="1799"/>
      <c r="J65" s="1799"/>
      <c r="K65" s="1799"/>
    </row>
    <row r="66" spans="8:11" s="1790" customFormat="1" ht="15" x14ac:dyDescent="0.25">
      <c r="H66" s="1799"/>
      <c r="I66" s="1799"/>
      <c r="J66" s="1799"/>
      <c r="K66" s="1799"/>
    </row>
    <row r="67" spans="8:11" s="1790" customFormat="1" ht="15" x14ac:dyDescent="0.25">
      <c r="H67" s="1799"/>
      <c r="I67" s="1799"/>
      <c r="J67" s="1799"/>
      <c r="K67" s="1799"/>
    </row>
    <row r="68" spans="8:11" s="1790" customFormat="1" ht="15" x14ac:dyDescent="0.25">
      <c r="H68" s="1799"/>
      <c r="I68" s="1799"/>
      <c r="J68" s="1799"/>
      <c r="K68" s="1799"/>
    </row>
    <row r="69" spans="8:11" s="1790" customFormat="1" ht="15" x14ac:dyDescent="0.25">
      <c r="H69" s="1799"/>
      <c r="I69" s="1799"/>
      <c r="J69" s="1799"/>
      <c r="K69" s="1799"/>
    </row>
    <row r="70" spans="8:11" s="1790" customFormat="1" ht="15" x14ac:dyDescent="0.25">
      <c r="H70" s="1799"/>
      <c r="I70" s="1799"/>
      <c r="J70" s="1799"/>
      <c r="K70" s="1799"/>
    </row>
    <row r="71" spans="8:11" s="1790" customFormat="1" ht="15" x14ac:dyDescent="0.25">
      <c r="H71" s="1799"/>
      <c r="I71" s="1799"/>
      <c r="J71" s="1799"/>
      <c r="K71" s="1799"/>
    </row>
    <row r="72" spans="8:11" s="1790" customFormat="1" ht="15" x14ac:dyDescent="0.25">
      <c r="H72" s="1799"/>
      <c r="I72" s="1799"/>
      <c r="J72" s="1799"/>
      <c r="K72" s="1799"/>
    </row>
    <row r="73" spans="8:11" s="1790" customFormat="1" ht="15" x14ac:dyDescent="0.25">
      <c r="H73" s="1799"/>
      <c r="I73" s="1799"/>
      <c r="J73" s="1799"/>
      <c r="K73" s="1799"/>
    </row>
    <row r="74" spans="8:11" s="1790" customFormat="1" ht="15" x14ac:dyDescent="0.25">
      <c r="H74" s="1799"/>
      <c r="I74" s="1799"/>
      <c r="J74" s="1799"/>
      <c r="K74" s="1799"/>
    </row>
    <row r="75" spans="8:11" s="1790" customFormat="1" ht="15" x14ac:dyDescent="0.25">
      <c r="H75" s="1799"/>
      <c r="I75" s="1799"/>
      <c r="J75" s="1799"/>
      <c r="K75" s="1799"/>
    </row>
    <row r="76" spans="8:11" s="1790" customFormat="1" ht="15" x14ac:dyDescent="0.25">
      <c r="H76" s="1799"/>
      <c r="I76" s="1799"/>
      <c r="J76" s="1799"/>
      <c r="K76" s="1799"/>
    </row>
    <row r="77" spans="8:11" s="1790" customFormat="1" ht="15" x14ac:dyDescent="0.25">
      <c r="H77" s="1799"/>
      <c r="I77" s="1799"/>
      <c r="J77" s="1799"/>
      <c r="K77" s="1799"/>
    </row>
    <row r="78" spans="8:11" s="1790" customFormat="1" ht="15" x14ac:dyDescent="0.25">
      <c r="H78" s="1799"/>
      <c r="I78" s="1799"/>
      <c r="J78" s="1799"/>
      <c r="K78" s="1799"/>
    </row>
    <row r="79" spans="8:11" s="1790" customFormat="1" ht="15" x14ac:dyDescent="0.25">
      <c r="H79" s="1799"/>
      <c r="I79" s="1799"/>
      <c r="J79" s="1799"/>
      <c r="K79" s="1799"/>
    </row>
    <row r="80" spans="8:11" s="1790" customFormat="1" ht="15" x14ac:dyDescent="0.25">
      <c r="H80" s="1799"/>
      <c r="I80" s="1799"/>
      <c r="J80" s="1799"/>
      <c r="K80" s="1799"/>
    </row>
    <row r="81" spans="8:11" s="1790" customFormat="1" ht="15" x14ac:dyDescent="0.25">
      <c r="H81" s="1799"/>
      <c r="I81" s="1799"/>
      <c r="J81" s="1799"/>
      <c r="K81" s="1799"/>
    </row>
    <row r="82" spans="8:11" s="1790" customFormat="1" ht="15" x14ac:dyDescent="0.25">
      <c r="H82" s="1799"/>
      <c r="I82" s="1799"/>
      <c r="J82" s="1799"/>
      <c r="K82" s="1799"/>
    </row>
    <row r="83" spans="8:11" s="1790" customFormat="1" ht="15" x14ac:dyDescent="0.25">
      <c r="H83" s="1799"/>
      <c r="I83" s="1799"/>
      <c r="J83" s="1799"/>
      <c r="K83" s="1799"/>
    </row>
    <row r="84" spans="8:11" s="1790" customFormat="1" ht="15" x14ac:dyDescent="0.25">
      <c r="H84" s="1799"/>
      <c r="I84" s="1799"/>
      <c r="J84" s="1799"/>
      <c r="K84" s="1799"/>
    </row>
    <row r="85" spans="8:11" s="1790" customFormat="1" ht="15" x14ac:dyDescent="0.25">
      <c r="H85" s="1799"/>
      <c r="I85" s="1799"/>
      <c r="J85" s="1799"/>
      <c r="K85" s="1799"/>
    </row>
    <row r="86" spans="8:11" s="1790" customFormat="1" ht="15" x14ac:dyDescent="0.25">
      <c r="H86" s="1799"/>
      <c r="I86" s="1799"/>
      <c r="J86" s="1799"/>
      <c r="K86" s="1799"/>
    </row>
    <row r="87" spans="8:11" s="1790" customFormat="1" ht="15" x14ac:dyDescent="0.25">
      <c r="H87" s="1799"/>
      <c r="I87" s="1799"/>
      <c r="J87" s="1799"/>
      <c r="K87" s="1799"/>
    </row>
    <row r="88" spans="8:11" s="1790" customFormat="1" ht="15" x14ac:dyDescent="0.25">
      <c r="H88" s="1799"/>
      <c r="I88" s="1799"/>
      <c r="J88" s="1799"/>
      <c r="K88" s="1799"/>
    </row>
    <row r="89" spans="8:11" s="1790" customFormat="1" ht="15" x14ac:dyDescent="0.25">
      <c r="H89" s="1799"/>
      <c r="I89" s="1799"/>
      <c r="J89" s="1799"/>
      <c r="K89" s="1799"/>
    </row>
    <row r="90" spans="8:11" s="1790" customFormat="1" ht="15" x14ac:dyDescent="0.25">
      <c r="H90" s="1799"/>
      <c r="I90" s="1799"/>
      <c r="J90" s="1799"/>
      <c r="K90" s="1799"/>
    </row>
    <row r="91" spans="8:11" s="1790" customFormat="1" ht="15" x14ac:dyDescent="0.25">
      <c r="H91" s="1799"/>
      <c r="I91" s="1799"/>
      <c r="J91" s="1799"/>
      <c r="K91" s="1799"/>
    </row>
    <row r="92" spans="8:11" s="1790" customFormat="1" ht="15" x14ac:dyDescent="0.25">
      <c r="H92" s="1799"/>
      <c r="I92" s="1799"/>
      <c r="J92" s="1799"/>
      <c r="K92" s="1799"/>
    </row>
    <row r="93" spans="8:11" s="1790" customFormat="1" ht="15" x14ac:dyDescent="0.25">
      <c r="H93" s="1799"/>
      <c r="I93" s="1799"/>
      <c r="J93" s="1799"/>
      <c r="K93" s="1799"/>
    </row>
    <row r="94" spans="8:11" s="1790" customFormat="1" ht="15" x14ac:dyDescent="0.25">
      <c r="H94" s="1799"/>
      <c r="I94" s="1799"/>
      <c r="J94" s="1799"/>
      <c r="K94" s="1799"/>
    </row>
    <row r="95" spans="8:11" s="1790" customFormat="1" ht="15" x14ac:dyDescent="0.25">
      <c r="H95" s="1799"/>
      <c r="I95" s="1799"/>
      <c r="J95" s="1799"/>
      <c r="K95" s="1799"/>
    </row>
    <row r="96" spans="8:11" s="1790" customFormat="1" ht="15" x14ac:dyDescent="0.25">
      <c r="H96" s="1799"/>
      <c r="I96" s="1799"/>
      <c r="J96" s="1799"/>
      <c r="K96" s="1799"/>
    </row>
    <row r="97" spans="8:11" s="1790" customFormat="1" ht="15" x14ac:dyDescent="0.25">
      <c r="H97" s="1799"/>
      <c r="I97" s="1799"/>
      <c r="J97" s="1799"/>
      <c r="K97" s="179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Normal="10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14" t="s">
        <v>672</v>
      </c>
      <c r="B6" s="1564"/>
      <c r="C6" s="1564"/>
      <c r="D6" s="1564"/>
      <c r="E6" s="1565"/>
      <c r="F6" s="1012"/>
      <c r="G6" s="1006"/>
      <c r="H6" s="1013" t="s">
        <v>1028</v>
      </c>
      <c r="I6" s="2425" t="str">
        <f>COVER!A17</f>
        <v>Woodford County Spec Educ Assn</v>
      </c>
      <c r="J6" s="2426"/>
      <c r="Q6" s="1586"/>
    </row>
    <row r="7" spans="1:17" x14ac:dyDescent="0.2">
      <c r="A7" s="2427" t="s">
        <v>869</v>
      </c>
      <c r="B7" s="2428"/>
      <c r="C7" s="2428"/>
      <c r="D7" s="2428"/>
      <c r="E7" s="2429"/>
      <c r="F7" s="1014"/>
      <c r="G7" s="1006"/>
      <c r="H7" s="1013" t="s">
        <v>372</v>
      </c>
      <c r="I7" s="2430">
        <f>COVER!A13</f>
        <v>53102069061</v>
      </c>
      <c r="J7" s="2430"/>
    </row>
    <row r="8" spans="1:17" ht="8.25" customHeight="1" x14ac:dyDescent="0.2">
      <c r="A8" s="1566"/>
      <c r="B8" s="1567"/>
      <c r="C8" s="1567"/>
      <c r="D8" s="1567"/>
      <c r="E8" s="1568"/>
      <c r="F8" s="1015"/>
      <c r="G8" s="1016"/>
      <c r="H8" s="1016"/>
      <c r="I8" s="1016"/>
      <c r="J8" s="1016"/>
    </row>
    <row r="9" spans="1:17" ht="13.5" customHeight="1" x14ac:dyDescent="0.2">
      <c r="A9" s="1017"/>
      <c r="B9" s="1018"/>
      <c r="C9" s="1018"/>
      <c r="D9" s="1019"/>
      <c r="E9" s="1815" t="s">
        <v>1973</v>
      </c>
      <c r="F9" s="1020"/>
      <c r="G9" s="1020"/>
      <c r="H9" s="1816" t="s">
        <v>1974</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431" t="s">
        <v>481</v>
      </c>
      <c r="B11" s="2432"/>
      <c r="C11" s="2433"/>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733">
        <f>'Expenditures 15-22'!K50</f>
        <v>0</v>
      </c>
      <c r="F12" s="1036"/>
      <c r="G12" s="1733">
        <f t="shared" ref="G12:G18" si="0">SUM(E12:F12)</f>
        <v>0</v>
      </c>
      <c r="H12" s="1037"/>
      <c r="I12" s="1036"/>
      <c r="J12" s="1733">
        <f t="shared" ref="J12:J18" si="1">SUM(H12:I12)</f>
        <v>0</v>
      </c>
    </row>
    <row r="13" spans="1:17" ht="15" customHeight="1" x14ac:dyDescent="0.2">
      <c r="A13" s="1032">
        <v>2</v>
      </c>
      <c r="B13" s="1033" t="s">
        <v>42</v>
      </c>
      <c r="C13" s="1034"/>
      <c r="D13" s="1035">
        <v>2330</v>
      </c>
      <c r="E13" s="1733">
        <f>'Expenditures 15-22'!K51</f>
        <v>1039934</v>
      </c>
      <c r="F13" s="1036"/>
      <c r="G13" s="1733">
        <f t="shared" si="0"/>
        <v>1039934</v>
      </c>
      <c r="H13" s="1037"/>
      <c r="I13" s="1036"/>
      <c r="J13" s="1733">
        <f t="shared" si="1"/>
        <v>0</v>
      </c>
    </row>
    <row r="14" spans="1:17" ht="15" customHeight="1" x14ac:dyDescent="0.2">
      <c r="A14" s="1032">
        <v>3</v>
      </c>
      <c r="B14" s="1033" t="s">
        <v>43</v>
      </c>
      <c r="C14" s="1034"/>
      <c r="D14" s="1038">
        <v>2490</v>
      </c>
      <c r="E14" s="1733">
        <f>'Expenditures 15-22'!K56</f>
        <v>0</v>
      </c>
      <c r="F14" s="1036"/>
      <c r="G14" s="1733">
        <f t="shared" si="0"/>
        <v>0</v>
      </c>
      <c r="H14" s="1037"/>
      <c r="I14" s="1036"/>
      <c r="J14" s="1733">
        <f t="shared" si="1"/>
        <v>0</v>
      </c>
    </row>
    <row r="15" spans="1:17" ht="15" customHeight="1" x14ac:dyDescent="0.2">
      <c r="A15" s="1032">
        <v>4</v>
      </c>
      <c r="B15" s="1033" t="s">
        <v>1068</v>
      </c>
      <c r="C15" s="1034"/>
      <c r="D15" s="1035">
        <v>2510</v>
      </c>
      <c r="E15" s="1733">
        <f>'Expenditures 15-22'!K59</f>
        <v>0</v>
      </c>
      <c r="F15" s="1733">
        <f>'Expenditures 15-22'!K122</f>
        <v>0</v>
      </c>
      <c r="G15" s="1733">
        <f t="shared" si="0"/>
        <v>0</v>
      </c>
      <c r="H15" s="1037"/>
      <c r="I15" s="1037"/>
      <c r="J15" s="1733">
        <f t="shared" si="1"/>
        <v>0</v>
      </c>
    </row>
    <row r="16" spans="1:17" ht="15" customHeight="1" x14ac:dyDescent="0.2">
      <c r="A16" s="1032">
        <v>5</v>
      </c>
      <c r="B16" s="1033" t="s">
        <v>101</v>
      </c>
      <c r="C16" s="1034"/>
      <c r="D16" s="1035">
        <v>2570</v>
      </c>
      <c r="E16" s="1733">
        <f>'Expenditures 15-22'!K64</f>
        <v>0</v>
      </c>
      <c r="F16" s="1036"/>
      <c r="G16" s="1733">
        <f t="shared" si="0"/>
        <v>0</v>
      </c>
      <c r="H16" s="1037"/>
      <c r="I16" s="1036"/>
      <c r="J16" s="1733">
        <f t="shared" si="1"/>
        <v>0</v>
      </c>
    </row>
    <row r="17" spans="1:10" ht="15" customHeight="1" x14ac:dyDescent="0.2">
      <c r="A17" s="1032">
        <v>6</v>
      </c>
      <c r="B17" s="1033" t="s">
        <v>1060</v>
      </c>
      <c r="C17" s="1034"/>
      <c r="D17" s="1035">
        <v>2610</v>
      </c>
      <c r="E17" s="1733">
        <f>'Expenditures 15-22'!K67</f>
        <v>0</v>
      </c>
      <c r="F17" s="1036"/>
      <c r="G17" s="1733">
        <f t="shared" si="0"/>
        <v>0</v>
      </c>
      <c r="H17" s="1037"/>
      <c r="I17" s="1036"/>
      <c r="J17" s="1733">
        <f t="shared" si="1"/>
        <v>0</v>
      </c>
    </row>
    <row r="18" spans="1:10" ht="22.5" customHeight="1" x14ac:dyDescent="0.2">
      <c r="A18" s="1039">
        <v>7</v>
      </c>
      <c r="B18" s="2434" t="s">
        <v>7</v>
      </c>
      <c r="C18" s="2435"/>
      <c r="D18" s="2436"/>
      <c r="E18" s="1040"/>
      <c r="F18" s="1040"/>
      <c r="G18" s="1734">
        <f t="shared" si="0"/>
        <v>0</v>
      </c>
      <c r="H18" s="1037"/>
      <c r="I18" s="1037"/>
      <c r="J18" s="1733">
        <f t="shared" si="1"/>
        <v>0</v>
      </c>
    </row>
    <row r="19" spans="1:10" ht="12.75" customHeight="1" thickBot="1" x14ac:dyDescent="0.25">
      <c r="A19" s="1032">
        <v>8</v>
      </c>
      <c r="B19" s="1041" t="s">
        <v>1161</v>
      </c>
      <c r="D19" s="1042"/>
      <c r="E19" s="1735">
        <f t="shared" ref="E19:J19" si="2">SUM(E12:E17)-E18</f>
        <v>1039934</v>
      </c>
      <c r="F19" s="1735">
        <f t="shared" si="2"/>
        <v>0</v>
      </c>
      <c r="G19" s="1735">
        <f t="shared" si="2"/>
        <v>1039934</v>
      </c>
      <c r="H19" s="1735">
        <f t="shared" si="2"/>
        <v>0</v>
      </c>
      <c r="I19" s="1735">
        <f t="shared" si="2"/>
        <v>0</v>
      </c>
      <c r="J19" s="1735">
        <f t="shared" si="2"/>
        <v>0</v>
      </c>
    </row>
    <row r="20" spans="1:10" ht="13.5" thickTop="1" x14ac:dyDescent="0.2">
      <c r="A20" s="1032">
        <v>9</v>
      </c>
      <c r="B20" s="2437" t="s">
        <v>1975</v>
      </c>
      <c r="C20" s="2437"/>
      <c r="D20" s="2438"/>
      <c r="E20" s="1043"/>
      <c r="F20" s="1043"/>
      <c r="G20" s="1043"/>
      <c r="H20" s="1043"/>
      <c r="I20" s="1043"/>
      <c r="J20" s="1736" t="str">
        <f>IF(AND(G19&gt;0,J19&gt;0),(((J19-G19)/G19)),"Enter Budget Data")</f>
        <v>Enter Budget Data</v>
      </c>
    </row>
    <row r="21" spans="1:10" ht="9" customHeight="1" x14ac:dyDescent="0.2">
      <c r="B21" s="1044"/>
    </row>
    <row r="22" spans="1:10" x14ac:dyDescent="0.2">
      <c r="A22" s="1045" t="s">
        <v>133</v>
      </c>
      <c r="B22" s="1044"/>
    </row>
    <row r="23" spans="1:10" x14ac:dyDescent="0.2">
      <c r="A23" s="1008" t="s">
        <v>1976</v>
      </c>
      <c r="B23" s="1044"/>
    </row>
    <row r="24" spans="1:10" x14ac:dyDescent="0.2">
      <c r="A24" s="1008" t="s">
        <v>1989</v>
      </c>
      <c r="B24" s="1044"/>
    </row>
    <row r="25" spans="1:10" x14ac:dyDescent="0.2">
      <c r="A25" s="1046"/>
      <c r="B25" s="1044"/>
    </row>
    <row r="26" spans="1:10" ht="20.100000000000001" customHeight="1" x14ac:dyDescent="0.2">
      <c r="B26" s="1044"/>
      <c r="C26" s="2443"/>
      <c r="D26" s="2443"/>
      <c r="E26" s="1047"/>
      <c r="F26" s="2442"/>
      <c r="G26" s="2442"/>
    </row>
    <row r="27" spans="1:10" x14ac:dyDescent="0.2">
      <c r="B27" s="1044"/>
      <c r="C27" s="1048" t="s">
        <v>1033</v>
      </c>
      <c r="D27" s="1049"/>
      <c r="E27" s="1050"/>
      <c r="F27" s="2439" t="s">
        <v>1509</v>
      </c>
      <c r="G27" s="2439"/>
    </row>
    <row r="28" spans="1:10" ht="28.5" customHeight="1" x14ac:dyDescent="0.2">
      <c r="B28" s="1044"/>
      <c r="C28" s="2441"/>
      <c r="D28" s="2441"/>
      <c r="E28" s="1051"/>
      <c r="F28" s="2441"/>
      <c r="G28" s="2441"/>
    </row>
    <row r="29" spans="1:10" x14ac:dyDescent="0.2">
      <c r="B29" s="1044"/>
      <c r="C29" s="1052" t="s">
        <v>1559</v>
      </c>
      <c r="E29" s="1053"/>
      <c r="F29" s="2440" t="s">
        <v>1510</v>
      </c>
      <c r="G29" s="2440"/>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422" t="s">
        <v>132</v>
      </c>
      <c r="D33" s="2423"/>
      <c r="E33" s="2423"/>
      <c r="F33" s="2423"/>
      <c r="G33" s="2423"/>
      <c r="H33" s="2423"/>
      <c r="I33" s="2423"/>
    </row>
    <row r="34" spans="1:10" ht="10.35" customHeight="1" x14ac:dyDescent="0.2">
      <c r="C34" s="2423"/>
      <c r="D34" s="2423"/>
      <c r="E34" s="2423"/>
      <c r="F34" s="2423"/>
      <c r="G34" s="2423"/>
      <c r="H34" s="2423"/>
      <c r="I34" s="2423"/>
    </row>
    <row r="35" spans="1:10" ht="7.5" customHeight="1" x14ac:dyDescent="0.2">
      <c r="C35" s="1059"/>
    </row>
    <row r="36" spans="1:10" ht="13.5" customHeight="1" x14ac:dyDescent="0.2">
      <c r="B36" s="1058"/>
      <c r="C36" s="2424" t="s">
        <v>1977</v>
      </c>
      <c r="D36" s="2423"/>
      <c r="E36" s="2423"/>
      <c r="F36" s="2423"/>
      <c r="G36" s="2423"/>
      <c r="H36" s="2423"/>
      <c r="I36" s="2423"/>
      <c r="J36" s="1060"/>
    </row>
    <row r="37" spans="1:10" ht="22.5" customHeight="1" x14ac:dyDescent="0.2">
      <c r="C37" s="2423"/>
      <c r="D37" s="2423"/>
      <c r="E37" s="2423"/>
      <c r="F37" s="2423"/>
      <c r="G37" s="2423"/>
      <c r="H37" s="2423"/>
      <c r="I37" s="2423"/>
      <c r="J37" s="1060"/>
    </row>
    <row r="38" spans="1:10" ht="7.5" customHeight="1" x14ac:dyDescent="0.2">
      <c r="C38" s="1059"/>
      <c r="D38" s="1061"/>
      <c r="E38" s="1062"/>
      <c r="F38" s="1063"/>
      <c r="G38" s="1062"/>
    </row>
    <row r="39" spans="1:10" ht="13.5" customHeight="1" x14ac:dyDescent="0.2">
      <c r="B39" s="1058"/>
      <c r="C39" s="2420" t="s">
        <v>882</v>
      </c>
      <c r="D39" s="2421"/>
      <c r="E39" s="2421"/>
      <c r="F39" s="2421"/>
      <c r="G39" s="2421"/>
      <c r="H39" s="2421"/>
      <c r="I39" s="2421"/>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2185</v>
      </c>
    </row>
    <row r="6" spans="1:2" x14ac:dyDescent="0.2">
      <c r="A6" s="1065">
        <v>2</v>
      </c>
      <c r="B6" s="329" t="s">
        <v>2186</v>
      </c>
    </row>
    <row r="7" spans="1:2" x14ac:dyDescent="0.2">
      <c r="A7" s="1065">
        <v>3</v>
      </c>
      <c r="B7" s="329" t="s">
        <v>2187</v>
      </c>
    </row>
    <row r="8" spans="1:2" x14ac:dyDescent="0.2">
      <c r="A8" s="1065">
        <v>4</v>
      </c>
    </row>
    <row r="9" spans="1:2" x14ac:dyDescent="0.2">
      <c r="A9" s="1066"/>
    </row>
    <row r="10" spans="1:2" x14ac:dyDescent="0.2">
      <c r="A10" s="1066"/>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Woodford County Spec Educ Assn</v>
      </c>
    </row>
    <row r="65" spans="2:2" x14ac:dyDescent="0.2">
      <c r="B65" s="1067">
        <f>COVER!A13</f>
        <v>53102069061</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1853</v>
      </c>
      <c r="C4" s="162" t="s">
        <v>1169</v>
      </c>
      <c r="D4" s="169" t="s">
        <v>10</v>
      </c>
      <c r="E4" s="170" t="s">
        <v>22</v>
      </c>
    </row>
    <row r="5" spans="1:5" x14ac:dyDescent="0.2">
      <c r="A5" s="168" t="s">
        <v>1855</v>
      </c>
      <c r="C5" s="162" t="s">
        <v>1169</v>
      </c>
      <c r="D5" s="169" t="s">
        <v>10</v>
      </c>
      <c r="E5" s="170" t="s">
        <v>22</v>
      </c>
    </row>
    <row r="6" spans="1:5" x14ac:dyDescent="0.2">
      <c r="A6" s="168" t="s">
        <v>1854</v>
      </c>
      <c r="C6" s="162" t="s">
        <v>1169</v>
      </c>
      <c r="D6" s="167" t="s">
        <v>11</v>
      </c>
      <c r="E6" s="170" t="s">
        <v>941</v>
      </c>
    </row>
    <row r="7" spans="1:5" x14ac:dyDescent="0.2">
      <c r="A7" s="168" t="s">
        <v>1856</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1857</v>
      </c>
      <c r="C11" s="162" t="s">
        <v>1169</v>
      </c>
      <c r="D11" s="169" t="s">
        <v>14</v>
      </c>
      <c r="E11" s="170" t="s">
        <v>1156</v>
      </c>
    </row>
    <row r="12" spans="1:5" x14ac:dyDescent="0.2">
      <c r="B12" s="169" t="s">
        <v>1858</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1859</v>
      </c>
      <c r="C15" s="162" t="s">
        <v>1169</v>
      </c>
      <c r="D15" s="169" t="s">
        <v>17</v>
      </c>
      <c r="E15" s="170" t="s">
        <v>636</v>
      </c>
    </row>
    <row r="16" spans="1:5" x14ac:dyDescent="0.2">
      <c r="A16" s="172"/>
      <c r="B16" s="162" t="s">
        <v>1860</v>
      </c>
      <c r="C16" s="162" t="s">
        <v>1169</v>
      </c>
      <c r="D16" s="169" t="s">
        <v>681</v>
      </c>
      <c r="E16" s="170" t="s">
        <v>1040</v>
      </c>
    </row>
    <row r="17" spans="1:5" x14ac:dyDescent="0.2">
      <c r="B17" s="167" t="s">
        <v>988</v>
      </c>
      <c r="C17" s="162" t="s">
        <v>1169</v>
      </c>
    </row>
    <row r="18" spans="1:5" x14ac:dyDescent="0.2">
      <c r="B18" s="167" t="s">
        <v>1866</v>
      </c>
      <c r="D18" s="169" t="s">
        <v>18</v>
      </c>
      <c r="E18" s="170" t="s">
        <v>1041</v>
      </c>
    </row>
    <row r="19" spans="1:5" x14ac:dyDescent="0.2">
      <c r="A19" s="168" t="s">
        <v>1099</v>
      </c>
      <c r="C19" s="162" t="s">
        <v>1169</v>
      </c>
      <c r="D19" s="169"/>
      <c r="E19" s="171"/>
    </row>
    <row r="20" spans="1:5" x14ac:dyDescent="0.2">
      <c r="B20" s="167" t="s">
        <v>1861</v>
      </c>
      <c r="C20" s="162" t="s">
        <v>1169</v>
      </c>
      <c r="D20" s="169" t="s">
        <v>19</v>
      </c>
      <c r="E20" s="170" t="s">
        <v>51</v>
      </c>
    </row>
    <row r="21" spans="1:5" x14ac:dyDescent="0.2">
      <c r="B21" s="167" t="s">
        <v>1862</v>
      </c>
      <c r="C21" s="162" t="s">
        <v>1169</v>
      </c>
      <c r="D21" s="169" t="s">
        <v>20</v>
      </c>
      <c r="E21" s="170" t="s">
        <v>1608</v>
      </c>
    </row>
    <row r="22" spans="1:5" x14ac:dyDescent="0.2">
      <c r="A22" s="168"/>
      <c r="B22" s="162" t="s">
        <v>1850</v>
      </c>
      <c r="C22" s="162" t="s">
        <v>1169</v>
      </c>
      <c r="D22" s="167" t="s">
        <v>1852</v>
      </c>
      <c r="E22" s="1758" t="s">
        <v>1609</v>
      </c>
    </row>
    <row r="23" spans="1:5" x14ac:dyDescent="0.2">
      <c r="A23" s="168"/>
      <c r="B23" s="162" t="s">
        <v>1851</v>
      </c>
      <c r="D23" s="167" t="s">
        <v>637</v>
      </c>
      <c r="E23" s="1758" t="s">
        <v>959</v>
      </c>
    </row>
    <row r="24" spans="1:5" x14ac:dyDescent="0.2">
      <c r="A24" s="168" t="s">
        <v>1607</v>
      </c>
      <c r="C24" s="162" t="s">
        <v>1169</v>
      </c>
      <c r="D24" s="167" t="s">
        <v>1393</v>
      </c>
      <c r="E24" s="170" t="s">
        <v>960</v>
      </c>
    </row>
    <row r="25" spans="1:5" x14ac:dyDescent="0.2">
      <c r="A25" s="168" t="s">
        <v>1863</v>
      </c>
      <c r="C25" s="162" t="s">
        <v>1169</v>
      </c>
      <c r="D25" s="169" t="s">
        <v>21</v>
      </c>
      <c r="E25" s="170" t="s">
        <v>1042</v>
      </c>
    </row>
    <row r="26" spans="1:5" x14ac:dyDescent="0.2">
      <c r="A26" s="168" t="s">
        <v>1864</v>
      </c>
      <c r="C26" s="162" t="s">
        <v>1169</v>
      </c>
      <c r="D26" s="169" t="s">
        <v>563</v>
      </c>
      <c r="E26" s="170" t="s">
        <v>1043</v>
      </c>
    </row>
    <row r="27" spans="1:5" x14ac:dyDescent="0.2">
      <c r="A27" s="168" t="s">
        <v>1865</v>
      </c>
      <c r="C27" s="162" t="s">
        <v>1169</v>
      </c>
      <c r="D27" s="169" t="s">
        <v>557</v>
      </c>
      <c r="E27" s="170" t="s">
        <v>683</v>
      </c>
    </row>
    <row r="28" spans="1:5" x14ac:dyDescent="0.2">
      <c r="A28" s="168" t="s">
        <v>1867</v>
      </c>
      <c r="D28" s="169" t="s">
        <v>684</v>
      </c>
      <c r="E28" s="170" t="s">
        <v>1366</v>
      </c>
    </row>
    <row r="29" spans="1:5" x14ac:dyDescent="0.2">
      <c r="A29" s="168" t="s">
        <v>1868</v>
      </c>
      <c r="D29" s="169" t="s">
        <v>1394</v>
      </c>
      <c r="E29" s="170" t="s">
        <v>1375</v>
      </c>
    </row>
    <row r="30" spans="1:5" x14ac:dyDescent="0.2">
      <c r="A30" s="173" t="s">
        <v>1869</v>
      </c>
      <c r="C30" s="162" t="s">
        <v>1169</v>
      </c>
      <c r="D30" s="169" t="s">
        <v>40</v>
      </c>
      <c r="E30" s="170" t="s">
        <v>982</v>
      </c>
    </row>
    <row r="31" spans="1:5" x14ac:dyDescent="0.2">
      <c r="A31" s="168" t="s">
        <v>1521</v>
      </c>
      <c r="C31" s="162" t="s">
        <v>1169</v>
      </c>
      <c r="D31" s="167"/>
      <c r="E31" s="171"/>
    </row>
    <row r="32" spans="1:5" x14ac:dyDescent="0.2">
      <c r="B32" s="167" t="s">
        <v>1870</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61" t="s">
        <v>1065</v>
      </c>
      <c r="B35" s="2161"/>
      <c r="C35" s="2161"/>
      <c r="D35" s="2161"/>
      <c r="E35" s="21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58" t="s">
        <v>691</v>
      </c>
      <c r="B40" s="2158"/>
      <c r="C40" s="2158"/>
      <c r="D40" s="2158"/>
      <c r="E40" s="2158"/>
    </row>
    <row r="41" spans="1:5" x14ac:dyDescent="0.2">
      <c r="A41" s="2159" t="s">
        <v>1606</v>
      </c>
      <c r="B41" s="2159"/>
      <c r="C41" s="2159"/>
      <c r="D41" s="2159"/>
      <c r="E41" s="2159"/>
    </row>
    <row r="42" spans="1:5" ht="12.75" customHeight="1" x14ac:dyDescent="0.2">
      <c r="A42" s="2160" t="s">
        <v>1022</v>
      </c>
      <c r="B42" s="2160"/>
      <c r="C42" s="2160"/>
      <c r="D42" s="2160"/>
      <c r="E42" s="2160"/>
    </row>
    <row r="43" spans="1:5" ht="6.75" customHeight="1" x14ac:dyDescent="0.2">
      <c r="A43" s="167"/>
      <c r="B43" s="176"/>
    </row>
    <row r="44" spans="1:5" x14ac:dyDescent="0.2">
      <c r="A44" s="185" t="s">
        <v>983</v>
      </c>
      <c r="B44" s="186" t="s">
        <v>1896</v>
      </c>
    </row>
    <row r="45" spans="1:5" ht="6.75" customHeight="1" x14ac:dyDescent="0.2">
      <c r="A45" s="187"/>
      <c r="B45" s="186"/>
    </row>
    <row r="46" spans="1:5" x14ac:dyDescent="0.2">
      <c r="A46" s="185" t="s">
        <v>984</v>
      </c>
      <c r="B46" s="169" t="s">
        <v>1611</v>
      </c>
    </row>
    <row r="47" spans="1:5" ht="9.75" customHeight="1" x14ac:dyDescent="0.2">
      <c r="A47" s="189"/>
      <c r="B47" s="188"/>
    </row>
    <row r="48" spans="1:5" x14ac:dyDescent="0.2">
      <c r="A48" s="169" t="s">
        <v>1610</v>
      </c>
      <c r="B48" s="169" t="s">
        <v>1615</v>
      </c>
      <c r="C48" s="177"/>
    </row>
    <row r="49" spans="1:3" ht="9.75" customHeight="1" x14ac:dyDescent="0.2">
      <c r="A49" s="188"/>
      <c r="B49" s="188"/>
      <c r="C49" s="177"/>
    </row>
    <row r="50" spans="1:3" x14ac:dyDescent="0.2">
      <c r="A50" s="200" t="s">
        <v>1612</v>
      </c>
      <c r="B50" s="198" t="s">
        <v>1616</v>
      </c>
    </row>
    <row r="51" spans="1:3" x14ac:dyDescent="0.2">
      <c r="B51" s="169" t="s">
        <v>1766</v>
      </c>
    </row>
    <row r="52" spans="1:3" x14ac:dyDescent="0.2">
      <c r="A52" s="190"/>
      <c r="B52" s="188" t="s">
        <v>1786</v>
      </c>
    </row>
    <row r="53" spans="1:3" ht="4.5" customHeight="1" x14ac:dyDescent="0.2">
      <c r="A53" s="190"/>
      <c r="B53" s="190"/>
    </row>
    <row r="54" spans="1:3" x14ac:dyDescent="0.2">
      <c r="A54" s="190"/>
      <c r="B54" s="201" t="s">
        <v>1613</v>
      </c>
    </row>
    <row r="55" spans="1:3" ht="8.25" customHeight="1" x14ac:dyDescent="0.2">
      <c r="A55" s="190"/>
      <c r="B55" s="191"/>
    </row>
    <row r="56" spans="1:3" x14ac:dyDescent="0.2">
      <c r="A56" s="192"/>
      <c r="B56" s="169" t="s">
        <v>1767</v>
      </c>
    </row>
    <row r="57" spans="1:3" x14ac:dyDescent="0.2">
      <c r="A57" s="193"/>
      <c r="B57" s="190" t="s">
        <v>1769</v>
      </c>
    </row>
    <row r="58" spans="1:3" x14ac:dyDescent="0.2">
      <c r="A58" s="194"/>
      <c r="B58" s="190" t="s">
        <v>1770</v>
      </c>
    </row>
    <row r="59" spans="1:3" x14ac:dyDescent="0.2">
      <c r="A59" s="195"/>
      <c r="B59" s="1407" t="s">
        <v>1771</v>
      </c>
    </row>
    <row r="60" spans="1:3" x14ac:dyDescent="0.2">
      <c r="A60" s="196"/>
      <c r="B60" s="1407" t="s">
        <v>1772</v>
      </c>
    </row>
    <row r="61" spans="1:3" ht="6" customHeight="1" x14ac:dyDescent="0.2">
      <c r="A61" s="197"/>
      <c r="B61" s="189"/>
    </row>
    <row r="62" spans="1:3" x14ac:dyDescent="0.2">
      <c r="A62" s="169" t="s">
        <v>1614</v>
      </c>
      <c r="B62" s="198" t="s">
        <v>1768</v>
      </c>
    </row>
    <row r="63" spans="1:3" x14ac:dyDescent="0.2">
      <c r="A63" s="188"/>
      <c r="B63" s="169" t="s">
        <v>1783</v>
      </c>
    </row>
    <row r="64" spans="1:3" x14ac:dyDescent="0.2">
      <c r="A64" s="195"/>
      <c r="B64" s="1409" t="s">
        <v>1773</v>
      </c>
    </row>
    <row r="65" spans="1:9" x14ac:dyDescent="0.2">
      <c r="A65" s="188"/>
      <c r="B65" s="169" t="s">
        <v>1784</v>
      </c>
    </row>
    <row r="66" spans="1:9" x14ac:dyDescent="0.2">
      <c r="A66" s="190"/>
      <c r="B66" s="190" t="s">
        <v>1774</v>
      </c>
    </row>
    <row r="67" spans="1:9" ht="12" customHeight="1" x14ac:dyDescent="0.2">
      <c r="A67" s="188"/>
      <c r="B67" s="169" t="s">
        <v>1785</v>
      </c>
    </row>
    <row r="68" spans="1:9" x14ac:dyDescent="0.2">
      <c r="A68" s="189"/>
      <c r="B68" s="190" t="s">
        <v>1775</v>
      </c>
    </row>
    <row r="69" spans="1:9" x14ac:dyDescent="0.2">
      <c r="A69" s="190"/>
      <c r="B69" s="188" t="s">
        <v>1776</v>
      </c>
    </row>
    <row r="70" spans="1:9" ht="13.5" customHeight="1" x14ac:dyDescent="0.2">
      <c r="A70" s="190"/>
      <c r="B70" s="188" t="s">
        <v>1777</v>
      </c>
    </row>
    <row r="71" spans="1:9" ht="12" customHeight="1" x14ac:dyDescent="0.2">
      <c r="A71" s="192"/>
      <c r="B71" s="1408" t="s">
        <v>1617</v>
      </c>
    </row>
    <row r="72" spans="1:9" ht="9" customHeight="1" x14ac:dyDescent="0.2">
      <c r="A72" s="192"/>
      <c r="B72" s="199"/>
    </row>
    <row r="73" spans="1:9" x14ac:dyDescent="0.2">
      <c r="A73" s="189" t="s">
        <v>1618</v>
      </c>
      <c r="B73" s="169" t="s">
        <v>1779</v>
      </c>
    </row>
    <row r="74" spans="1:9" x14ac:dyDescent="0.2">
      <c r="A74" s="189"/>
      <c r="B74" s="169" t="s">
        <v>1778</v>
      </c>
    </row>
    <row r="75" spans="1:9" ht="8.25" customHeight="1" x14ac:dyDescent="0.2">
      <c r="A75" s="189"/>
      <c r="B75" s="189"/>
    </row>
    <row r="76" spans="1:9" ht="12.2" customHeight="1" x14ac:dyDescent="0.2">
      <c r="A76" s="189" t="s">
        <v>1619</v>
      </c>
      <c r="B76" s="198" t="s">
        <v>1780</v>
      </c>
    </row>
    <row r="77" spans="1:9" ht="12.2" customHeight="1" x14ac:dyDescent="0.2">
      <c r="A77" s="190"/>
      <c r="B77" s="169" t="s">
        <v>1620</v>
      </c>
      <c r="C77" s="179"/>
      <c r="D77" s="180"/>
      <c r="E77" s="181"/>
      <c r="F77" s="181"/>
      <c r="G77" s="181"/>
      <c r="H77" s="181"/>
      <c r="I77" s="181"/>
    </row>
    <row r="78" spans="1:9" ht="11.25" customHeight="1" x14ac:dyDescent="0.2">
      <c r="A78" s="190"/>
      <c r="B78" s="190" t="s">
        <v>1782</v>
      </c>
      <c r="C78" s="179"/>
      <c r="D78" s="182"/>
      <c r="E78" s="182"/>
      <c r="F78" s="182"/>
      <c r="G78" s="182"/>
      <c r="H78" s="182"/>
      <c r="I78" s="181"/>
    </row>
    <row r="79" spans="1:9" ht="12.2" customHeight="1" x14ac:dyDescent="0.2">
      <c r="A79" s="190"/>
      <c r="B79" s="169" t="s">
        <v>1621</v>
      </c>
      <c r="C79" s="179"/>
      <c r="D79" s="182"/>
      <c r="E79" s="182"/>
      <c r="F79" s="182"/>
      <c r="G79" s="182"/>
      <c r="H79" s="182"/>
      <c r="I79" s="181"/>
    </row>
    <row r="80" spans="1:9" ht="11.25" customHeight="1" x14ac:dyDescent="0.2">
      <c r="A80" s="189"/>
      <c r="B80" s="190" t="s">
        <v>1781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1682</v>
      </c>
    </row>
    <row r="17" spans="1:2" ht="6" customHeight="1" x14ac:dyDescent="0.2"/>
    <row r="18" spans="1:2" ht="24.75" customHeight="1" x14ac:dyDescent="0.2">
      <c r="A18" s="2444" t="s">
        <v>1683</v>
      </c>
      <c r="B18" s="2444"/>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1</xdr:col>
                <xdr:colOff>1219200</xdr:colOff>
                <xdr:row>1</xdr:row>
                <xdr:rowOff>9525</xdr:rowOff>
              </from>
              <to>
                <xdr:col>1</xdr:col>
                <xdr:colOff>2133600</xdr:colOff>
                <xdr:row>5</xdr:row>
                <xdr:rowOff>47625</xdr:rowOff>
              </to>
            </anchor>
          </objectPr>
        </oleObject>
      </mc:Choice>
      <mc:Fallback>
        <oleObject progId="Acrobat Document" dvAspect="DVASPECT_ICON" shapeId="5120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45" t="s">
        <v>1688</v>
      </c>
      <c r="B1" s="2446"/>
      <c r="C1" s="2446"/>
      <c r="D1" s="2446"/>
      <c r="E1" s="2446"/>
      <c r="F1" s="2447"/>
    </row>
    <row r="2" spans="1:8" ht="45" customHeight="1" x14ac:dyDescent="0.2">
      <c r="A2" s="2455" t="s">
        <v>1981</v>
      </c>
      <c r="B2" s="2456"/>
      <c r="C2" s="2456"/>
      <c r="D2" s="2456"/>
      <c r="E2" s="2456"/>
      <c r="F2" s="2457"/>
      <c r="G2" s="1071"/>
      <c r="H2" s="1071"/>
    </row>
    <row r="3" spans="1:8" ht="57" customHeight="1" x14ac:dyDescent="0.2">
      <c r="A3" s="2458" t="s">
        <v>1684</v>
      </c>
      <c r="B3" s="2459"/>
      <c r="C3" s="2459"/>
      <c r="D3" s="2459"/>
      <c r="E3" s="2459"/>
      <c r="F3" s="2460"/>
      <c r="G3" s="1071"/>
      <c r="H3" s="1071"/>
    </row>
    <row r="4" spans="1:8" ht="14.25" customHeight="1" x14ac:dyDescent="0.2">
      <c r="A4" s="2464" t="s">
        <v>1982</v>
      </c>
      <c r="B4" s="2465"/>
      <c r="C4" s="2465"/>
      <c r="D4" s="2465"/>
      <c r="E4" s="2465"/>
      <c r="F4" s="2466"/>
      <c r="G4" s="1071"/>
      <c r="H4" s="1071"/>
    </row>
    <row r="5" spans="1:8" ht="14.25" customHeight="1" x14ac:dyDescent="0.2">
      <c r="A5" s="2467" t="s">
        <v>1978</v>
      </c>
      <c r="B5" s="2468"/>
      <c r="C5" s="2468"/>
      <c r="D5" s="2468"/>
      <c r="E5" s="2468"/>
      <c r="F5" s="2469"/>
      <c r="G5" s="1071"/>
      <c r="H5" s="1071"/>
    </row>
    <row r="6" spans="1:8" s="1072" customFormat="1" ht="41.25" customHeight="1" x14ac:dyDescent="0.2">
      <c r="A6" s="2461" t="s">
        <v>1689</v>
      </c>
      <c r="B6" s="2462"/>
      <c r="C6" s="2462"/>
      <c r="D6" s="2462"/>
      <c r="E6" s="2462"/>
      <c r="F6" s="2463"/>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737">
        <f>'Acct Summary 7-8'!C8</f>
        <v>7789645</v>
      </c>
      <c r="C8" s="1737">
        <f>'Acct Summary 7-8'!D8</f>
        <v>0</v>
      </c>
      <c r="D8" s="1737">
        <f>'Acct Summary 7-8'!F8</f>
        <v>0</v>
      </c>
      <c r="E8" s="1737">
        <f>'Acct Summary 7-8'!I8</f>
        <v>0</v>
      </c>
      <c r="F8" s="1737">
        <f>SUM(B8:E8)</f>
        <v>7789645</v>
      </c>
    </row>
    <row r="9" spans="1:8" s="1076" customFormat="1" ht="14.25" customHeight="1" thickBot="1" x14ac:dyDescent="0.25">
      <c r="A9" s="1075" t="s">
        <v>1369</v>
      </c>
      <c r="B9" s="1738">
        <f>'Acct Summary 7-8'!C17</f>
        <v>7735500</v>
      </c>
      <c r="C9" s="1738">
        <f>'Acct Summary 7-8'!D17</f>
        <v>0</v>
      </c>
      <c r="D9" s="1738">
        <f>'Acct Summary 7-8'!F17</f>
        <v>0</v>
      </c>
      <c r="E9" s="1737"/>
      <c r="F9" s="1737">
        <f>SUM(B9:E9)</f>
        <v>7735500</v>
      </c>
    </row>
    <row r="10" spans="1:8" s="1076" customFormat="1" ht="14.25" thickTop="1" thickBot="1" x14ac:dyDescent="0.25">
      <c r="A10" s="1077" t="s">
        <v>1370</v>
      </c>
      <c r="B10" s="1739">
        <f>(B8-B9)</f>
        <v>54145</v>
      </c>
      <c r="C10" s="1739">
        <f>(C8-C9)</f>
        <v>0</v>
      </c>
      <c r="D10" s="1739">
        <f>(D8-D9)</f>
        <v>0</v>
      </c>
      <c r="E10" s="1738">
        <f>(E8-E9)</f>
        <v>0</v>
      </c>
      <c r="F10" s="1740">
        <f>SUM(F8-F9)</f>
        <v>54145</v>
      </c>
    </row>
    <row r="11" spans="1:8" s="1076" customFormat="1" ht="14.25" thickTop="1" thickBot="1" x14ac:dyDescent="0.25">
      <c r="A11" s="1078" t="s">
        <v>1979</v>
      </c>
      <c r="B11" s="1741">
        <f>'Acct Summary 7-8'!C81</f>
        <v>1373939</v>
      </c>
      <c r="C11" s="1741">
        <f>'Acct Summary 7-8'!D81</f>
        <v>0</v>
      </c>
      <c r="D11" s="1741">
        <f>'Acct Summary 7-8'!F81</f>
        <v>0</v>
      </c>
      <c r="E11" s="1741">
        <f>'Acct Summary 7-8'!I81</f>
        <v>0</v>
      </c>
      <c r="F11" s="1742">
        <f>SUM(B11:E11)</f>
        <v>1373939</v>
      </c>
    </row>
    <row r="12" spans="1:8" ht="16.5" customHeight="1" thickTop="1" x14ac:dyDescent="0.2">
      <c r="A12" s="1079"/>
      <c r="B12" s="1080"/>
      <c r="C12" s="2449" t="str">
        <f>IF(AND(F10&lt;0,F11&gt;=0,ABS(F10*3)&gt;ABS(F11)),A16,IF(AND(F10&lt;0,F11&gt;0,ABS(F10*3)&lt;=ABS(F11)),A17,IF(AND(F10&lt;0,F11&lt;0),A16,IF(F11=0,A19,A18))))</f>
        <v>Balanced - no deficit reduction plan is required.</v>
      </c>
      <c r="D12" s="2450"/>
      <c r="E12" s="2450"/>
      <c r="F12" s="2451"/>
    </row>
    <row r="13" spans="1:8" ht="19.5" customHeight="1" x14ac:dyDescent="0.2">
      <c r="A13" s="1081"/>
      <c r="B13" s="1082"/>
      <c r="C13" s="2449"/>
      <c r="D13" s="2450"/>
      <c r="E13" s="2450"/>
      <c r="F13" s="2451"/>
      <c r="H13" s="1071"/>
    </row>
    <row r="14" spans="1:8" ht="19.5" customHeight="1" x14ac:dyDescent="0.2">
      <c r="A14" s="1081"/>
      <c r="B14" s="1082"/>
      <c r="C14" s="2449"/>
      <c r="D14" s="2450"/>
      <c r="E14" s="2450"/>
      <c r="F14" s="2451"/>
      <c r="H14" s="1071"/>
    </row>
    <row r="15" spans="1:8" ht="17.25" customHeight="1" x14ac:dyDescent="0.2">
      <c r="A15" s="1081"/>
      <c r="B15" s="1082"/>
      <c r="C15" s="2452"/>
      <c r="D15" s="2453"/>
      <c r="E15" s="2453"/>
      <c r="F15" s="2454"/>
      <c r="H15" s="1071"/>
    </row>
    <row r="16" spans="1:8" s="310" customFormat="1" ht="51.75" hidden="1" customHeight="1" x14ac:dyDescent="0.2">
      <c r="A16" s="2448" t="s">
        <v>1685</v>
      </c>
      <c r="B16" s="2448"/>
      <c r="C16" s="2448"/>
      <c r="D16" s="2448"/>
      <c r="E16" s="2448"/>
      <c r="F16" s="310" t="s">
        <v>1371</v>
      </c>
    </row>
    <row r="17" spans="1:6" hidden="1" x14ac:dyDescent="0.2">
      <c r="A17" s="316" t="s">
        <v>1686</v>
      </c>
      <c r="F17" s="1083" t="s">
        <v>1372</v>
      </c>
    </row>
    <row r="18" spans="1:6" hidden="1" x14ac:dyDescent="0.2">
      <c r="A18" s="316" t="s">
        <v>1687</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17"/>
      <c r="B2" s="1818"/>
      <c r="C2" s="1819"/>
      <c r="D2" s="1820"/>
    </row>
    <row r="3" spans="1:4" ht="36" customHeight="1" x14ac:dyDescent="0.2">
      <c r="A3" s="2470" t="s">
        <v>665</v>
      </c>
      <c r="B3" s="2471"/>
      <c r="C3" s="2471"/>
      <c r="D3" s="2472"/>
    </row>
    <row r="4" spans="1:4" x14ac:dyDescent="0.2">
      <c r="A4" s="1149" t="s">
        <v>1690</v>
      </c>
      <c r="B4" s="1150"/>
      <c r="C4" s="1151"/>
      <c r="D4" s="1152"/>
    </row>
    <row r="5" spans="1:4" ht="21" customHeight="1" x14ac:dyDescent="0.2">
      <c r="A5" s="1145"/>
      <c r="B5" s="1146">
        <v>1</v>
      </c>
      <c r="C5" s="1147" t="s">
        <v>1830</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81" t="s">
        <v>1504</v>
      </c>
      <c r="D7" s="2482"/>
    </row>
    <row r="8" spans="1:4" s="665" customFormat="1" ht="12.75" x14ac:dyDescent="0.2">
      <c r="A8" s="1135"/>
      <c r="B8" s="1090"/>
      <c r="C8" s="1093" t="s">
        <v>1503</v>
      </c>
      <c r="D8" s="1094"/>
    </row>
    <row r="9" spans="1:4" s="665" customFormat="1" ht="14.25" customHeight="1" x14ac:dyDescent="0.2">
      <c r="A9" s="1135"/>
      <c r="B9" s="1090">
        <f>B7+1</f>
        <v>4</v>
      </c>
      <c r="C9" s="1091" t="s">
        <v>1907</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73" t="s">
        <v>1008</v>
      </c>
      <c r="B15" s="2474"/>
      <c r="C15" s="2474"/>
      <c r="D15" s="2475"/>
    </row>
    <row r="16" spans="1:4" s="665" customFormat="1" ht="24" customHeight="1" x14ac:dyDescent="0.2">
      <c r="A16" s="2476" t="s">
        <v>663</v>
      </c>
      <c r="B16" s="2477"/>
      <c r="C16" s="2477"/>
      <c r="D16" s="2478"/>
    </row>
    <row r="17" spans="1:10" s="665" customFormat="1" ht="12.75" customHeight="1" x14ac:dyDescent="0.2">
      <c r="A17" s="1153" t="s">
        <v>1691</v>
      </c>
      <c r="B17" s="1154"/>
      <c r="C17" s="1155"/>
      <c r="D17" s="1156"/>
    </row>
    <row r="18" spans="1:10" s="665" customFormat="1" ht="12.75" customHeight="1" x14ac:dyDescent="0.2">
      <c r="A18" s="1157" t="s">
        <v>1692</v>
      </c>
      <c r="B18" s="1158"/>
      <c r="C18" s="1159"/>
      <c r="D18" s="1160"/>
    </row>
    <row r="19" spans="1:10" ht="6.75" customHeight="1" thickBot="1" x14ac:dyDescent="0.25">
      <c r="A19" s="1161"/>
      <c r="B19" s="1162"/>
      <c r="C19" s="1163"/>
      <c r="D19" s="1164"/>
    </row>
    <row r="20" spans="1:10" s="1168" customFormat="1" ht="12.75" thickTop="1" x14ac:dyDescent="0.2">
      <c r="A20" s="1165"/>
      <c r="B20" s="1166" t="s">
        <v>1693</v>
      </c>
      <c r="C20" s="1167"/>
      <c r="D20" s="1170" t="s">
        <v>710</v>
      </c>
    </row>
    <row r="21" spans="1:10" x14ac:dyDescent="0.2">
      <c r="A21" s="1095"/>
      <c r="B21" s="1096">
        <v>1</v>
      </c>
      <c r="C21" s="2485" t="s">
        <v>314</v>
      </c>
      <c r="D21" s="2486"/>
    </row>
    <row r="22" spans="1:10" ht="12.75" x14ac:dyDescent="0.2">
      <c r="A22" s="1136"/>
      <c r="B22" s="1137">
        <v>2</v>
      </c>
      <c r="C22" s="2483" t="s">
        <v>1524</v>
      </c>
      <c r="D22" s="2484"/>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87" t="s">
        <v>536</v>
      </c>
      <c r="D43" s="2488"/>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79" t="s">
        <v>784</v>
      </c>
      <c r="D56" s="2480"/>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1908</v>
      </c>
      <c r="D66" s="1122"/>
    </row>
    <row r="67" spans="1:4" x14ac:dyDescent="0.2">
      <c r="A67" s="1116"/>
      <c r="B67" s="1137"/>
      <c r="C67" s="1144" t="s">
        <v>1021</v>
      </c>
      <c r="D67" s="1122"/>
    </row>
    <row r="68" spans="1:4" x14ac:dyDescent="0.2">
      <c r="A68" s="1097"/>
      <c r="B68" s="1107"/>
      <c r="C68" s="1099" t="s">
        <v>1909</v>
      </c>
      <c r="D68" s="1121" t="str">
        <f>IF('Short-Term Long-Term Debt 24'!F49=SUM(,'Acct Summary 7-8'!C33:K33),"OK","ERROR!")</f>
        <v>OK</v>
      </c>
    </row>
    <row r="69" spans="1:4" x14ac:dyDescent="0.2">
      <c r="A69" s="1097"/>
      <c r="B69" s="1107"/>
      <c r="C69" s="1099" t="s">
        <v>1910</v>
      </c>
      <c r="D69" s="1121" t="str">
        <f>IF('Expenditures 15-22'!H170&lt;&gt;'Short-Term Long-Term Debt 24'!H49,"ERROR!","OK")</f>
        <v>OK</v>
      </c>
    </row>
    <row r="70" spans="1:4" x14ac:dyDescent="0.2">
      <c r="A70" s="1095"/>
      <c r="B70" s="1117">
        <f>B66+1</f>
        <v>9</v>
      </c>
      <c r="C70" s="2479" t="s">
        <v>1694</v>
      </c>
      <c r="D70" s="2480"/>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1695</v>
      </c>
      <c r="D73" s="1123" t="str">
        <f>IF(SUM('Acct Summary 7-8'!C42:K42)&gt;=SUM( 'Acct Summary 7-8'!C74:K74),"OK", "ERROR")</f>
        <v>OK</v>
      </c>
    </row>
    <row r="74" spans="1:4" x14ac:dyDescent="0.2">
      <c r="A74" s="1095"/>
      <c r="B74" s="1117">
        <f>B70+1</f>
        <v>10</v>
      </c>
      <c r="C74" s="1111" t="s">
        <v>1911</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1912</v>
      </c>
      <c r="D78" s="1121" t="str">
        <f>IF(ISNUMBER('Acct Summary 7-8'!C9),"OK","ENTRY IS REQUIRED!")</f>
        <v>OK</v>
      </c>
    </row>
    <row r="79" spans="1:4" x14ac:dyDescent="0.2">
      <c r="A79" s="1116"/>
      <c r="B79" s="1117">
        <f>B74+1+1</f>
        <v>12</v>
      </c>
      <c r="C79" s="1127" t="s">
        <v>1897</v>
      </c>
      <c r="D79" s="1128" t="str">
        <f>IF(OR(COVER!$B$6="X",'PCTC-OEPP 27-28'!F78&gt;0),"OK","PLEASE ENTER 9 MO ADA.")</f>
        <v>OK</v>
      </c>
    </row>
    <row r="80" spans="1:4" x14ac:dyDescent="0.2">
      <c r="A80" s="1095"/>
      <c r="B80" s="1117">
        <v>13</v>
      </c>
      <c r="C80" s="1127" t="s">
        <v>1913</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53102069061</v>
      </c>
    </row>
    <row r="3" spans="1:2" x14ac:dyDescent="0.2">
      <c r="A3" t="s">
        <v>956</v>
      </c>
      <c r="B3" s="138" t="str">
        <f>COVER!A15</f>
        <v>Woodford</v>
      </c>
    </row>
    <row r="4" spans="1:2" x14ac:dyDescent="0.2">
      <c r="A4" t="s">
        <v>1007</v>
      </c>
      <c r="B4" s="138" t="str">
        <f>COVER!A17</f>
        <v>Woodford County Spec Educ Assn</v>
      </c>
    </row>
    <row r="5" spans="1:2" x14ac:dyDescent="0.2">
      <c r="A5" t="s">
        <v>704</v>
      </c>
      <c r="B5" s="138" t="str">
        <f>COVER!A38</f>
        <v>Eric Scroggs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 Custis, CPA</v>
      </c>
    </row>
    <row r="18" spans="1:2" x14ac:dyDescent="0.2">
      <c r="A18" t="s">
        <v>1150</v>
      </c>
      <c r="B18" s="138" t="str">
        <f>COVER!T17</f>
        <v>4200 N Knoxville Ave</v>
      </c>
    </row>
    <row r="19" spans="1:2" x14ac:dyDescent="0.2">
      <c r="A19" t="s">
        <v>886</v>
      </c>
      <c r="B19" s="138" t="str">
        <f>COVER!T25</f>
        <v>tcustis@gorenzcpa.com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1375300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1361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1361</v>
      </c>
      <c r="C91" s="2" t="s">
        <v>573</v>
      </c>
      <c r="D91" s="2" t="str">
        <f t="shared" si="0"/>
        <v>Error?</v>
      </c>
    </row>
    <row r="92" spans="1:4" x14ac:dyDescent="0.2">
      <c r="A92" s="5">
        <v>31</v>
      </c>
      <c r="B92" s="138">
        <f>'Assets-Liab 5-6'!C39</f>
        <v>1365992</v>
      </c>
      <c r="D92" s="2" t="str">
        <f t="shared" si="0"/>
        <v>Error?</v>
      </c>
    </row>
    <row r="93" spans="1:4" x14ac:dyDescent="0.2">
      <c r="A93" s="5">
        <v>32</v>
      </c>
      <c r="B93" s="138">
        <f>'Assets-Liab 5-6'!C41</f>
        <v>1375300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376836</v>
      </c>
      <c r="D274" s="2" t="str">
        <f t="shared" si="3"/>
        <v>Error?</v>
      </c>
    </row>
    <row r="275" spans="1:4" x14ac:dyDescent="0.2">
      <c r="A275" s="5">
        <v>214</v>
      </c>
      <c r="B275" s="138">
        <f>'Assets-Liab 5-6'!M18</f>
        <v>47853</v>
      </c>
      <c r="D275" s="2" t="str">
        <f t="shared" si="3"/>
        <v>Error?</v>
      </c>
    </row>
    <row r="276" spans="1:4" x14ac:dyDescent="0.2">
      <c r="A276" s="5">
        <v>215</v>
      </c>
      <c r="B276" s="138">
        <f>'Assets-Liab 5-6'!M19</f>
        <v>188731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613420</v>
      </c>
      <c r="C279" s="2" t="s">
        <v>573</v>
      </c>
      <c r="D279" s="2" t="str">
        <f t="shared" si="3"/>
        <v>Error?</v>
      </c>
    </row>
    <row r="280" spans="1:4" x14ac:dyDescent="0.2">
      <c r="A280" s="5">
        <v>219</v>
      </c>
      <c r="B280" s="138">
        <f>'Assets-Liab 5-6'!M40</f>
        <v>613420</v>
      </c>
      <c r="D280" s="2" t="str">
        <f t="shared" si="3"/>
        <v>Error?</v>
      </c>
    </row>
    <row r="281" spans="1:4" x14ac:dyDescent="0.2">
      <c r="A281" s="5">
        <v>220</v>
      </c>
      <c r="B281" s="138">
        <f>'Assets-Liab 5-6'!M41</f>
        <v>613420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221367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1562230</v>
      </c>
      <c r="C720" s="2" t="s">
        <v>573</v>
      </c>
      <c r="D720" s="2" t="str">
        <f t="shared" si="10"/>
        <v>Error?</v>
      </c>
    </row>
    <row r="721" spans="1:4" x14ac:dyDescent="0.2">
      <c r="A721" s="5">
        <v>660</v>
      </c>
      <c r="B721" s="138">
        <f>'Expenditures 15-22'!C36</f>
        <v>667913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250690</v>
      </c>
      <c r="D723" s="2" t="str">
        <f t="shared" si="10"/>
        <v>Error?</v>
      </c>
    </row>
    <row r="724" spans="1:4" x14ac:dyDescent="0.2">
      <c r="A724" s="5">
        <v>663</v>
      </c>
      <c r="B724" s="138">
        <f>'Expenditures 15-22'!C39</f>
        <v>503026</v>
      </c>
      <c r="D724" s="2" t="str">
        <f t="shared" si="10"/>
        <v>Error?</v>
      </c>
    </row>
    <row r="725" spans="1:4" x14ac:dyDescent="0.2">
      <c r="A725" s="5">
        <v>664</v>
      </c>
      <c r="B725" s="138">
        <f>'Expenditures 15-22'!C40</f>
        <v>378741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1800370</v>
      </c>
      <c r="C727" s="2" t="s">
        <v>573</v>
      </c>
      <c r="D727" s="2" t="str">
        <f t="shared" si="10"/>
        <v>Error?</v>
      </c>
    </row>
    <row r="728" spans="1:4" x14ac:dyDescent="0.2">
      <c r="A728" s="5">
        <v>667</v>
      </c>
      <c r="B728" s="138">
        <f>'Expenditures 15-22'!C44</f>
        <v>37686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37686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611131</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37716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37716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2486903</v>
      </c>
      <c r="C755" s="2" t="s">
        <v>573</v>
      </c>
      <c r="D755" s="2" t="str">
        <f t="shared" si="10"/>
        <v>Error?</v>
      </c>
    </row>
    <row r="756" spans="1:4" x14ac:dyDescent="0.2">
      <c r="A756" s="5">
        <v>695</v>
      </c>
      <c r="B756" s="138">
        <f>'Expenditures 15-22'!C75</f>
        <v>59991</v>
      </c>
      <c r="D756" s="2" t="str">
        <f t="shared" si="10"/>
        <v>Error?</v>
      </c>
    </row>
    <row r="757" spans="1:4" x14ac:dyDescent="0.2">
      <c r="A757" s="5">
        <v>696</v>
      </c>
      <c r="B757" s="138">
        <f>'Expenditures 15-22'!C114</f>
        <v>4109124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25671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307291</v>
      </c>
      <c r="C778" s="2" t="s">
        <v>573</v>
      </c>
      <c r="D778" s="2" t="str">
        <f t="shared" si="11"/>
        <v>Error?</v>
      </c>
    </row>
    <row r="779" spans="1:4" x14ac:dyDescent="0.2">
      <c r="A779" s="5">
        <v>718</v>
      </c>
      <c r="B779" s="138">
        <f>'Expenditures 15-22'!D36</f>
        <v>73814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59422</v>
      </c>
      <c r="D781" s="2" t="str">
        <f t="shared" si="11"/>
        <v>Error?</v>
      </c>
    </row>
    <row r="782" spans="1:4" x14ac:dyDescent="0.2">
      <c r="A782" s="5">
        <v>721</v>
      </c>
      <c r="B782" s="138">
        <f>'Expenditures 15-22'!D39</f>
        <v>36248</v>
      </c>
      <c r="D782" s="2" t="str">
        <f t="shared" si="11"/>
        <v>Error?</v>
      </c>
    </row>
    <row r="783" spans="1:4" x14ac:dyDescent="0.2">
      <c r="A783" s="5">
        <v>722</v>
      </c>
      <c r="B783" s="138">
        <f>'Expenditures 15-22'!D40</f>
        <v>41405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210889</v>
      </c>
      <c r="C785" s="2" t="s">
        <v>573</v>
      </c>
      <c r="D785" s="2" t="str">
        <f t="shared" si="11"/>
        <v>Error?</v>
      </c>
    </row>
    <row r="786" spans="1:4" x14ac:dyDescent="0.2">
      <c r="A786" s="5">
        <v>725</v>
      </c>
      <c r="B786" s="138">
        <f>'Expenditures 15-22'!D44</f>
        <v>14501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14501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185139</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13638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13638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424167</v>
      </c>
      <c r="C813" s="2" t="s">
        <v>573</v>
      </c>
      <c r="D813" s="2" t="str">
        <f t="shared" si="11"/>
        <v>Error?</v>
      </c>
    </row>
    <row r="814" spans="1:4" x14ac:dyDescent="0.2">
      <c r="A814" s="5">
        <v>753</v>
      </c>
      <c r="B814" s="138">
        <f>'Expenditures 15-22'!D75</f>
        <v>12815</v>
      </c>
      <c r="D814" s="2" t="str">
        <f t="shared" si="11"/>
        <v>Error?</v>
      </c>
    </row>
    <row r="815" spans="1:4" x14ac:dyDescent="0.2">
      <c r="A815" s="5">
        <v>754</v>
      </c>
      <c r="B815" s="138">
        <f>'Expenditures 15-22'!D114</f>
        <v>744273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1559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18684</v>
      </c>
      <c r="C836" s="2" t="s">
        <v>573</v>
      </c>
      <c r="D836" s="2" t="str">
        <f t="shared" si="12"/>
        <v>Error?</v>
      </c>
    </row>
    <row r="837" spans="1:4" x14ac:dyDescent="0.2">
      <c r="A837" s="5">
        <v>776</v>
      </c>
      <c r="B837" s="138">
        <f>'Expenditures 15-22'!E36</f>
        <v>11532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62024</v>
      </c>
      <c r="D839" s="2" t="str">
        <f t="shared" si="12"/>
        <v>Error?</v>
      </c>
    </row>
    <row r="840" spans="1:4" x14ac:dyDescent="0.2">
      <c r="A840" s="5">
        <v>779</v>
      </c>
      <c r="B840" s="138">
        <f>'Expenditures 15-22'!E39</f>
        <v>17813</v>
      </c>
      <c r="D840" s="2" t="str">
        <f t="shared" si="12"/>
        <v>Error?</v>
      </c>
    </row>
    <row r="841" spans="1:4" x14ac:dyDescent="0.2">
      <c r="A841" s="5">
        <v>780</v>
      </c>
      <c r="B841" s="138">
        <f>'Expenditures 15-22'!E40</f>
        <v>6930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98299</v>
      </c>
      <c r="C843" s="2" t="s">
        <v>573</v>
      </c>
      <c r="D843" s="2" t="str">
        <f t="shared" si="12"/>
        <v>Error?</v>
      </c>
    </row>
    <row r="844" spans="1:4" x14ac:dyDescent="0.2">
      <c r="A844" s="5">
        <v>783</v>
      </c>
      <c r="B844" s="138">
        <f>'Expenditures 15-22'!E44</f>
        <v>23491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23491</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160606</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9617</v>
      </c>
      <c r="D855" s="2" t="str">
        <f t="shared" si="12"/>
        <v>Error?</v>
      </c>
    </row>
    <row r="856" spans="1:4" x14ac:dyDescent="0.2">
      <c r="A856" s="5">
        <v>795</v>
      </c>
      <c r="B856" s="138">
        <f>'Expenditures 15-22'!E61</f>
        <v>39955</v>
      </c>
      <c r="D856" s="2" t="str">
        <f t="shared" si="12"/>
        <v>Error?</v>
      </c>
    </row>
    <row r="857" spans="1:4" x14ac:dyDescent="0.2">
      <c r="A857" s="5">
        <v>796</v>
      </c>
      <c r="B857" s="138">
        <f>'Expenditures 15-22'!E62</f>
        <v>7049</v>
      </c>
      <c r="D857" s="2" t="str">
        <f t="shared" si="12"/>
        <v>Error?</v>
      </c>
    </row>
    <row r="858" spans="1:4" x14ac:dyDescent="0.2">
      <c r="A858" s="5">
        <v>797</v>
      </c>
      <c r="B858" s="138">
        <f>'Expenditures 15-22'!E63</f>
        <v>15768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72389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354785</v>
      </c>
      <c r="C871" s="2" t="s">
        <v>573</v>
      </c>
      <c r="D871" s="2" t="str">
        <f t="shared" si="12"/>
        <v>Error?</v>
      </c>
    </row>
    <row r="872" spans="1:4" x14ac:dyDescent="0.2">
      <c r="A872" s="5">
        <v>811</v>
      </c>
      <c r="B872" s="138">
        <f>'Expenditures 15-22'!E75</f>
        <v>3808</v>
      </c>
      <c r="D872" s="2" t="str">
        <f t="shared" si="12"/>
        <v>Error?</v>
      </c>
    </row>
    <row r="873" spans="1:4" x14ac:dyDescent="0.2">
      <c r="A873" s="5">
        <v>812</v>
      </c>
      <c r="B873" s="138">
        <f>'Expenditures 15-22'!E114</f>
        <v>377277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24212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65162</v>
      </c>
      <c r="C894" s="2" t="s">
        <v>573</v>
      </c>
      <c r="D894" s="2" t="str">
        <f t="shared" si="12"/>
        <v>Error?</v>
      </c>
    </row>
    <row r="895" spans="1:4" x14ac:dyDescent="0.2">
      <c r="A895" s="5">
        <v>834</v>
      </c>
      <c r="B895" s="138">
        <f>'Expenditures 15-22'!F36</f>
        <v>3038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2537</v>
      </c>
      <c r="D897" s="2" t="str">
        <f t="shared" si="13"/>
        <v>Error?</v>
      </c>
    </row>
    <row r="898" spans="1:4" x14ac:dyDescent="0.2">
      <c r="A898" s="5">
        <v>837</v>
      </c>
      <c r="B898" s="138">
        <f>'Expenditures 15-22'!F39</f>
        <v>8197</v>
      </c>
      <c r="D898" s="2" t="str">
        <f t="shared" si="13"/>
        <v>Error?</v>
      </c>
    </row>
    <row r="899" spans="1:4" x14ac:dyDescent="0.2">
      <c r="A899" s="5">
        <v>838</v>
      </c>
      <c r="B899" s="138">
        <f>'Expenditures 15-22'!F40</f>
        <v>1280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15052</v>
      </c>
      <c r="C901" s="2" t="s">
        <v>573</v>
      </c>
      <c r="D901" s="2" t="str">
        <f t="shared" si="13"/>
        <v>Error?</v>
      </c>
    </row>
    <row r="902" spans="1:4" x14ac:dyDescent="0.2">
      <c r="A902" s="5">
        <v>841</v>
      </c>
      <c r="B902" s="138">
        <f>'Expenditures 15-22'!F44</f>
        <v>1215</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1215</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64917</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47916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8350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56266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137450</v>
      </c>
      <c r="C929" s="2" t="s">
        <v>573</v>
      </c>
      <c r="D929" s="2" t="str">
        <f t="shared" si="13"/>
        <v>Error?</v>
      </c>
    </row>
    <row r="930" spans="1:4" x14ac:dyDescent="0.2">
      <c r="A930" s="5">
        <v>869</v>
      </c>
      <c r="B930" s="138">
        <f>'Expenditures 15-22'!F75</f>
        <v>755</v>
      </c>
      <c r="D930" s="2" t="str">
        <f t="shared" si="13"/>
        <v>Error?</v>
      </c>
    </row>
    <row r="931" spans="1:4" x14ac:dyDescent="0.2">
      <c r="A931" s="5">
        <v>870</v>
      </c>
      <c r="B931" s="138">
        <f>'Expenditures 15-22'!F114</f>
        <v>203367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1797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3397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11217</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53243</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53243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64460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67857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6924</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6924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2226678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2233602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274606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1956764</v>
      </c>
      <c r="C1108" s="2" t="s">
        <v>573</v>
      </c>
      <c r="D1108" s="2" t="str">
        <f t="shared" si="16"/>
        <v>Error?</v>
      </c>
    </row>
    <row r="1109" spans="1:4" x14ac:dyDescent="0.2">
      <c r="A1109" s="5">
        <v>1048</v>
      </c>
      <c r="B1109" s="138">
        <f>'Expenditures 15-22'!K36</f>
        <v>756297</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374673</v>
      </c>
      <c r="C1111" s="2" t="s">
        <v>573</v>
      </c>
      <c r="D1111" s="2" t="str">
        <f t="shared" si="16"/>
        <v>Error?</v>
      </c>
    </row>
    <row r="1112" spans="1:4" x14ac:dyDescent="0.2">
      <c r="A1112" s="5">
        <v>1051</v>
      </c>
      <c r="B1112" s="138">
        <f>'Expenditures 15-22'!K39</f>
        <v>565284</v>
      </c>
      <c r="C1112" s="2" t="s">
        <v>573</v>
      </c>
      <c r="D1112" s="2" t="str">
        <f t="shared" si="16"/>
        <v>Error?</v>
      </c>
    </row>
    <row r="1113" spans="1:4" x14ac:dyDescent="0.2">
      <c r="A1113" s="5">
        <v>1052</v>
      </c>
      <c r="B1113" s="138">
        <f>'Expenditures 15-22'!K40</f>
        <v>428356</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2124610</v>
      </c>
      <c r="C1115" s="2" t="s">
        <v>573</v>
      </c>
      <c r="D1115" s="2" t="str">
        <f t="shared" si="16"/>
        <v>Error?</v>
      </c>
    </row>
    <row r="1116" spans="1:4" x14ac:dyDescent="0.2">
      <c r="A1116" s="5">
        <v>1055</v>
      </c>
      <c r="B1116" s="138">
        <f>'Expenditures 15-22'!K44</f>
        <v>76893</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76893</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1039934</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9617</v>
      </c>
      <c r="C1127" s="2" t="s">
        <v>573</v>
      </c>
      <c r="D1127" s="2" t="str">
        <f t="shared" si="16"/>
        <v>Error?</v>
      </c>
    </row>
    <row r="1128" spans="1:4" x14ac:dyDescent="0.2">
      <c r="A1128" s="5">
        <v>1067</v>
      </c>
      <c r="B1128" s="138">
        <f>'Expenditures 15-22'!K61</f>
        <v>192468</v>
      </c>
      <c r="C1128" s="2" t="s">
        <v>573</v>
      </c>
      <c r="D1128" s="2" t="str">
        <f t="shared" si="16"/>
        <v>Error?</v>
      </c>
    </row>
    <row r="1129" spans="1:4" x14ac:dyDescent="0.2">
      <c r="A1129" s="5">
        <v>1068</v>
      </c>
      <c r="B1129" s="138">
        <f>'Expenditures 15-22'!K62</f>
        <v>7049</v>
      </c>
      <c r="C1129" s="2" t="s">
        <v>573</v>
      </c>
      <c r="D1129" s="2" t="str">
        <f t="shared" si="16"/>
        <v>Error?</v>
      </c>
    </row>
    <row r="1130" spans="1:4" x14ac:dyDescent="0.2">
      <c r="A1130" s="5">
        <v>1069</v>
      </c>
      <c r="B1130" s="138">
        <f>'Expenditures 15-22'!K63</f>
        <v>24118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233252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3474689</v>
      </c>
      <c r="C1143" s="2" t="s">
        <v>573</v>
      </c>
      <c r="D1143" s="2" t="str">
        <f t="shared" si="16"/>
        <v>Error?</v>
      </c>
    </row>
    <row r="1144" spans="1:4" x14ac:dyDescent="0.2">
      <c r="A1144" s="5">
        <v>1083</v>
      </c>
      <c r="B1144" s="138">
        <f>'Expenditures 15-22'!K75</f>
        <v>77369</v>
      </c>
      <c r="C1144" s="2" t="s">
        <v>573</v>
      </c>
      <c r="D1144" s="2" t="str">
        <f t="shared" si="16"/>
        <v>Error?</v>
      </c>
    </row>
    <row r="1145" spans="1:4" x14ac:dyDescent="0.2">
      <c r="A1145" s="5">
        <v>1084</v>
      </c>
      <c r="B1145" s="138">
        <f>'Expenditures 15-22'!K102</f>
        <v>2226678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7735500</v>
      </c>
      <c r="C1152" s="2" t="s">
        <v>573</v>
      </c>
      <c r="D1152" s="2" t="str">
        <f t="shared" si="17"/>
        <v>Error?</v>
      </c>
    </row>
    <row r="1153" spans="1:4" x14ac:dyDescent="0.2">
      <c r="A1153" s="5">
        <v>1092</v>
      </c>
      <c r="B1153" s="138">
        <f>'Expenditures 15-22'!K115</f>
        <v>54145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1319644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1373939</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371446</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186390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557836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5390</v>
      </c>
      <c r="D2015" s="2" t="str">
        <f t="shared" si="30"/>
        <v>Error?</v>
      </c>
    </row>
    <row r="2016" spans="1:4" x14ac:dyDescent="0.2">
      <c r="A2016" s="5">
        <v>1955</v>
      </c>
      <c r="B2016" s="138">
        <f>'Cap Outlay Deprec 26'!D10</f>
        <v>47853</v>
      </c>
      <c r="D2016" s="2" t="str">
        <f t="shared" si="30"/>
        <v>Error?</v>
      </c>
    </row>
    <row r="2017" spans="1:4" x14ac:dyDescent="0.2">
      <c r="A2017" s="5">
        <v>1956</v>
      </c>
      <c r="B2017" s="138">
        <f>'Cap Outlay Deprec 26'!D12</f>
        <v>14614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67857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12273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12273</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376836</v>
      </c>
      <c r="C2027" s="2" t="s">
        <v>573</v>
      </c>
      <c r="D2027" s="2" t="str">
        <f t="shared" si="30"/>
        <v>Error?</v>
      </c>
    </row>
    <row r="2028" spans="1:4" x14ac:dyDescent="0.2">
      <c r="A2028" s="5">
        <v>1967</v>
      </c>
      <c r="B2028" s="138">
        <f>'Cap Outlay Deprec 26'!F10</f>
        <v>47853</v>
      </c>
      <c r="C2028" s="2" t="s">
        <v>573</v>
      </c>
      <c r="D2028" s="2" t="str">
        <f t="shared" si="30"/>
        <v>Error?</v>
      </c>
    </row>
    <row r="2029" spans="1:4" x14ac:dyDescent="0.2">
      <c r="A2029" s="5">
        <v>1968</v>
      </c>
      <c r="B2029" s="138">
        <f>'Cap Outlay Deprec 26'!F12</f>
        <v>188731</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613420</v>
      </c>
      <c r="C2031" s="2" t="s">
        <v>573</v>
      </c>
      <c r="D2031" s="2" t="str">
        <f t="shared" si="30"/>
        <v>Error?</v>
      </c>
    </row>
    <row r="2032" spans="1:4" x14ac:dyDescent="0.2">
      <c r="A2032" s="10">
        <v>1971</v>
      </c>
      <c r="D2032" s="2" t="str">
        <f t="shared" si="30"/>
        <v>OK</v>
      </c>
    </row>
    <row r="2033" spans="1:4" x14ac:dyDescent="0.2">
      <c r="A2033" s="5">
        <v>1972</v>
      </c>
      <c r="B2033" s="138">
        <f>'Cap Outlay Deprec 26'!H8</f>
        <v>117743</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97958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215701</v>
      </c>
      <c r="C2037" s="2" t="s">
        <v>573</v>
      </c>
      <c r="D2037" s="2" t="str">
        <f t="shared" si="30"/>
        <v>Error?</v>
      </c>
    </row>
    <row r="2038" spans="1:4" x14ac:dyDescent="0.2">
      <c r="A2038" s="10">
        <v>1977</v>
      </c>
      <c r="D2038" s="2" t="str">
        <f t="shared" si="30"/>
        <v>OK</v>
      </c>
    </row>
    <row r="2039" spans="1:4" x14ac:dyDescent="0.2">
      <c r="A2039" s="5">
        <v>1978</v>
      </c>
      <c r="B2039" s="138">
        <f>'Cap Outlay Deprec 26'!I8</f>
        <v>7537</v>
      </c>
      <c r="D2039" s="2" t="str">
        <f t="shared" si="30"/>
        <v>Error?</v>
      </c>
    </row>
    <row r="2040" spans="1:4" x14ac:dyDescent="0.2">
      <c r="A2040" s="5">
        <v>1979</v>
      </c>
      <c r="B2040" s="138">
        <f>'Cap Outlay Deprec 26'!I10</f>
        <v>2393</v>
      </c>
      <c r="D2040" s="2" t="str">
        <f t="shared" si="30"/>
        <v>Error?</v>
      </c>
    </row>
    <row r="2041" spans="1:4" x14ac:dyDescent="0.2">
      <c r="A2041" s="5">
        <v>1980</v>
      </c>
      <c r="B2041" s="138">
        <f>'Cap Outlay Deprec 26'!I12</f>
        <v>18877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28807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12273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12273</v>
      </c>
      <c r="C2049" s="2" t="s">
        <v>573</v>
      </c>
      <c r="D2049" s="2" t="str">
        <f t="shared" si="31"/>
        <v>Error?</v>
      </c>
    </row>
    <row r="2050" spans="1:4" x14ac:dyDescent="0.2">
      <c r="A2050" s="10">
        <v>1989</v>
      </c>
      <c r="D2050" s="2" t="str">
        <f t="shared" si="31"/>
        <v>OK</v>
      </c>
    </row>
    <row r="2051" spans="1:4" x14ac:dyDescent="0.2">
      <c r="A2051" s="5">
        <v>1990</v>
      </c>
      <c r="B2051" s="138">
        <f>'Cap Outlay Deprec 26'!K8</f>
        <v>125280</v>
      </c>
      <c r="C2051" s="2" t="s">
        <v>573</v>
      </c>
      <c r="D2051" s="2" t="str">
        <f t="shared" si="31"/>
        <v>Error?</v>
      </c>
    </row>
    <row r="2052" spans="1:4" x14ac:dyDescent="0.2">
      <c r="A2052" s="5">
        <v>1991</v>
      </c>
      <c r="B2052" s="138">
        <f>'Cap Outlay Deprec 26'!K10</f>
        <v>2393</v>
      </c>
      <c r="C2052" s="2" t="s">
        <v>573</v>
      </c>
      <c r="D2052" s="2" t="str">
        <f t="shared" si="31"/>
        <v>Error?</v>
      </c>
    </row>
    <row r="2053" spans="1:4" x14ac:dyDescent="0.2">
      <c r="A2053" s="5">
        <v>1992</v>
      </c>
      <c r="B2053" s="138">
        <f>'Cap Outlay Deprec 26'!K12</f>
        <v>104562</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232235</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251556</v>
      </c>
      <c r="C2057" s="2" t="s">
        <v>573</v>
      </c>
      <c r="D2057" s="2" t="str">
        <f t="shared" si="31"/>
        <v>Error?</v>
      </c>
    </row>
    <row r="2058" spans="1:4" x14ac:dyDescent="0.2">
      <c r="A2058" s="5">
        <v>1997</v>
      </c>
      <c r="B2058" s="138">
        <f>'Cap Outlay Deprec 26'!L10</f>
        <v>45460</v>
      </c>
      <c r="C2058" s="2" t="s">
        <v>573</v>
      </c>
      <c r="D2058" s="2" t="str">
        <f t="shared" si="31"/>
        <v>Error?</v>
      </c>
    </row>
    <row r="2059" spans="1:4" x14ac:dyDescent="0.2">
      <c r="A2059" s="5">
        <v>1998</v>
      </c>
      <c r="B2059" s="138">
        <f>'Cap Outlay Deprec 26'!L12</f>
        <v>84169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381185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7000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7000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7947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4942712</v>
      </c>
      <c r="C2551" s="2" t="s">
        <v>573</v>
      </c>
      <c r="D2551" s="2" t="str">
        <f t="shared" si="38"/>
        <v>Error?</v>
      </c>
    </row>
    <row r="2552" spans="1:4" x14ac:dyDescent="0.2">
      <c r="A2552" s="10">
        <v>2491</v>
      </c>
      <c r="D2552" s="2" t="str">
        <f t="shared" si="38"/>
        <v>OK</v>
      </c>
    </row>
    <row r="2553" spans="1:4" x14ac:dyDescent="0.2">
      <c r="A2553" s="5">
        <v>2492</v>
      </c>
      <c r="B2553" s="138">
        <f>'Acct Summary 7-8'!C6</f>
        <v>919211</v>
      </c>
      <c r="C2553" s="2" t="s">
        <v>573</v>
      </c>
      <c r="D2553" s="2" t="str">
        <f t="shared" si="38"/>
        <v>Error?</v>
      </c>
    </row>
    <row r="2554" spans="1:4" x14ac:dyDescent="0.2">
      <c r="A2554" s="5">
        <v>2493</v>
      </c>
      <c r="B2554" s="138">
        <f>'Acct Summary 7-8'!C7</f>
        <v>514438</v>
      </c>
      <c r="C2554" s="2" t="s">
        <v>573</v>
      </c>
      <c r="D2554" s="2" t="str">
        <f t="shared" si="38"/>
        <v>Error?</v>
      </c>
    </row>
    <row r="2555" spans="1:4" x14ac:dyDescent="0.2">
      <c r="A2555" s="5">
        <v>2494</v>
      </c>
      <c r="B2555" s="138">
        <f>'Acct Summary 7-8'!C8</f>
        <v>7789645</v>
      </c>
      <c r="C2555" s="2" t="s">
        <v>573</v>
      </c>
      <c r="D2555" s="2" t="str">
        <f t="shared" si="38"/>
        <v>Error?</v>
      </c>
    </row>
    <row r="2556" spans="1:4" x14ac:dyDescent="0.2">
      <c r="A2556" s="5">
        <v>2495</v>
      </c>
      <c r="B2556" s="138">
        <f>'Acct Summary 7-8'!C12</f>
        <v>1956764</v>
      </c>
      <c r="C2556" s="2" t="s">
        <v>573</v>
      </c>
      <c r="D2556" s="2" t="str">
        <f t="shared" si="38"/>
        <v>Error?</v>
      </c>
    </row>
    <row r="2557" spans="1:4" x14ac:dyDescent="0.2">
      <c r="A2557" s="5">
        <v>2496</v>
      </c>
      <c r="B2557" s="138">
        <f>'Acct Summary 7-8'!C13</f>
        <v>3474689</v>
      </c>
      <c r="C2557" s="2" t="s">
        <v>573</v>
      </c>
      <c r="D2557" s="2" t="str">
        <f t="shared" si="38"/>
        <v>Error?</v>
      </c>
    </row>
    <row r="2558" spans="1:4" x14ac:dyDescent="0.2">
      <c r="A2558" s="5">
        <v>2497</v>
      </c>
      <c r="B2558" s="138">
        <f>'Acct Summary 7-8'!C14</f>
        <v>77369</v>
      </c>
      <c r="C2558" s="2" t="s">
        <v>573</v>
      </c>
      <c r="D2558" s="2" t="str">
        <f t="shared" si="38"/>
        <v>Error?</v>
      </c>
    </row>
    <row r="2559" spans="1:4" x14ac:dyDescent="0.2">
      <c r="A2559" s="5">
        <v>2498</v>
      </c>
      <c r="B2559" s="138">
        <f>'Acct Summary 7-8'!C15</f>
        <v>2226678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7735500</v>
      </c>
      <c r="C2561" s="2" t="s">
        <v>573</v>
      </c>
      <c r="D2561" s="2" t="str">
        <f t="shared" si="39"/>
        <v>Error?</v>
      </c>
    </row>
    <row r="2562" spans="1:4" x14ac:dyDescent="0.2">
      <c r="A2562" s="5">
        <v>2501</v>
      </c>
      <c r="B2562" s="138">
        <f>'Acct Summary 7-8'!C20</f>
        <v>54145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611131</v>
      </c>
      <c r="D2718" s="2" t="str">
        <f t="shared" si="41"/>
        <v>Error?</v>
      </c>
    </row>
    <row r="2719" spans="1:4" x14ac:dyDescent="0.2">
      <c r="A2719" s="5">
        <v>2658</v>
      </c>
      <c r="B2719" s="138">
        <f>'Expenditures 15-22'!D51</f>
        <v>185139</v>
      </c>
      <c r="D2719" s="2" t="str">
        <f t="shared" si="41"/>
        <v>Error?</v>
      </c>
    </row>
    <row r="2720" spans="1:4" x14ac:dyDescent="0.2">
      <c r="A2720" s="5">
        <v>2659</v>
      </c>
      <c r="B2720" s="138">
        <f>'Expenditures 15-22'!E51</f>
        <v>160606</v>
      </c>
      <c r="D2720" s="2" t="str">
        <f t="shared" si="41"/>
        <v>Error?</v>
      </c>
    </row>
    <row r="2721" spans="1:4" x14ac:dyDescent="0.2">
      <c r="A2721" s="5">
        <v>2660</v>
      </c>
      <c r="B2721" s="138">
        <f>'Expenditures 15-22'!F51</f>
        <v>64917</v>
      </c>
      <c r="D2721" s="2" t="str">
        <f t="shared" si="41"/>
        <v>Error?</v>
      </c>
    </row>
    <row r="2722" spans="1:4" x14ac:dyDescent="0.2">
      <c r="A2722" s="5">
        <v>2661</v>
      </c>
      <c r="B2722" s="138">
        <f>'Expenditures 15-22'!G51</f>
        <v>11217</v>
      </c>
      <c r="D2722" s="2" t="str">
        <f t="shared" si="41"/>
        <v>Error?</v>
      </c>
    </row>
    <row r="2723" spans="1:4" x14ac:dyDescent="0.2">
      <c r="A2723" s="5">
        <v>2662</v>
      </c>
      <c r="B2723" s="138">
        <f>'Expenditures 15-22'!H51</f>
        <v>6924</v>
      </c>
      <c r="D2723" s="2" t="str">
        <f t="shared" si="41"/>
        <v>Error?</v>
      </c>
    </row>
    <row r="2724" spans="1:4" x14ac:dyDescent="0.2">
      <c r="A2724" s="5">
        <v>2663</v>
      </c>
      <c r="B2724" s="138">
        <f>'Expenditures 15-22'!K51</f>
        <v>1039934</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2080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2080</v>
      </c>
      <c r="D2914" s="2" t="str">
        <f t="shared" si="44"/>
        <v>Error?</v>
      </c>
    </row>
    <row r="2915" spans="1:4" x14ac:dyDescent="0.2">
      <c r="A2915" s="10">
        <v>2854</v>
      </c>
      <c r="D2915" s="2" t="str">
        <f t="shared" si="44"/>
        <v>OK</v>
      </c>
    </row>
    <row r="2916" spans="1:4" x14ac:dyDescent="0.2">
      <c r="A2916" s="5">
        <v>2855</v>
      </c>
      <c r="B2916" s="138">
        <f>'Assets-Liab 5-6'!L34</f>
        <v>2080</v>
      </c>
      <c r="C2916" s="2" t="s">
        <v>573</v>
      </c>
      <c r="D2916" s="2" t="str">
        <f t="shared" si="44"/>
        <v>Error?</v>
      </c>
    </row>
    <row r="2917" spans="1:4" x14ac:dyDescent="0.2">
      <c r="A2917" s="5">
        <v>2856</v>
      </c>
      <c r="B2917" s="138">
        <f>'Assets-Liab 5-6'!L41</f>
        <v>2080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7000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7000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150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150</v>
      </c>
      <c r="C3232" s="2" t="s">
        <v>573</v>
      </c>
      <c r="D3232" s="2" t="str">
        <f t="shared" si="49"/>
        <v>Error?</v>
      </c>
    </row>
    <row r="3233" spans="1:4" x14ac:dyDescent="0.2">
      <c r="A3233" s="5">
        <v>3172</v>
      </c>
      <c r="B3233" s="138">
        <f>'Acct Summary 7-8'!C78</f>
        <v>54295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1340863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281620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17125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40950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1600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1682158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1413284</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1329129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2080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150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2108442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9898087</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2108442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9843942</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1373939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72043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198607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24337</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4918703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4918703</v>
      </c>
      <c r="C5087" s="2" t="s">
        <v>573</v>
      </c>
      <c r="D5087" s="2" t="str">
        <f t="shared" si="78"/>
        <v>Error?</v>
      </c>
    </row>
    <row r="5088" spans="1:4" x14ac:dyDescent="0.2">
      <c r="A5088" s="5">
        <v>5027</v>
      </c>
      <c r="B5088" s="138">
        <f>'Revenues 9-14'!C65</f>
        <v>4580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4580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1736</v>
      </c>
      <c r="D5094" s="2" t="str">
        <f t="shared" si="78"/>
        <v>Error?</v>
      </c>
    </row>
    <row r="5095" spans="1:4" x14ac:dyDescent="0.2">
      <c r="A5095" s="5">
        <v>5034</v>
      </c>
      <c r="B5095" s="138">
        <f>'Revenues 9-14'!C74</f>
        <v>2140</v>
      </c>
      <c r="D5095" s="2" t="str">
        <f t="shared" si="78"/>
        <v>Error?</v>
      </c>
    </row>
    <row r="5096" spans="1:4" x14ac:dyDescent="0.2">
      <c r="A5096" s="5">
        <v>5035</v>
      </c>
      <c r="B5096" s="138">
        <f>'Revenues 9-14'!C75</f>
        <v>5144</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1521</v>
      </c>
      <c r="D5114" s="2" t="str">
        <f t="shared" si="78"/>
        <v>Error?</v>
      </c>
    </row>
    <row r="5115" spans="1:4" x14ac:dyDescent="0.2">
      <c r="A5115" s="5">
        <v>5054</v>
      </c>
      <c r="B5115" s="138">
        <f>'Revenues 9-14'!C98</f>
        <v>12764</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14285</v>
      </c>
      <c r="C5120" s="2" t="s">
        <v>573</v>
      </c>
      <c r="D5120" s="2" t="str">
        <f t="shared" si="79"/>
        <v>Error?</v>
      </c>
    </row>
    <row r="5121" spans="1:4" x14ac:dyDescent="0.2">
      <c r="A5121" s="5">
        <v>5060</v>
      </c>
      <c r="B5121" s="138">
        <f>'Revenues 9-14'!C109</f>
        <v>4942712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1413284</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1413284</v>
      </c>
      <c r="C5125" s="2" t="s">
        <v>573</v>
      </c>
      <c r="D5125" s="2" t="str">
        <f t="shared" si="79"/>
        <v>Error?</v>
      </c>
    </row>
    <row r="5126" spans="1:4" x14ac:dyDescent="0.2">
      <c r="A5126" s="5">
        <v>5065</v>
      </c>
      <c r="B5126" s="138">
        <f>'Revenues 9-14'!C117</f>
        <v>497776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497776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421435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421435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919211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96898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122553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219451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514438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514438</v>
      </c>
      <c r="C5326" s="2" t="s">
        <v>573</v>
      </c>
      <c r="D5326" s="2" t="str">
        <f t="shared" si="82"/>
        <v>Error?</v>
      </c>
    </row>
    <row r="5327" spans="1:5" x14ac:dyDescent="0.2">
      <c r="A5327" s="5">
        <v>5266</v>
      </c>
      <c r="B5327" s="138">
        <f>'Revenues 9-14'!C268</f>
        <v>7789645</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1268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46171</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54295</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3.9517766072584011E-2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2219678</v>
      </c>
      <c r="D6998" s="2" t="str">
        <f t="shared" si="108"/>
        <v>Error?</v>
      </c>
    </row>
    <row r="6999" spans="1:4" x14ac:dyDescent="0.2">
      <c r="A6999">
        <v>6938</v>
      </c>
      <c r="B6999" s="138">
        <f>'Expenditures 15-22'!K94</f>
        <v>2219678</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2219678</v>
      </c>
      <c r="D7012" s="2" t="str">
        <f t="shared" si="108"/>
        <v>Error?</v>
      </c>
    </row>
    <row r="7013" spans="1:4" x14ac:dyDescent="0.2">
      <c r="A7013">
        <v>6952</v>
      </c>
      <c r="B7013" s="138">
        <f>'Expenditures 15-22'!K100</f>
        <v>2219678</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28807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1849</v>
      </c>
    </row>
    <row r="7775" spans="1:5" x14ac:dyDescent="0.2">
      <c r="A7775">
        <v>7714</v>
      </c>
      <c r="B7775" s="138">
        <f>'Expenditures 15-22'!H133</f>
        <v>0</v>
      </c>
      <c r="D7775" s="2" t="str">
        <f t="shared" si="127"/>
        <v>Error?</v>
      </c>
      <c r="E7775" s="4" t="s">
        <v>1849</v>
      </c>
    </row>
    <row r="7776" spans="1:5" x14ac:dyDescent="0.2">
      <c r="A7776">
        <v>7715</v>
      </c>
      <c r="B7776" s="138">
        <f>'Expenditures 15-22'!K133</f>
        <v>0</v>
      </c>
      <c r="D7776" s="2" t="str">
        <f t="shared" si="127"/>
        <v>Error?</v>
      </c>
      <c r="E7776" s="4" t="s">
        <v>1849</v>
      </c>
    </row>
    <row r="7777" spans="1:5" x14ac:dyDescent="0.2">
      <c r="A7777">
        <v>7716</v>
      </c>
      <c r="B7777" s="138">
        <f>'Expenditures 15-22'!H157</f>
        <v>0</v>
      </c>
      <c r="D7777" s="2" t="str">
        <f t="shared" si="127"/>
        <v>Error?</v>
      </c>
      <c r="E7777" s="4" t="s">
        <v>1849</v>
      </c>
    </row>
    <row r="7778" spans="1:5" x14ac:dyDescent="0.2">
      <c r="A7778">
        <v>7717</v>
      </c>
      <c r="B7778" s="138">
        <f>'Expenditures 15-22'!K157</f>
        <v>0</v>
      </c>
      <c r="D7778" s="2" t="str">
        <f t="shared" si="127"/>
        <v>Error?</v>
      </c>
      <c r="E7778" s="4" t="s">
        <v>1849</v>
      </c>
    </row>
    <row r="7779" spans="1:5" x14ac:dyDescent="0.2">
      <c r="A7779">
        <v>7718</v>
      </c>
      <c r="B7779" s="138">
        <f>'Expenditures 15-22'!H158</f>
        <v>0</v>
      </c>
      <c r="D7779" s="2" t="str">
        <f t="shared" si="127"/>
        <v>Error?</v>
      </c>
      <c r="E7779" s="4" t="s">
        <v>1849</v>
      </c>
    </row>
    <row r="7780" spans="1:5" x14ac:dyDescent="0.2">
      <c r="A7780">
        <v>7719</v>
      </c>
      <c r="B7780" s="138">
        <f>'Expenditures 15-22'!K158</f>
        <v>0</v>
      </c>
      <c r="D7780" s="2" t="str">
        <f t="shared" si="127"/>
        <v>Error?</v>
      </c>
      <c r="E7780" s="4" t="s">
        <v>1849</v>
      </c>
    </row>
    <row r="7781" spans="1:5" x14ac:dyDescent="0.2">
      <c r="A7781">
        <v>7720</v>
      </c>
      <c r="B7781" s="138">
        <f>'Expenditures 15-22'!H159</f>
        <v>0</v>
      </c>
      <c r="D7781" s="2" t="str">
        <f t="shared" si="127"/>
        <v>Error?</v>
      </c>
      <c r="E7781" s="4" t="s">
        <v>1849</v>
      </c>
    </row>
    <row r="7782" spans="1:5" x14ac:dyDescent="0.2">
      <c r="A7782">
        <v>7721</v>
      </c>
      <c r="B7782" s="138">
        <f>'Expenditures 15-22'!K159</f>
        <v>0</v>
      </c>
      <c r="D7782" s="2" t="str">
        <f t="shared" si="127"/>
        <v>Error?</v>
      </c>
      <c r="E7782" s="4" t="s">
        <v>1849</v>
      </c>
    </row>
    <row r="7783" spans="1:5" x14ac:dyDescent="0.2">
      <c r="A7783">
        <v>7722</v>
      </c>
      <c r="B7783" s="138">
        <f>'Expenditures 15-22'!D282</f>
        <v>0</v>
      </c>
      <c r="D7783" s="2" t="str">
        <f t="shared" si="127"/>
        <v>Error?</v>
      </c>
      <c r="E7783" s="4" t="s">
        <v>1849</v>
      </c>
    </row>
    <row r="7784" spans="1:5" x14ac:dyDescent="0.2">
      <c r="A7784">
        <v>7723</v>
      </c>
      <c r="B7784" s="138">
        <f>'Expenditures 15-22'!K282</f>
        <v>0</v>
      </c>
      <c r="D7784" s="2" t="str">
        <f t="shared" si="127"/>
        <v>Error?</v>
      </c>
      <c r="E7784" s="4" t="s">
        <v>1849</v>
      </c>
    </row>
    <row r="7785" spans="1:5" x14ac:dyDescent="0.2">
      <c r="A7785">
        <v>7724</v>
      </c>
      <c r="B7785" s="138">
        <f>'Expenditures 15-22'!H332</f>
        <v>0</v>
      </c>
      <c r="D7785" s="2" t="str">
        <f t="shared" si="127"/>
        <v>Error?</v>
      </c>
      <c r="E7785" s="4" t="s">
        <v>1849</v>
      </c>
    </row>
    <row r="7786" spans="1:5" x14ac:dyDescent="0.2">
      <c r="A7786">
        <v>7725</v>
      </c>
      <c r="B7786" s="138">
        <f>'Expenditures 15-22'!K332</f>
        <v>0</v>
      </c>
      <c r="D7786" s="2" t="str">
        <f t="shared" si="127"/>
        <v>Error?</v>
      </c>
      <c r="E7786" s="4" t="s">
        <v>1849</v>
      </c>
    </row>
    <row r="7787" spans="1:5" x14ac:dyDescent="0.2">
      <c r="A7787">
        <v>7726</v>
      </c>
      <c r="B7787" s="138">
        <f>'Expenditures 15-22'!H333</f>
        <v>0</v>
      </c>
      <c r="D7787" s="2" t="str">
        <f t="shared" si="127"/>
        <v>Error?</v>
      </c>
      <c r="E7787" s="4" t="s">
        <v>1849</v>
      </c>
    </row>
    <row r="7788" spans="1:5" x14ac:dyDescent="0.2">
      <c r="A7788">
        <v>7727</v>
      </c>
      <c r="B7788" s="138">
        <f>'Expenditures 15-22'!K333</f>
        <v>0</v>
      </c>
      <c r="D7788" s="2" t="str">
        <f t="shared" si="127"/>
        <v>Error?</v>
      </c>
      <c r="E7788" s="4" t="s">
        <v>1849</v>
      </c>
    </row>
    <row r="7789" spans="1:5" x14ac:dyDescent="0.2">
      <c r="A7789">
        <v>7728</v>
      </c>
      <c r="B7789" s="138">
        <f>'Expenditures 15-22'!H334</f>
        <v>0</v>
      </c>
      <c r="D7789" s="2" t="str">
        <f t="shared" si="127"/>
        <v>Error?</v>
      </c>
      <c r="E7789" s="4" t="s">
        <v>1849</v>
      </c>
    </row>
    <row r="7790" spans="1:5" x14ac:dyDescent="0.2">
      <c r="A7790">
        <v>7729</v>
      </c>
      <c r="B7790" s="138">
        <f>'Expenditures 15-22'!K334</f>
        <v>0</v>
      </c>
      <c r="D7790" s="2" t="str">
        <f t="shared" si="127"/>
        <v>Error?</v>
      </c>
      <c r="E7790" s="4" t="s">
        <v>1849</v>
      </c>
    </row>
    <row r="7791" spans="1:5" x14ac:dyDescent="0.2">
      <c r="A7791">
        <v>7730</v>
      </c>
      <c r="B7791" s="138">
        <f>'Expenditures 15-22'!H354</f>
        <v>0</v>
      </c>
      <c r="D7791" s="2" t="str">
        <f t="shared" si="127"/>
        <v>Error?</v>
      </c>
      <c r="E7791" s="4" t="s">
        <v>1849</v>
      </c>
    </row>
    <row r="7792" spans="1:5" x14ac:dyDescent="0.2">
      <c r="A7792">
        <v>7731</v>
      </c>
      <c r="B7792" s="138">
        <f>'Expenditures 15-22'!K354</f>
        <v>0</v>
      </c>
      <c r="D7792" s="2" t="str">
        <f t="shared" si="127"/>
        <v>Error?</v>
      </c>
      <c r="E7792" s="4" t="s">
        <v>1849</v>
      </c>
    </row>
    <row r="7793" spans="1:5" x14ac:dyDescent="0.2">
      <c r="A7793">
        <v>7732</v>
      </c>
      <c r="B7793" s="138">
        <f>'Expenditures 15-22'!H355</f>
        <v>0</v>
      </c>
      <c r="D7793" s="2" t="str">
        <f t="shared" si="127"/>
        <v>Error?</v>
      </c>
      <c r="E7793" s="4" t="s">
        <v>1849</v>
      </c>
    </row>
    <row r="7794" spans="1:5" x14ac:dyDescent="0.2">
      <c r="A7794">
        <v>7733</v>
      </c>
      <c r="B7794" s="138">
        <f>'Expenditures 15-22'!K355</f>
        <v>0</v>
      </c>
      <c r="D7794" s="2" t="str">
        <f t="shared" si="127"/>
        <v>Error?</v>
      </c>
      <c r="E7794" s="4" t="s">
        <v>1849</v>
      </c>
    </row>
    <row r="7795" spans="1:5" x14ac:dyDescent="0.2">
      <c r="A7795">
        <v>7734</v>
      </c>
      <c r="B7795" s="138">
        <f>'Expenditures 15-22'!E138</f>
        <v>0</v>
      </c>
      <c r="D7795" s="2" t="str">
        <f t="shared" si="127"/>
        <v>Error?</v>
      </c>
      <c r="E7795" s="4" t="s">
        <v>1849</v>
      </c>
    </row>
    <row r="7796" spans="1:5" x14ac:dyDescent="0.2">
      <c r="A7796">
        <v>7735</v>
      </c>
      <c r="B7796" s="138">
        <f>'Acct Summary 7-8'!J15</f>
        <v>0</v>
      </c>
      <c r="D7796" s="2" t="str">
        <f t="shared" si="127"/>
        <v>Error?</v>
      </c>
      <c r="E7796" s="4" t="s">
        <v>1849</v>
      </c>
    </row>
    <row r="7797" spans="1:5" x14ac:dyDescent="0.2">
      <c r="A7797">
        <v>7736</v>
      </c>
      <c r="B7797" s="138">
        <f>'Contracts Paid in CY 29'!D141</f>
        <v>42875</v>
      </c>
      <c r="D7797" s="2" t="str">
        <f t="shared" si="127"/>
        <v>Error?</v>
      </c>
      <c r="E7797" s="4" t="s">
        <v>1898</v>
      </c>
    </row>
    <row r="7798" spans="1:5" x14ac:dyDescent="0.2">
      <c r="A7798">
        <v>7737</v>
      </c>
      <c r="B7798" s="138">
        <f>'Contracts Paid in CY 29'!F141</f>
        <v>25000</v>
      </c>
      <c r="D7798" s="2" t="str">
        <f t="shared" si="127"/>
        <v>Error?</v>
      </c>
      <c r="E7798" s="4" t="s">
        <v>1898</v>
      </c>
    </row>
    <row r="7799" spans="1:5" x14ac:dyDescent="0.2">
      <c r="A7799">
        <v>7738</v>
      </c>
      <c r="B7799" s="138">
        <f>'Contracts Paid in CY 29'!G141</f>
        <v>17875</v>
      </c>
      <c r="D7799" s="2" t="str">
        <f t="shared" si="127"/>
        <v>Error?</v>
      </c>
      <c r="E7799" s="4" t="s">
        <v>1898</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89" t="s">
        <v>1191</v>
      </c>
      <c r="B2" s="2489"/>
      <c r="C2" s="2489"/>
      <c r="D2" s="2489"/>
      <c r="E2" s="2489"/>
      <c r="F2" s="2489"/>
      <c r="G2" s="2489"/>
      <c r="H2" s="2489"/>
      <c r="I2" s="2489"/>
      <c r="J2" s="2489"/>
      <c r="K2" s="2489"/>
      <c r="L2" s="2489"/>
    </row>
    <row r="3" spans="1:29" ht="13.5" customHeight="1" x14ac:dyDescent="0.2">
      <c r="A3" s="2520" t="s">
        <v>1190</v>
      </c>
      <c r="B3" s="2520"/>
      <c r="C3" s="2520"/>
      <c r="D3" s="2520"/>
      <c r="E3" s="2520"/>
      <c r="F3" s="2520"/>
      <c r="G3" s="2520"/>
      <c r="H3" s="2520"/>
      <c r="I3" s="2520"/>
      <c r="J3" s="2520"/>
      <c r="K3" s="2520"/>
      <c r="L3" s="2520"/>
    </row>
    <row r="4" spans="1:29" ht="13.5" customHeight="1" x14ac:dyDescent="0.2">
      <c r="A4" s="2489" t="s">
        <v>1983</v>
      </c>
      <c r="B4" s="2510"/>
      <c r="C4" s="2510"/>
      <c r="D4" s="2510"/>
      <c r="E4" s="2510"/>
      <c r="F4" s="2510"/>
      <c r="G4" s="2510"/>
      <c r="H4" s="2510"/>
      <c r="I4" s="2510"/>
      <c r="J4" s="2510"/>
      <c r="K4" s="2510"/>
      <c r="L4" s="2510"/>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511" t="str">
        <f>COVER!A17</f>
        <v>Woodford County Spec Educ Assn</v>
      </c>
      <c r="B7" s="2512"/>
      <c r="C7" s="2512"/>
      <c r="D7" s="2513"/>
      <c r="E7" s="2514">
        <f>COVER!A13</f>
        <v>53102069061</v>
      </c>
      <c r="F7" s="2515"/>
      <c r="G7" s="2521" t="str">
        <f>COVER!T23</f>
        <v>066-005027</v>
      </c>
      <c r="H7" s="2522"/>
      <c r="I7" s="2522"/>
      <c r="J7" s="2522"/>
      <c r="K7" s="2522"/>
      <c r="L7" s="2523"/>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524"/>
      <c r="B9" s="2525"/>
      <c r="C9" s="2525"/>
      <c r="D9" s="2525"/>
      <c r="E9" s="2525"/>
      <c r="F9" s="2526"/>
      <c r="G9" s="2495" t="str">
        <f>COVER!T13</f>
        <v>Gorenz and Associates, Ltd.</v>
      </c>
      <c r="H9" s="2527"/>
      <c r="I9" s="2527"/>
      <c r="J9" s="2527"/>
      <c r="K9" s="2527"/>
      <c r="L9" s="2528"/>
    </row>
    <row r="10" spans="1:29" ht="13.5" customHeight="1" x14ac:dyDescent="0.2">
      <c r="A10" s="2501" t="str">
        <f>COVER!A38</f>
        <v>Eric Scroggs</v>
      </c>
      <c r="B10" s="2502"/>
      <c r="C10" s="2502"/>
      <c r="D10" s="2502"/>
      <c r="E10" s="2502"/>
      <c r="F10" s="2503"/>
      <c r="G10" s="2495" t="str">
        <f>COVER!T17</f>
        <v>4200 N Knoxville Ave</v>
      </c>
      <c r="H10" s="2496"/>
      <c r="I10" s="2496"/>
      <c r="J10" s="2496"/>
      <c r="K10" s="2496"/>
      <c r="L10" s="2497"/>
    </row>
    <row r="11" spans="1:29" ht="13.5" customHeight="1" x14ac:dyDescent="0.2">
      <c r="A11" s="1181" t="s">
        <v>1519</v>
      </c>
      <c r="B11" s="1182"/>
      <c r="C11" s="1183"/>
      <c r="D11" s="1188"/>
      <c r="E11" s="1183"/>
      <c r="F11" s="1187"/>
      <c r="G11" s="2495" t="str">
        <f>COVER!T19</f>
        <v>Peoria</v>
      </c>
      <c r="H11" s="2496"/>
      <c r="I11" s="2496"/>
      <c r="J11" s="2496"/>
      <c r="K11" s="2496"/>
      <c r="L11" s="2497"/>
    </row>
    <row r="12" spans="1:29" ht="13.5" customHeight="1" x14ac:dyDescent="0.2">
      <c r="A12" s="2504" t="s">
        <v>1518</v>
      </c>
      <c r="B12" s="2505"/>
      <c r="C12" s="2505"/>
      <c r="D12" s="2505"/>
      <c r="E12" s="2505"/>
      <c r="F12" s="2506"/>
      <c r="G12" s="2498"/>
      <c r="H12" s="2499"/>
      <c r="I12" s="2499"/>
      <c r="J12" s="2499"/>
      <c r="K12" s="2499"/>
      <c r="L12" s="2500"/>
    </row>
    <row r="13" spans="1:29" ht="13.5" customHeight="1" x14ac:dyDescent="0.2">
      <c r="A13" s="2495"/>
      <c r="B13" s="2496"/>
      <c r="C13" s="2496"/>
      <c r="D13" s="2496"/>
      <c r="E13" s="2496"/>
      <c r="F13" s="2497"/>
      <c r="G13" s="2490" t="s">
        <v>1520</v>
      </c>
      <c r="H13" s="2491"/>
      <c r="I13" s="2507" t="str">
        <f>COVER!T25</f>
        <v>tcustis@gorenzcpa.com</v>
      </c>
      <c r="J13" s="2508"/>
      <c r="K13" s="2508"/>
      <c r="L13" s="2509"/>
    </row>
    <row r="14" spans="1:29" ht="13.5" customHeight="1" x14ac:dyDescent="0.2">
      <c r="A14" s="2495" t="str">
        <f>COVER!A19</f>
        <v>205 S. Engelwood Dr.</v>
      </c>
      <c r="B14" s="2496"/>
      <c r="C14" s="2496"/>
      <c r="D14" s="2496"/>
      <c r="E14" s="2496"/>
      <c r="F14" s="2497"/>
      <c r="G14" s="1192" t="s">
        <v>1185</v>
      </c>
      <c r="H14" s="1190"/>
      <c r="I14" s="1190"/>
      <c r="J14" s="1190"/>
      <c r="K14" s="1190"/>
      <c r="L14" s="1191"/>
    </row>
    <row r="15" spans="1:29" ht="13.5" customHeight="1" x14ac:dyDescent="0.2">
      <c r="A15" s="2495" t="str">
        <f>COVER!A21</f>
        <v>Metamora</v>
      </c>
      <c r="B15" s="2496"/>
      <c r="C15" s="2496"/>
      <c r="D15" s="2496"/>
      <c r="E15" s="2496"/>
      <c r="F15" s="2497"/>
      <c r="G15" s="2492" t="str">
        <f>COVER!T15</f>
        <v>Tim C. Custis, CPA</v>
      </c>
      <c r="H15" s="2493"/>
      <c r="I15" s="2493"/>
      <c r="J15" s="2493"/>
      <c r="K15" s="2493"/>
      <c r="L15" s="2494"/>
    </row>
    <row r="16" spans="1:29" ht="12.2" customHeight="1" x14ac:dyDescent="0.2">
      <c r="A16" s="2517">
        <f>COVER!A25</f>
        <v>61548</v>
      </c>
      <c r="B16" s="2518"/>
      <c r="C16" s="2518"/>
      <c r="D16" s="2518"/>
      <c r="E16" s="2518"/>
      <c r="F16" s="2519"/>
      <c r="G16" s="2529"/>
      <c r="H16" s="2530"/>
      <c r="I16" s="2530"/>
      <c r="J16" s="2530"/>
      <c r="K16" s="2530"/>
      <c r="L16" s="2531"/>
    </row>
    <row r="17" spans="1:13" ht="12.2" customHeight="1" x14ac:dyDescent="0.2">
      <c r="A17" s="2532"/>
      <c r="B17" s="2518"/>
      <c r="C17" s="2518"/>
      <c r="D17" s="2518"/>
      <c r="E17" s="2518"/>
      <c r="F17" s="2519"/>
      <c r="G17" s="1192" t="s">
        <v>1184</v>
      </c>
      <c r="H17" s="1190"/>
      <c r="I17" s="1190"/>
      <c r="J17" s="1190"/>
      <c r="K17" s="1194" t="s">
        <v>1183</v>
      </c>
      <c r="L17" s="1187"/>
      <c r="M17" s="1180"/>
    </row>
    <row r="18" spans="1:13" ht="12.2" customHeight="1" x14ac:dyDescent="0.2">
      <c r="A18" s="2501"/>
      <c r="B18" s="2502"/>
      <c r="C18" s="2502"/>
      <c r="D18" s="2502"/>
      <c r="E18" s="2502"/>
      <c r="F18" s="2503"/>
      <c r="G18" s="2511" t="str">
        <f>COVER!T21</f>
        <v>309-685-7621</v>
      </c>
      <c r="H18" s="2512"/>
      <c r="I18" s="2512"/>
      <c r="J18" s="2512"/>
      <c r="K18" s="2511" t="str">
        <f>COVER!X21</f>
        <v>309-685-4758</v>
      </c>
      <c r="L18" s="2516"/>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1696</v>
      </c>
    </row>
    <row r="22" spans="1:13" ht="12.2" customHeight="1" x14ac:dyDescent="0.2">
      <c r="A22" s="1197"/>
    </row>
    <row r="23" spans="1:13" ht="12.2" customHeight="1" x14ac:dyDescent="0.2">
      <c r="A23" s="1197"/>
      <c r="B23" s="1198" t="s">
        <v>2064</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2064</v>
      </c>
      <c r="C26" s="1199" t="s">
        <v>1697</v>
      </c>
    </row>
    <row r="27" spans="1:13" s="1195" customFormat="1" ht="9" customHeight="1" x14ac:dyDescent="0.2">
      <c r="B27" s="1200"/>
      <c r="C27" s="1199"/>
    </row>
    <row r="28" spans="1:13" s="1195" customFormat="1" ht="12.2" customHeight="1" x14ac:dyDescent="0.2">
      <c r="A28" s="1202"/>
      <c r="B28" s="1198" t="s">
        <v>2064</v>
      </c>
      <c r="C28" s="1199" t="s">
        <v>1698</v>
      </c>
    </row>
    <row r="29" spans="1:13" s="1195" customFormat="1" ht="9" customHeight="1" x14ac:dyDescent="0.2">
      <c r="A29" s="1202"/>
      <c r="B29" s="1200"/>
      <c r="C29" s="1199"/>
    </row>
    <row r="30" spans="1:13" s="1195" customFormat="1" ht="12.2" customHeight="1" x14ac:dyDescent="0.2">
      <c r="B30" s="1198" t="s">
        <v>2064</v>
      </c>
      <c r="C30" s="1199" t="s">
        <v>1560</v>
      </c>
      <c r="D30" s="1193"/>
      <c r="E30" s="1193"/>
    </row>
    <row r="31" spans="1:13" s="1195" customFormat="1" ht="9" customHeight="1" x14ac:dyDescent="0.2">
      <c r="B31" s="1200"/>
      <c r="C31" s="1199"/>
      <c r="D31" s="1193"/>
      <c r="E31" s="1193"/>
    </row>
    <row r="32" spans="1:13" s="1195" customFormat="1" ht="12.2" customHeight="1" x14ac:dyDescent="0.2">
      <c r="B32" s="1198" t="s">
        <v>2064</v>
      </c>
      <c r="C32" s="1199" t="s">
        <v>1561</v>
      </c>
      <c r="D32" s="1193"/>
      <c r="E32" s="1193"/>
    </row>
    <row r="33" spans="1:8" s="1195" customFormat="1" ht="10.9" customHeight="1" x14ac:dyDescent="0.2">
      <c r="B33" s="1200"/>
      <c r="C33" s="1203" t="s">
        <v>1699</v>
      </c>
      <c r="D33" s="1193"/>
      <c r="E33" s="1193"/>
    </row>
    <row r="34" spans="1:8" ht="9" customHeight="1" x14ac:dyDescent="0.2">
      <c r="B34" s="1200"/>
      <c r="C34" s="1203"/>
    </row>
    <row r="35" spans="1:8" s="1195" customFormat="1" ht="13.5" customHeight="1" x14ac:dyDescent="0.2">
      <c r="B35" s="1198" t="s">
        <v>2064</v>
      </c>
      <c r="C35" s="1199" t="s">
        <v>1562</v>
      </c>
    </row>
    <row r="36" spans="1:8" s="1195" customFormat="1" ht="10.9" customHeight="1" x14ac:dyDescent="0.2">
      <c r="B36" s="1200"/>
      <c r="C36" s="1203" t="s">
        <v>1563</v>
      </c>
    </row>
    <row r="37" spans="1:8" ht="9" customHeight="1" x14ac:dyDescent="0.2">
      <c r="B37" s="1200"/>
      <c r="C37" s="1203"/>
    </row>
    <row r="38" spans="1:8" s="1195" customFormat="1" ht="12.2" customHeight="1" x14ac:dyDescent="0.2">
      <c r="B38" s="1198" t="s">
        <v>2064</v>
      </c>
      <c r="C38" s="1199" t="s">
        <v>1564</v>
      </c>
    </row>
    <row r="39" spans="1:8" ht="9" customHeight="1" x14ac:dyDescent="0.2">
      <c r="B39" s="1200"/>
      <c r="C39" s="1203"/>
    </row>
    <row r="40" spans="1:8" s="1195" customFormat="1" ht="13.5" customHeight="1" x14ac:dyDescent="0.2">
      <c r="B40" s="1198" t="s">
        <v>2064</v>
      </c>
      <c r="C40" s="1199" t="s">
        <v>1565</v>
      </c>
    </row>
    <row r="41" spans="1:8" ht="9" customHeight="1" x14ac:dyDescent="0.2">
      <c r="A41" s="1204"/>
      <c r="B41" s="1200"/>
      <c r="C41" s="1203"/>
    </row>
    <row r="42" spans="1:8" s="1195" customFormat="1" ht="13.5" customHeight="1" x14ac:dyDescent="0.2">
      <c r="B42" s="1198" t="s">
        <v>2064</v>
      </c>
      <c r="C42" s="1199" t="s">
        <v>1831</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1566</v>
      </c>
      <c r="D46" s="1193"/>
      <c r="E46" s="1193"/>
      <c r="F46" s="1193"/>
      <c r="G46" s="1193"/>
      <c r="H46" s="1193"/>
    </row>
    <row r="47" spans="1:8" ht="9" customHeight="1" x14ac:dyDescent="0.2"/>
    <row r="48" spans="1:8" ht="12.2" customHeight="1" x14ac:dyDescent="0.2">
      <c r="B48" s="1851"/>
      <c r="C48" s="1207" t="s">
        <v>1567</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533" t="str">
        <f>'Single Audit Cover'!A7</f>
        <v>Woodford County Spec Educ Assn</v>
      </c>
      <c r="B1" s="2510"/>
      <c r="C1" s="2510"/>
      <c r="D1" s="2510"/>
    </row>
    <row r="2" spans="1:11" s="1209" customFormat="1" ht="12.75" x14ac:dyDescent="0.2">
      <c r="A2" s="2534">
        <f>'Single Audit Cover'!E7</f>
        <v>53102069061</v>
      </c>
      <c r="B2" s="2535"/>
      <c r="C2" s="2535"/>
      <c r="D2" s="2535"/>
    </row>
    <row r="3" spans="1:11" s="1209" customFormat="1" ht="12.75" x14ac:dyDescent="0.2">
      <c r="A3" s="2533" t="s">
        <v>1513</v>
      </c>
      <c r="B3" s="2510"/>
      <c r="C3" s="2510"/>
      <c r="D3" s="2510"/>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1700</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1701</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1702</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1703</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1724</v>
      </c>
      <c r="E24" s="1222"/>
      <c r="F24" s="1222"/>
      <c r="G24" s="1222"/>
      <c r="H24" s="1222"/>
      <c r="I24" s="1222"/>
      <c r="J24" s="1222"/>
      <c r="K24" s="1222"/>
    </row>
    <row r="25" spans="1:11" x14ac:dyDescent="0.2">
      <c r="A25" s="1216"/>
      <c r="B25" s="1225"/>
      <c r="D25" s="1224" t="s">
        <v>1704</v>
      </c>
      <c r="E25" s="1222"/>
      <c r="F25" s="1222"/>
      <c r="G25" s="1222"/>
      <c r="H25" s="1222"/>
      <c r="I25" s="1222"/>
      <c r="J25" s="1222"/>
      <c r="K25" s="1222"/>
    </row>
    <row r="26" spans="1:11" x14ac:dyDescent="0.2">
      <c r="A26" s="1216"/>
      <c r="B26" s="1225"/>
      <c r="D26" s="1229" t="s">
        <v>1705</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1568</v>
      </c>
      <c r="E28" s="1222"/>
      <c r="F28" s="1222"/>
      <c r="G28" s="1222"/>
      <c r="H28" s="1222"/>
      <c r="I28" s="1222"/>
      <c r="J28" s="1222"/>
      <c r="K28" s="1222"/>
    </row>
    <row r="29" spans="1:11" ht="10.5" customHeight="1" x14ac:dyDescent="0.2">
      <c r="A29" s="1216"/>
      <c r="D29" s="1230" t="s">
        <v>1569</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1570</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1570</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1571</v>
      </c>
    </row>
    <row r="41" spans="1:5" ht="3" customHeight="1" x14ac:dyDescent="0.2">
      <c r="A41" s="1216"/>
      <c r="B41" s="1233"/>
      <c r="C41" s="1234"/>
      <c r="D41" s="1215"/>
    </row>
    <row r="42" spans="1:5" ht="10.5" customHeight="1" x14ac:dyDescent="0.2">
      <c r="A42" s="1216"/>
      <c r="B42" s="1235"/>
      <c r="C42" s="1226">
        <v>11</v>
      </c>
      <c r="D42" s="1237" t="s">
        <v>1572</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1573</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1706</v>
      </c>
    </row>
    <row r="57" spans="1:4" ht="10.5" customHeight="1" x14ac:dyDescent="0.2">
      <c r="A57" s="1216"/>
      <c r="D57" s="1231" t="s">
        <v>1707</v>
      </c>
    </row>
    <row r="58" spans="1:4" x14ac:dyDescent="0.2">
      <c r="A58" s="1216"/>
      <c r="C58" s="1238"/>
      <c r="D58" s="1231" t="s">
        <v>1708</v>
      </c>
    </row>
    <row r="59" spans="1:4" ht="10.5" customHeight="1" x14ac:dyDescent="0.2">
      <c r="A59" s="1216"/>
      <c r="D59" s="1215" t="s">
        <v>1209</v>
      </c>
    </row>
    <row r="60" spans="1:4" ht="10.5" customHeight="1" x14ac:dyDescent="0.2">
      <c r="A60" s="1216"/>
      <c r="D60" s="1239" t="s">
        <v>1597</v>
      </c>
    </row>
    <row r="61" spans="1:4" ht="10.5" customHeight="1" x14ac:dyDescent="0.2">
      <c r="A61" s="1216"/>
      <c r="C61" s="1238"/>
      <c r="D61" s="1231" t="s">
        <v>1709</v>
      </c>
    </row>
    <row r="62" spans="1:4" ht="10.5" customHeight="1" x14ac:dyDescent="0.2">
      <c r="A62" s="1216"/>
      <c r="D62" s="1240" t="s">
        <v>1208</v>
      </c>
    </row>
    <row r="63" spans="1:4" ht="10.5" customHeight="1" x14ac:dyDescent="0.2">
      <c r="A63" s="1216"/>
      <c r="D63" s="1215" t="s">
        <v>1574</v>
      </c>
    </row>
    <row r="64" spans="1:4" ht="10.5" customHeight="1" x14ac:dyDescent="0.2">
      <c r="A64" s="1216"/>
      <c r="D64" s="1239" t="s">
        <v>1596</v>
      </c>
    </row>
    <row r="65" spans="1:4" x14ac:dyDescent="0.2">
      <c r="A65" s="1216"/>
      <c r="C65" s="1238"/>
      <c r="D65" s="1231" t="s">
        <v>1710</v>
      </c>
    </row>
    <row r="66" spans="1:4" ht="10.5" customHeight="1" x14ac:dyDescent="0.2">
      <c r="A66" s="1216"/>
      <c r="D66" s="1241" t="s">
        <v>1207</v>
      </c>
    </row>
    <row r="67" spans="1:4" ht="10.5" customHeight="1" x14ac:dyDescent="0.2">
      <c r="A67" s="1216"/>
      <c r="D67" s="1215" t="s">
        <v>1575</v>
      </c>
    </row>
    <row r="68" spans="1:4" ht="10.5" customHeight="1" x14ac:dyDescent="0.2">
      <c r="A68" s="1216"/>
      <c r="D68" s="1239" t="s">
        <v>1596</v>
      </c>
    </row>
    <row r="69" spans="1:4" ht="10.5" customHeight="1" x14ac:dyDescent="0.2">
      <c r="A69" s="1216"/>
      <c r="C69" s="1238"/>
      <c r="D69" s="1231" t="s">
        <v>1711</v>
      </c>
    </row>
    <row r="70" spans="1:4" x14ac:dyDescent="0.2">
      <c r="A70" s="1216"/>
      <c r="D70" s="1240" t="s">
        <v>1206</v>
      </c>
    </row>
    <row r="71" spans="1:4" ht="3" customHeight="1" x14ac:dyDescent="0.2">
      <c r="A71" s="1216"/>
      <c r="D71" s="1215"/>
    </row>
    <row r="72" spans="1:4" x14ac:dyDescent="0.2">
      <c r="A72" s="1216"/>
      <c r="B72" s="1219"/>
      <c r="C72" s="1220">
        <f>C56+1</f>
        <v>18</v>
      </c>
      <c r="D72" s="1241" t="s">
        <v>1712</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1713</v>
      </c>
    </row>
    <row r="77" spans="1:4" ht="3" customHeight="1" x14ac:dyDescent="0.2">
      <c r="A77" s="1216"/>
      <c r="B77" s="1223"/>
      <c r="C77" s="1220"/>
      <c r="D77" s="1242"/>
    </row>
    <row r="78" spans="1:4" x14ac:dyDescent="0.2">
      <c r="A78" s="1216"/>
      <c r="B78" s="1219"/>
      <c r="C78" s="1220">
        <f>C76+1</f>
        <v>21</v>
      </c>
      <c r="D78" s="1215" t="s">
        <v>1714</v>
      </c>
    </row>
    <row r="79" spans="1:4" ht="3" customHeight="1" x14ac:dyDescent="0.2">
      <c r="A79" s="1216"/>
      <c r="B79" s="1223"/>
      <c r="C79" s="1220"/>
      <c r="D79" s="1215"/>
    </row>
    <row r="80" spans="1:4" x14ac:dyDescent="0.2">
      <c r="A80" s="1216"/>
      <c r="B80" s="1219"/>
      <c r="C80" s="1220">
        <f>C78+1</f>
        <v>22</v>
      </c>
      <c r="D80" s="1243" t="s">
        <v>1715</v>
      </c>
    </row>
    <row r="81" spans="1:4" ht="3" customHeight="1" x14ac:dyDescent="0.2">
      <c r="A81" s="1216"/>
      <c r="B81" s="1223"/>
      <c r="C81" s="1220"/>
      <c r="D81" s="1243"/>
    </row>
    <row r="82" spans="1:4" x14ac:dyDescent="0.2">
      <c r="A82" s="1216"/>
      <c r="B82" s="1219"/>
      <c r="C82" s="1220">
        <f>C80+1</f>
        <v>23</v>
      </c>
      <c r="D82" s="1242" t="s">
        <v>1716</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1717</v>
      </c>
    </row>
    <row r="92" spans="1:4" x14ac:dyDescent="0.2">
      <c r="A92" s="1216"/>
      <c r="B92" s="1244"/>
      <c r="C92" s="1238"/>
      <c r="D92" s="1231" t="s">
        <v>1200</v>
      </c>
    </row>
    <row r="93" spans="1:4" ht="4.5" customHeight="1" x14ac:dyDescent="0.2">
      <c r="A93" s="1216"/>
      <c r="D93" s="1215"/>
    </row>
    <row r="94" spans="1:4" x14ac:dyDescent="0.2">
      <c r="A94" s="1216"/>
      <c r="B94" s="1217" t="s">
        <v>1576</v>
      </c>
      <c r="C94" s="1218"/>
      <c r="D94" s="1215"/>
    </row>
    <row r="95" spans="1:4" ht="4.5" customHeight="1" x14ac:dyDescent="0.2">
      <c r="A95" s="1216"/>
      <c r="B95" s="1217"/>
      <c r="C95" s="1218"/>
      <c r="D95" s="1215"/>
    </row>
    <row r="96" spans="1:4" x14ac:dyDescent="0.2">
      <c r="A96" s="1216"/>
      <c r="B96" s="1219"/>
      <c r="C96" s="1220">
        <f>C91+1</f>
        <v>28</v>
      </c>
      <c r="D96" s="1231" t="s">
        <v>1718</v>
      </c>
    </row>
    <row r="97" spans="1:4" ht="3" customHeight="1" x14ac:dyDescent="0.2">
      <c r="A97" s="1216"/>
      <c r="B97" s="1223"/>
      <c r="C97" s="1220"/>
      <c r="D97" s="1231"/>
    </row>
    <row r="98" spans="1:4" x14ac:dyDescent="0.2">
      <c r="A98" s="1216"/>
      <c r="B98" s="1219"/>
      <c r="C98" s="1220">
        <f>C96+1</f>
        <v>29</v>
      </c>
      <c r="D98" s="1245" t="s">
        <v>1719</v>
      </c>
    </row>
    <row r="99" spans="1:4" ht="3" customHeight="1" x14ac:dyDescent="0.2">
      <c r="A99" s="1216"/>
      <c r="B99" s="1223"/>
      <c r="C99" s="1220"/>
      <c r="D99" s="1245"/>
    </row>
    <row r="100" spans="1:4" x14ac:dyDescent="0.2">
      <c r="A100" s="1216"/>
      <c r="B100" s="1219"/>
      <c r="C100" s="1220">
        <f>C98+1</f>
        <v>30</v>
      </c>
      <c r="D100" s="1231" t="s">
        <v>1720</v>
      </c>
    </row>
    <row r="101" spans="1:4" ht="3" customHeight="1" x14ac:dyDescent="0.2">
      <c r="A101" s="1216"/>
      <c r="B101" s="1223"/>
      <c r="C101" s="1220"/>
      <c r="D101" s="1246"/>
    </row>
    <row r="102" spans="1:4" x14ac:dyDescent="0.2">
      <c r="A102" s="1216"/>
      <c r="B102" s="1219"/>
      <c r="C102" s="1220">
        <f>C100+1</f>
        <v>31</v>
      </c>
      <c r="D102" s="1231" t="s">
        <v>1577</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1578</v>
      </c>
    </row>
    <row r="107" spans="1:4" ht="3" customHeight="1" x14ac:dyDescent="0.2">
      <c r="A107" s="1216"/>
      <c r="B107" s="1223"/>
      <c r="C107" s="1220"/>
      <c r="D107" s="1215"/>
    </row>
    <row r="108" spans="1:4" x14ac:dyDescent="0.2">
      <c r="A108" s="1216"/>
      <c r="B108" s="1219"/>
      <c r="C108" s="1220">
        <v>33</v>
      </c>
      <c r="D108" s="1215" t="s">
        <v>1721</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1722</v>
      </c>
    </row>
    <row r="118" spans="1:4" ht="3" customHeight="1" x14ac:dyDescent="0.2">
      <c r="A118" s="1216"/>
      <c r="B118" s="1223"/>
      <c r="C118" s="1220"/>
      <c r="D118" s="1231"/>
    </row>
    <row r="119" spans="1:4" x14ac:dyDescent="0.2">
      <c r="A119" s="1216"/>
      <c r="B119" s="1219"/>
      <c r="C119" s="1220">
        <f>C117+1</f>
        <v>38</v>
      </c>
      <c r="D119" s="1231" t="s">
        <v>1723</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1832</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537" t="str">
        <f>'Single Audit Cover'!A7</f>
        <v>Woodford County Spec Educ Assn</v>
      </c>
      <c r="B1" s="2537"/>
      <c r="C1" s="2537"/>
      <c r="D1" s="2537"/>
      <c r="E1" s="2537"/>
    </row>
    <row r="2" spans="1:5" x14ac:dyDescent="0.2">
      <c r="A2" s="2538">
        <f>'Single Audit Cover'!E7</f>
        <v>53102069061</v>
      </c>
      <c r="B2" s="2538"/>
      <c r="C2" s="2538"/>
      <c r="D2" s="2538"/>
      <c r="E2" s="2538"/>
    </row>
    <row r="3" spans="1:5" ht="4.5" customHeight="1" x14ac:dyDescent="0.2"/>
    <row r="4" spans="1:5" x14ac:dyDescent="0.2">
      <c r="A4" s="2537" t="s">
        <v>1245</v>
      </c>
      <c r="B4" s="2537"/>
      <c r="C4" s="2537"/>
      <c r="D4" s="2537"/>
      <c r="E4" s="2537"/>
    </row>
    <row r="5" spans="1:5" x14ac:dyDescent="0.2">
      <c r="A5" s="2540" t="str">
        <f>'Single Audit Cover'!A4</f>
        <v>Year Ending June 30, 2019</v>
      </c>
      <c r="B5" s="2540"/>
      <c r="C5" s="2540"/>
      <c r="D5" s="2540"/>
      <c r="E5" s="2540"/>
    </row>
    <row r="6" spans="1:5" x14ac:dyDescent="0.2">
      <c r="A6" s="2537" t="s">
        <v>1244</v>
      </c>
      <c r="B6" s="2537"/>
      <c r="C6" s="2537"/>
      <c r="D6" s="2537"/>
      <c r="E6" s="2537"/>
    </row>
    <row r="8" spans="1:5" x14ac:dyDescent="0.2">
      <c r="A8" s="1254" t="s">
        <v>1243</v>
      </c>
    </row>
    <row r="10" spans="1:5" x14ac:dyDescent="0.2">
      <c r="A10" s="1255" t="s">
        <v>1242</v>
      </c>
      <c r="B10" s="1256" t="s">
        <v>1241</v>
      </c>
      <c r="C10" s="1256"/>
      <c r="D10" s="1257">
        <f>SUM('Acct Summary 7-8'!C7:K7)</f>
        <v>514438</v>
      </c>
    </row>
    <row r="11" spans="1:5" ht="18" customHeight="1" x14ac:dyDescent="0.2">
      <c r="A11" s="1255" t="s">
        <v>1240</v>
      </c>
      <c r="B11" s="1256"/>
      <c r="C11" s="1256"/>
    </row>
    <row r="12" spans="1:5" x14ac:dyDescent="0.2">
      <c r="A12" s="1255" t="s">
        <v>1239</v>
      </c>
      <c r="B12" s="1256" t="s">
        <v>1238</v>
      </c>
      <c r="C12" s="1256"/>
      <c r="D12" s="1258">
        <f>SUM('Revenues 9-14'!C112:D112,'Revenues 9-14'!F112:G112)</f>
        <v>1413284</v>
      </c>
    </row>
    <row r="13" spans="1:5" x14ac:dyDescent="0.2">
      <c r="A13" s="1255" t="s">
        <v>1237</v>
      </c>
      <c r="B13" s="1256"/>
      <c r="C13" s="1256"/>
    </row>
    <row r="14" spans="1:5" x14ac:dyDescent="0.2">
      <c r="A14" s="1255" t="s">
        <v>1725</v>
      </c>
      <c r="B14" s="1256"/>
      <c r="C14" s="1256"/>
      <c r="D14" s="1258">
        <f>'ICR Computation 30'!E11</f>
        <v>0</v>
      </c>
    </row>
    <row r="15" spans="1:5" x14ac:dyDescent="0.2">
      <c r="A15" s="1255"/>
      <c r="B15" s="1256"/>
      <c r="C15" s="1256"/>
    </row>
    <row r="16" spans="1:5" x14ac:dyDescent="0.2">
      <c r="A16" s="1255" t="s">
        <v>1838</v>
      </c>
      <c r="B16" s="1256"/>
      <c r="C16" s="1256"/>
    </row>
    <row r="17" spans="1:4" x14ac:dyDescent="0.2">
      <c r="A17" s="1255" t="s">
        <v>2055</v>
      </c>
      <c r="B17" s="1256" t="s">
        <v>1236</v>
      </c>
      <c r="C17" s="1256"/>
      <c r="D17" s="1258">
        <f>-SUM('Revenues 9-14'!C264:D264,'Revenues 9-14'!F264:G264)</f>
        <v>-198607</v>
      </c>
    </row>
    <row r="19" spans="1:4" ht="13.5" thickBot="1" x14ac:dyDescent="0.25">
      <c r="A19" s="1259" t="s">
        <v>1235</v>
      </c>
      <c r="D19" s="1260">
        <f>SUM(D10:D17)</f>
        <v>1729115</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539"/>
      <c r="B24" s="2539"/>
      <c r="D24" s="1262"/>
    </row>
    <row r="25" spans="1:4" x14ac:dyDescent="0.2">
      <c r="A25" s="2536"/>
      <c r="B25" s="2536"/>
      <c r="D25" s="1262"/>
    </row>
    <row r="26" spans="1:4" x14ac:dyDescent="0.2">
      <c r="A26" s="2536"/>
      <c r="B26" s="2536"/>
      <c r="D26" s="1262"/>
    </row>
    <row r="27" spans="1:4" x14ac:dyDescent="0.2">
      <c r="A27" s="2536"/>
      <c r="B27" s="2536"/>
      <c r="D27" s="1262"/>
    </row>
    <row r="28" spans="1:4" x14ac:dyDescent="0.2">
      <c r="A28" s="2536"/>
      <c r="B28" s="2536"/>
      <c r="D28" s="1262"/>
    </row>
    <row r="29" spans="1:4" x14ac:dyDescent="0.2">
      <c r="A29" s="2536"/>
      <c r="B29" s="2536"/>
      <c r="D29" s="1262"/>
    </row>
    <row r="30" spans="1:4" x14ac:dyDescent="0.2">
      <c r="A30" s="2536"/>
      <c r="B30" s="2536"/>
      <c r="D30" s="1262"/>
    </row>
    <row r="32" spans="1:4" x14ac:dyDescent="0.2">
      <c r="A32" s="1254" t="s">
        <v>1233</v>
      </c>
      <c r="D32" s="1257">
        <f>SUM(D19:D30)</f>
        <v>1729115</v>
      </c>
    </row>
    <row r="33" spans="1:4" x14ac:dyDescent="0.2">
      <c r="D33" s="1263"/>
    </row>
    <row r="34" spans="1:4" x14ac:dyDescent="0.2">
      <c r="A34" s="317" t="s">
        <v>1232</v>
      </c>
    </row>
    <row r="35" spans="1:4" x14ac:dyDescent="0.2">
      <c r="A35" s="317" t="s">
        <v>1231</v>
      </c>
      <c r="B35" s="1252" t="s">
        <v>1230</v>
      </c>
      <c r="D35" s="1264">
        <f>'SEFA 19'!I76</f>
        <v>1729115</v>
      </c>
    </row>
    <row r="37" spans="1:4" x14ac:dyDescent="0.2">
      <c r="A37" s="1254" t="s">
        <v>1229</v>
      </c>
    </row>
    <row r="39" spans="1:4" ht="13.35" customHeight="1" x14ac:dyDescent="0.2">
      <c r="A39" s="1261" t="s">
        <v>1228</v>
      </c>
    </row>
    <row r="40" spans="1:4" x14ac:dyDescent="0.2">
      <c r="A40" s="2536"/>
      <c r="B40" s="2536"/>
      <c r="D40" s="1262"/>
    </row>
    <row r="41" spans="1:4" x14ac:dyDescent="0.2">
      <c r="A41" s="2536"/>
      <c r="B41" s="2536"/>
      <c r="D41" s="1265"/>
    </row>
    <row r="42" spans="1:4" x14ac:dyDescent="0.2">
      <c r="A42" s="2536"/>
      <c r="B42" s="2536"/>
      <c r="D42" s="1265"/>
    </row>
    <row r="43" spans="1:4" x14ac:dyDescent="0.2">
      <c r="A43" s="2536"/>
      <c r="B43" s="2536"/>
      <c r="D43" s="1265"/>
    </row>
    <row r="44" spans="1:4" x14ac:dyDescent="0.2">
      <c r="A44" s="2536"/>
      <c r="B44" s="2536"/>
      <c r="D44" s="1265"/>
    </row>
    <row r="45" spans="1:4" x14ac:dyDescent="0.2">
      <c r="A45" s="2536"/>
      <c r="B45" s="2536"/>
      <c r="D45" s="1265"/>
    </row>
    <row r="47" spans="1:4" x14ac:dyDescent="0.2">
      <c r="B47" s="1266" t="s">
        <v>1227</v>
      </c>
      <c r="C47" s="1266"/>
      <c r="D47" s="1267">
        <f>SUM(D35:D45)</f>
        <v>1729115</v>
      </c>
    </row>
    <row r="49" spans="2:4" x14ac:dyDescent="0.2">
      <c r="B49" s="1266" t="s">
        <v>1226</v>
      </c>
      <c r="C49" s="1266"/>
      <c r="D49" s="1267">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35" customWidth="1"/>
    <col min="4" max="4" width="12.7109375" style="1336"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520" t="str">
        <f>'Single Audit Cover'!A7</f>
        <v>Woodford County Spec Educ Assn</v>
      </c>
      <c r="C1" s="2541"/>
      <c r="D1" s="2541"/>
      <c r="E1" s="2541"/>
      <c r="F1" s="2541"/>
      <c r="G1" s="2541"/>
      <c r="H1" s="2541"/>
      <c r="I1" s="2541"/>
      <c r="J1" s="2541"/>
      <c r="K1" s="2541"/>
      <c r="L1" s="2541"/>
      <c r="M1" s="2541"/>
    </row>
    <row r="2" spans="2:14" ht="15" x14ac:dyDescent="0.2">
      <c r="B2" s="2542">
        <f>'Single Audit Cover'!E7</f>
        <v>53102069061</v>
      </c>
      <c r="C2" s="2542"/>
      <c r="D2" s="2542"/>
      <c r="E2" s="2542"/>
      <c r="F2" s="2542"/>
      <c r="G2" s="2542"/>
      <c r="H2" s="2542"/>
      <c r="I2" s="2542"/>
      <c r="J2" s="2542"/>
      <c r="K2" s="2542"/>
      <c r="L2" s="2542"/>
      <c r="M2" s="2542"/>
      <c r="N2" s="1280"/>
    </row>
    <row r="3" spans="2:14" ht="15" x14ac:dyDescent="0.2">
      <c r="B3" s="2543" t="s">
        <v>1219</v>
      </c>
      <c r="C3" s="2543"/>
      <c r="D3" s="2543"/>
      <c r="E3" s="2543"/>
      <c r="F3" s="2543"/>
      <c r="G3" s="2543"/>
      <c r="H3" s="2543"/>
      <c r="I3" s="2543"/>
      <c r="J3" s="2543"/>
      <c r="K3" s="2543"/>
      <c r="L3" s="2543"/>
      <c r="M3" s="2543"/>
      <c r="N3" s="1280"/>
    </row>
    <row r="4" spans="2:14" ht="15" x14ac:dyDescent="0.2">
      <c r="B4" s="2544" t="str">
        <f>'Single Audit Cover'!A4</f>
        <v>Year Ending June 30, 2019</v>
      </c>
      <c r="C4" s="2544"/>
      <c r="D4" s="2544"/>
      <c r="E4" s="2544"/>
      <c r="F4" s="2544"/>
      <c r="G4" s="2544"/>
      <c r="H4" s="2544"/>
      <c r="I4" s="2544"/>
      <c r="J4" s="2544"/>
      <c r="K4" s="2544"/>
      <c r="L4" s="2544"/>
      <c r="M4" s="2544"/>
      <c r="N4" s="1280"/>
    </row>
    <row r="6" spans="2:14" x14ac:dyDescent="0.2">
      <c r="B6" s="1281"/>
      <c r="C6" s="1282"/>
      <c r="D6" s="1283" t="s">
        <v>1265</v>
      </c>
      <c r="E6" s="1284" t="s">
        <v>527</v>
      </c>
      <c r="F6" s="1285"/>
      <c r="G6" s="1286" t="s">
        <v>1729</v>
      </c>
      <c r="H6" s="1284"/>
      <c r="I6" s="1284"/>
      <c r="J6" s="1284"/>
      <c r="K6" s="1287"/>
      <c r="L6" s="1288"/>
      <c r="M6" s="1289"/>
    </row>
    <row r="7" spans="2:14" x14ac:dyDescent="0.2">
      <c r="B7" s="1290" t="s">
        <v>1579</v>
      </c>
      <c r="C7" s="1291"/>
      <c r="D7" s="1292"/>
      <c r="E7" s="1293"/>
      <c r="F7" s="1294"/>
      <c r="G7" s="1293"/>
      <c r="H7" s="1295" t="s">
        <v>1262</v>
      </c>
      <c r="I7" s="1293"/>
      <c r="J7" s="1296" t="s">
        <v>1262</v>
      </c>
      <c r="K7" s="1297"/>
      <c r="L7" s="1298" t="s">
        <v>1260</v>
      </c>
      <c r="M7" s="1299"/>
    </row>
    <row r="8" spans="2:14" x14ac:dyDescent="0.2">
      <c r="B8" s="1587"/>
      <c r="C8" s="1291" t="s">
        <v>1264</v>
      </c>
      <c r="D8" s="1292" t="s">
        <v>1263</v>
      </c>
      <c r="E8" s="1300" t="s">
        <v>1262</v>
      </c>
      <c r="F8" s="1301" t="s">
        <v>1262</v>
      </c>
      <c r="G8" s="1302" t="s">
        <v>1262</v>
      </c>
      <c r="H8" s="1295" t="s">
        <v>1834</v>
      </c>
      <c r="I8" s="1297" t="s">
        <v>1262</v>
      </c>
      <c r="J8" s="1296" t="s">
        <v>1984</v>
      </c>
      <c r="K8" s="1297" t="s">
        <v>1261</v>
      </c>
      <c r="L8" s="1298" t="s">
        <v>1257</v>
      </c>
      <c r="M8" s="1299" t="s">
        <v>30</v>
      </c>
    </row>
    <row r="9" spans="2:14" ht="14.25" x14ac:dyDescent="0.2">
      <c r="B9" s="1303" t="s">
        <v>1259</v>
      </c>
      <c r="C9" s="1291" t="s">
        <v>1730</v>
      </c>
      <c r="D9" s="1292" t="s">
        <v>1731</v>
      </c>
      <c r="E9" s="1300" t="s">
        <v>1834</v>
      </c>
      <c r="F9" s="1301" t="s">
        <v>1984</v>
      </c>
      <c r="G9" s="1302" t="s">
        <v>1834</v>
      </c>
      <c r="H9" s="1295" t="s">
        <v>1580</v>
      </c>
      <c r="I9" s="1297" t="s">
        <v>1984</v>
      </c>
      <c r="J9" s="1296" t="s">
        <v>1580</v>
      </c>
      <c r="K9" s="1297" t="s">
        <v>1258</v>
      </c>
      <c r="L9" s="1304" t="s">
        <v>1581</v>
      </c>
      <c r="M9" s="1299"/>
    </row>
    <row r="10" spans="2:14" ht="11.85" customHeight="1" x14ac:dyDescent="0.2">
      <c r="B10" s="1303" t="s">
        <v>1256</v>
      </c>
      <c r="C10" s="1305" t="s">
        <v>1255</v>
      </c>
      <c r="D10" s="1306" t="s">
        <v>1254</v>
      </c>
      <c r="E10" s="1307" t="s">
        <v>1253</v>
      </c>
      <c r="F10" s="1308" t="s">
        <v>1252</v>
      </c>
      <c r="G10" s="1309" t="s">
        <v>1251</v>
      </c>
      <c r="H10" s="1310" t="s">
        <v>1266</v>
      </c>
      <c r="I10" s="1311" t="s">
        <v>1250</v>
      </c>
      <c r="J10" s="1312" t="s">
        <v>1266</v>
      </c>
      <c r="K10" s="1313" t="s">
        <v>1249</v>
      </c>
      <c r="L10" s="1313" t="s">
        <v>1248</v>
      </c>
      <c r="M10" s="1314" t="s">
        <v>1247</v>
      </c>
    </row>
    <row r="11" spans="2:14" ht="20.100000000000001" customHeight="1" x14ac:dyDescent="0.2">
      <c r="B11" s="1315"/>
      <c r="C11" s="1316"/>
      <c r="D11" s="1317"/>
      <c r="E11" s="1318"/>
      <c r="F11" s="1318"/>
      <c r="G11" s="1318"/>
      <c r="H11" s="1318"/>
      <c r="I11" s="1318"/>
      <c r="J11" s="1318"/>
      <c r="K11" s="1318"/>
      <c r="L11" s="1318">
        <f>+G11+I11+K11</f>
        <v>0</v>
      </c>
      <c r="M11" s="1318"/>
    </row>
    <row r="12" spans="2:14" ht="20.100000000000001" customHeight="1" x14ac:dyDescent="0.2">
      <c r="B12" s="1315"/>
      <c r="C12" s="1319"/>
      <c r="D12" s="1320"/>
      <c r="E12" s="1321"/>
      <c r="F12" s="1321"/>
      <c r="G12" s="1321"/>
      <c r="H12" s="1321"/>
      <c r="I12" s="1321"/>
      <c r="J12" s="1321"/>
      <c r="K12" s="1321"/>
      <c r="L12" s="1318">
        <f t="shared" ref="L12:L27" si="0">+G12+I12+K12</f>
        <v>0</v>
      </c>
      <c r="M12" s="1321"/>
    </row>
    <row r="13" spans="2:14" ht="20.100000000000001" customHeight="1" x14ac:dyDescent="0.2">
      <c r="B13" s="1315" t="s">
        <v>2065</v>
      </c>
      <c r="C13" s="1319"/>
      <c r="D13" s="1320"/>
      <c r="E13" s="1321"/>
      <c r="F13" s="1321"/>
      <c r="G13" s="1321"/>
      <c r="H13" s="1321"/>
      <c r="I13" s="1321"/>
      <c r="J13" s="1321"/>
      <c r="K13" s="1321"/>
      <c r="L13" s="1318">
        <f t="shared" si="0"/>
        <v>0</v>
      </c>
      <c r="M13" s="1321"/>
    </row>
    <row r="14" spans="2:14" ht="20.100000000000001" customHeight="1" x14ac:dyDescent="0.2">
      <c r="B14" s="1315"/>
      <c r="C14" s="1319"/>
      <c r="D14" s="1320"/>
      <c r="E14" s="1321"/>
      <c r="F14" s="1321"/>
      <c r="G14" s="1321"/>
      <c r="H14" s="1321"/>
      <c r="I14" s="1321"/>
      <c r="J14" s="1321"/>
      <c r="K14" s="1321"/>
      <c r="L14" s="1318">
        <f t="shared" si="0"/>
        <v>0</v>
      </c>
      <c r="M14" s="1321"/>
    </row>
    <row r="15" spans="2:14" ht="20.100000000000001" customHeight="1" x14ac:dyDescent="0.2">
      <c r="B15" s="1315" t="s">
        <v>1169</v>
      </c>
      <c r="C15" s="1319"/>
      <c r="D15" s="1320"/>
      <c r="E15" s="1321"/>
      <c r="F15" s="1321"/>
      <c r="G15" s="1321"/>
      <c r="H15" s="1321"/>
      <c r="I15" s="1321"/>
      <c r="J15" s="1321"/>
      <c r="K15" s="1321"/>
      <c r="L15" s="1318">
        <f t="shared" si="0"/>
        <v>0</v>
      </c>
      <c r="M15" s="1321"/>
    </row>
    <row r="16" spans="2:14" ht="20.100000000000001" customHeight="1" x14ac:dyDescent="0.2">
      <c r="B16" s="1315"/>
      <c r="C16" s="1319"/>
      <c r="D16" s="1320"/>
      <c r="E16" s="1321"/>
      <c r="F16" s="1321"/>
      <c r="G16" s="1321"/>
      <c r="H16" s="1321"/>
      <c r="I16" s="1321"/>
      <c r="J16" s="1321"/>
      <c r="K16" s="1321"/>
      <c r="L16" s="1318">
        <f t="shared" si="0"/>
        <v>0</v>
      </c>
      <c r="M16" s="1321"/>
    </row>
    <row r="17" spans="2:14" ht="20.100000000000001" customHeight="1" x14ac:dyDescent="0.2">
      <c r="B17" s="1315"/>
      <c r="C17" s="1319"/>
      <c r="D17" s="1320"/>
      <c r="E17" s="1321"/>
      <c r="F17" s="1321"/>
      <c r="G17" s="1321"/>
      <c r="H17" s="1321"/>
      <c r="I17" s="1321"/>
      <c r="J17" s="1321"/>
      <c r="K17" s="1321"/>
      <c r="L17" s="1318">
        <f t="shared" si="0"/>
        <v>0</v>
      </c>
      <c r="M17" s="1321"/>
    </row>
    <row r="18" spans="2:14" ht="20.100000000000001" customHeight="1" x14ac:dyDescent="0.2">
      <c r="B18" s="1315"/>
      <c r="C18" s="1319"/>
      <c r="D18" s="1320"/>
      <c r="E18" s="1321"/>
      <c r="F18" s="1321"/>
      <c r="G18" s="1321"/>
      <c r="H18" s="1321"/>
      <c r="I18" s="1321"/>
      <c r="J18" s="1321"/>
      <c r="K18" s="1321"/>
      <c r="L18" s="1318">
        <f t="shared" si="0"/>
        <v>0</v>
      </c>
      <c r="M18" s="1321"/>
    </row>
    <row r="19" spans="2:14" ht="20.100000000000001" customHeight="1" x14ac:dyDescent="0.2">
      <c r="B19" s="1315"/>
      <c r="C19" s="1319"/>
      <c r="D19" s="1320"/>
      <c r="E19" s="1321"/>
      <c r="F19" s="1321"/>
      <c r="G19" s="1321"/>
      <c r="H19" s="1321"/>
      <c r="I19" s="1321"/>
      <c r="J19" s="1321"/>
      <c r="K19" s="1321"/>
      <c r="L19" s="1318">
        <f t="shared" si="0"/>
        <v>0</v>
      </c>
      <c r="M19" s="1321"/>
    </row>
    <row r="20" spans="2:14" ht="20.100000000000001" customHeight="1" x14ac:dyDescent="0.2">
      <c r="B20" s="1315"/>
      <c r="C20" s="1319"/>
      <c r="D20" s="1320"/>
      <c r="E20" s="1321"/>
      <c r="F20" s="1321"/>
      <c r="G20" s="1321"/>
      <c r="H20" s="1321"/>
      <c r="I20" s="1321"/>
      <c r="J20" s="1321"/>
      <c r="K20" s="1321"/>
      <c r="L20" s="1318">
        <f t="shared" si="0"/>
        <v>0</v>
      </c>
      <c r="M20" s="1321"/>
    </row>
    <row r="21" spans="2:14" ht="20.100000000000001" customHeight="1" x14ac:dyDescent="0.2">
      <c r="B21" s="1315"/>
      <c r="C21" s="1319"/>
      <c r="D21" s="1320"/>
      <c r="E21" s="1321"/>
      <c r="F21" s="1321"/>
      <c r="G21" s="1321"/>
      <c r="H21" s="1321"/>
      <c r="I21" s="1321"/>
      <c r="J21" s="1321"/>
      <c r="K21" s="1321"/>
      <c r="L21" s="1318">
        <f t="shared" si="0"/>
        <v>0</v>
      </c>
      <c r="M21" s="1321"/>
    </row>
    <row r="22" spans="2:14" ht="20.100000000000001" customHeight="1" x14ac:dyDescent="0.2">
      <c r="B22" s="1315"/>
      <c r="C22" s="1319"/>
      <c r="D22" s="1320"/>
      <c r="E22" s="1321"/>
      <c r="F22" s="1321"/>
      <c r="G22" s="1321"/>
      <c r="H22" s="1321"/>
      <c r="I22" s="1321"/>
      <c r="J22" s="1321"/>
      <c r="K22" s="1321"/>
      <c r="L22" s="1318">
        <f t="shared" si="0"/>
        <v>0</v>
      </c>
      <c r="M22" s="1321"/>
    </row>
    <row r="23" spans="2:14" ht="20.100000000000001" customHeight="1" x14ac:dyDescent="0.2">
      <c r="B23" s="1315"/>
      <c r="C23" s="1319"/>
      <c r="D23" s="1320"/>
      <c r="E23" s="1321"/>
      <c r="F23" s="1321"/>
      <c r="G23" s="1321"/>
      <c r="H23" s="1321"/>
      <c r="I23" s="1321"/>
      <c r="J23" s="1321"/>
      <c r="K23" s="1321"/>
      <c r="L23" s="1318">
        <f t="shared" si="0"/>
        <v>0</v>
      </c>
      <c r="M23" s="1321"/>
    </row>
    <row r="24" spans="2:14" ht="20.100000000000001" customHeight="1" x14ac:dyDescent="0.2">
      <c r="B24" s="1315"/>
      <c r="C24" s="1319"/>
      <c r="D24" s="1320"/>
      <c r="E24" s="1321"/>
      <c r="F24" s="1321"/>
      <c r="G24" s="1321"/>
      <c r="H24" s="1321"/>
      <c r="I24" s="1321"/>
      <c r="J24" s="1321"/>
      <c r="K24" s="1321"/>
      <c r="L24" s="1318">
        <f t="shared" si="0"/>
        <v>0</v>
      </c>
      <c r="M24" s="1321"/>
    </row>
    <row r="25" spans="2:14" ht="20.100000000000001" customHeight="1" x14ac:dyDescent="0.2">
      <c r="B25" s="1315"/>
      <c r="C25" s="1319"/>
      <c r="D25" s="1320"/>
      <c r="E25" s="1321"/>
      <c r="F25" s="1321"/>
      <c r="G25" s="1321"/>
      <c r="H25" s="1321"/>
      <c r="I25" s="1321"/>
      <c r="J25" s="1321"/>
      <c r="K25" s="1321"/>
      <c r="L25" s="1318">
        <f t="shared" si="0"/>
        <v>0</v>
      </c>
      <c r="M25" s="1321"/>
    </row>
    <row r="26" spans="2:14" ht="20.100000000000001" customHeight="1" x14ac:dyDescent="0.2">
      <c r="B26" s="1315"/>
      <c r="C26" s="1319"/>
      <c r="D26" s="1320"/>
      <c r="E26" s="1321"/>
      <c r="F26" s="1321"/>
      <c r="G26" s="1321"/>
      <c r="H26" s="1321"/>
      <c r="I26" s="1321"/>
      <c r="J26" s="1321"/>
      <c r="K26" s="1321"/>
      <c r="L26" s="1318">
        <f t="shared" si="0"/>
        <v>0</v>
      </c>
      <c r="M26" s="1321"/>
    </row>
    <row r="27" spans="2:14" ht="20.100000000000001" customHeight="1" x14ac:dyDescent="0.2">
      <c r="B27" s="1315"/>
      <c r="C27" s="1319"/>
      <c r="D27" s="1320"/>
      <c r="E27" s="1321"/>
      <c r="F27" s="1321"/>
      <c r="G27" s="1321"/>
      <c r="H27" s="1321"/>
      <c r="I27" s="1321"/>
      <c r="J27" s="1321"/>
      <c r="K27" s="1321"/>
      <c r="L27" s="1318">
        <f t="shared" si="0"/>
        <v>0</v>
      </c>
      <c r="M27" s="1321"/>
      <c r="N27" s="1322"/>
    </row>
    <row r="28" spans="2:14" ht="12.75" customHeight="1" x14ac:dyDescent="0.2">
      <c r="B28" s="1323"/>
      <c r="C28" s="1324"/>
      <c r="D28" s="1325"/>
      <c r="E28" s="1326"/>
      <c r="F28" s="1326"/>
      <c r="G28" s="1326"/>
      <c r="H28" s="1326"/>
      <c r="I28" s="1326"/>
      <c r="J28" s="1326"/>
      <c r="K28" s="1326"/>
      <c r="L28" s="1326"/>
      <c r="M28" s="1326"/>
      <c r="N28" s="1322"/>
    </row>
    <row r="29" spans="2:14" x14ac:dyDescent="0.2">
      <c r="B29" s="1251"/>
      <c r="C29" s="1327"/>
      <c r="D29" s="1328"/>
      <c r="E29" s="1251"/>
      <c r="F29" s="1251"/>
      <c r="G29" s="1244"/>
      <c r="H29" s="1244"/>
      <c r="I29" s="1244"/>
      <c r="J29" s="1244"/>
      <c r="K29" s="1244"/>
      <c r="L29" s="1244"/>
      <c r="M29" s="1251"/>
      <c r="N29" s="1322"/>
    </row>
    <row r="30" spans="2:14" ht="13.5" customHeight="1" x14ac:dyDescent="0.2">
      <c r="B30" s="1272" t="s">
        <v>1732</v>
      </c>
      <c r="C30" s="1327"/>
      <c r="D30" s="1328"/>
      <c r="E30" s="1251"/>
      <c r="F30" s="1251"/>
      <c r="G30" s="1244"/>
      <c r="H30" s="1244"/>
      <c r="I30" s="1244"/>
      <c r="J30" s="1244"/>
      <c r="K30" s="1244"/>
      <c r="L30" s="1244"/>
      <c r="M30" s="1251"/>
      <c r="N30" s="1322"/>
    </row>
    <row r="31" spans="2:14" ht="8.25" customHeight="1" x14ac:dyDescent="0.2">
      <c r="B31" s="1272"/>
      <c r="C31" s="1327"/>
      <c r="D31" s="1328"/>
      <c r="E31" s="1251"/>
      <c r="F31" s="1251"/>
      <c r="G31" s="1244"/>
      <c r="H31" s="1244"/>
      <c r="I31" s="1244"/>
      <c r="J31" s="1244"/>
      <c r="K31" s="1244"/>
      <c r="L31" s="1244"/>
      <c r="M31" s="1251"/>
      <c r="N31" s="1322"/>
    </row>
    <row r="32" spans="2:14" x14ac:dyDescent="0.2">
      <c r="B32" s="1329" t="s">
        <v>1835</v>
      </c>
      <c r="C32" s="1330"/>
      <c r="D32" s="1331"/>
      <c r="E32" s="1332"/>
      <c r="F32" s="1332"/>
      <c r="G32" s="1332"/>
      <c r="H32" s="1332"/>
      <c r="I32" s="317"/>
      <c r="J32" s="317"/>
    </row>
    <row r="33" spans="2:13" x14ac:dyDescent="0.2">
      <c r="B33" s="1270"/>
      <c r="C33" s="1333"/>
      <c r="D33" s="1334"/>
      <c r="E33" s="1271"/>
      <c r="F33" s="1271"/>
      <c r="G33" s="317"/>
      <c r="H33" s="317"/>
      <c r="I33" s="317"/>
      <c r="J33" s="317"/>
    </row>
    <row r="34" spans="2:13" ht="13.5" customHeight="1" x14ac:dyDescent="0.2">
      <c r="B34" s="1269" t="s">
        <v>1246</v>
      </c>
      <c r="G34" s="317"/>
      <c r="H34" s="317"/>
      <c r="I34" s="317"/>
      <c r="J34" s="317"/>
    </row>
    <row r="35" spans="2:13" ht="13.5" customHeight="1" x14ac:dyDescent="0.2">
      <c r="B35" s="1337"/>
      <c r="C35" s="1338"/>
      <c r="D35" s="1339"/>
      <c r="E35" s="1278"/>
      <c r="F35" s="1278"/>
      <c r="G35" s="1278"/>
      <c r="H35" s="1278"/>
      <c r="I35" s="1278"/>
      <c r="J35" s="1278"/>
      <c r="K35" s="1340"/>
      <c r="L35" s="1340"/>
      <c r="M35" s="1278"/>
    </row>
    <row r="36" spans="2:13" ht="9.6" customHeight="1" x14ac:dyDescent="0.2">
      <c r="B36" s="1341"/>
      <c r="G36" s="317"/>
      <c r="H36" s="317"/>
      <c r="I36" s="317"/>
      <c r="J36" s="317"/>
    </row>
    <row r="37" spans="2:13" ht="11.25" customHeight="1" x14ac:dyDescent="0.2">
      <c r="B37" s="1342" t="s">
        <v>1733</v>
      </c>
      <c r="C37" s="1343"/>
      <c r="D37" s="1343"/>
      <c r="E37" s="1343"/>
      <c r="F37" s="1343"/>
      <c r="G37" s="1343"/>
      <c r="H37" s="1343"/>
      <c r="I37" s="1344"/>
      <c r="J37" s="1344"/>
      <c r="K37" s="1344"/>
      <c r="L37" s="1344"/>
      <c r="M37" s="1344"/>
    </row>
    <row r="38" spans="2:13" ht="11.25" customHeight="1" x14ac:dyDescent="0.2">
      <c r="B38" s="1345" t="s">
        <v>1582</v>
      </c>
      <c r="C38" s="1344"/>
      <c r="D38" s="1344"/>
      <c r="E38" s="1344"/>
      <c r="F38" s="1344"/>
      <c r="G38" s="1344"/>
      <c r="H38" s="1344"/>
      <c r="I38" s="1344"/>
      <c r="J38" s="1344"/>
      <c r="K38" s="1344"/>
      <c r="L38" s="1344"/>
      <c r="M38" s="1344"/>
    </row>
    <row r="39" spans="2:13" ht="3.95" customHeight="1" x14ac:dyDescent="0.2">
      <c r="B39" s="1345"/>
      <c r="C39" s="1344"/>
      <c r="D39" s="1344"/>
      <c r="E39" s="1344"/>
      <c r="F39" s="1344"/>
      <c r="G39" s="1344"/>
      <c r="H39" s="1344"/>
      <c r="I39" s="1344"/>
      <c r="J39" s="1344"/>
      <c r="K39" s="1344"/>
      <c r="L39" s="1344"/>
      <c r="M39" s="1344"/>
    </row>
    <row r="40" spans="2:13" ht="11.25" customHeight="1" x14ac:dyDescent="0.2">
      <c r="B40" s="1342" t="s">
        <v>1734</v>
      </c>
      <c r="C40" s="1344"/>
      <c r="D40" s="1344"/>
      <c r="E40" s="1344"/>
      <c r="F40" s="1344"/>
      <c r="G40" s="1344"/>
      <c r="H40" s="1344"/>
      <c r="I40" s="1344"/>
      <c r="J40" s="1344"/>
      <c r="K40" s="1344"/>
      <c r="L40" s="1344"/>
      <c r="M40" s="1344"/>
    </row>
    <row r="41" spans="2:13" ht="11.25" customHeight="1" x14ac:dyDescent="0.2">
      <c r="B41" s="1279" t="s">
        <v>1583</v>
      </c>
      <c r="C41" s="1346"/>
      <c r="D41" s="1347"/>
      <c r="E41" s="1279"/>
      <c r="F41" s="1279"/>
      <c r="G41" s="1279"/>
      <c r="H41" s="1279"/>
      <c r="I41" s="1279"/>
      <c r="J41" s="1279"/>
      <c r="K41" s="1348"/>
      <c r="L41" s="1348"/>
      <c r="M41" s="1279"/>
    </row>
    <row r="42" spans="2:13" ht="3.95" customHeight="1" x14ac:dyDescent="0.2">
      <c r="B42" s="1279"/>
      <c r="C42" s="1346"/>
      <c r="D42" s="1347"/>
      <c r="E42" s="1279"/>
      <c r="F42" s="1279"/>
      <c r="G42" s="1279"/>
      <c r="H42" s="1279"/>
      <c r="I42" s="1279"/>
      <c r="J42" s="1279"/>
      <c r="K42" s="1348"/>
      <c r="L42" s="1348"/>
      <c r="M42" s="1279"/>
    </row>
    <row r="43" spans="2:13" ht="11.25" customHeight="1" x14ac:dyDescent="0.2">
      <c r="B43" s="1349" t="s">
        <v>1735</v>
      </c>
      <c r="C43" s="1346"/>
      <c r="D43" s="1347"/>
      <c r="E43" s="1279"/>
      <c r="F43" s="1279"/>
      <c r="G43" s="1279"/>
      <c r="H43" s="1279"/>
      <c r="I43" s="1279"/>
      <c r="J43" s="1279"/>
      <c r="K43" s="1348"/>
      <c r="L43" s="1348"/>
      <c r="M43" s="1279"/>
    </row>
    <row r="44" spans="2:13" ht="3.95" customHeight="1" x14ac:dyDescent="0.2">
      <c r="B44" s="1349"/>
      <c r="C44" s="1346"/>
      <c r="D44" s="1347"/>
      <c r="E44" s="1279"/>
      <c r="F44" s="1279"/>
      <c r="G44" s="1279"/>
      <c r="H44" s="1279"/>
      <c r="I44" s="1279"/>
      <c r="J44" s="1279"/>
      <c r="K44" s="1348"/>
      <c r="L44" s="1348"/>
      <c r="M44" s="1279"/>
    </row>
    <row r="45" spans="2:13" ht="11.25" customHeight="1" x14ac:dyDescent="0.2">
      <c r="B45" s="1350" t="s">
        <v>1736</v>
      </c>
      <c r="C45" s="1346"/>
      <c r="D45" s="1347"/>
      <c r="E45" s="1279"/>
      <c r="F45" s="1279"/>
      <c r="G45" s="1279"/>
      <c r="H45" s="1279"/>
      <c r="I45" s="1279"/>
      <c r="J45" s="1279"/>
      <c r="K45" s="1348"/>
      <c r="L45" s="1348"/>
      <c r="M45" s="1279"/>
    </row>
    <row r="46" spans="2:13" ht="11.25" customHeight="1" x14ac:dyDescent="0.2">
      <c r="B46" s="1279" t="s">
        <v>1584</v>
      </c>
      <c r="G46" s="317"/>
      <c r="H46" s="317"/>
      <c r="I46" s="317"/>
      <c r="J46" s="317"/>
    </row>
    <row r="47" spans="2:13" ht="11.1" customHeight="1" x14ac:dyDescent="0.2">
      <c r="B47" s="1279"/>
      <c r="G47" s="317"/>
      <c r="H47" s="317"/>
      <c r="I47" s="317"/>
      <c r="J47" s="317"/>
    </row>
    <row r="48" spans="2:13" ht="11.1" customHeight="1" x14ac:dyDescent="0.2">
      <c r="B48" s="1279"/>
      <c r="G48" s="317"/>
      <c r="H48" s="317"/>
      <c r="I48" s="317"/>
      <c r="J48" s="317"/>
    </row>
    <row r="49" spans="7:13" ht="13.5" customHeight="1" x14ac:dyDescent="0.2">
      <c r="M49" s="1351"/>
    </row>
    <row r="50" spans="7:13" ht="13.5" customHeight="1" x14ac:dyDescent="0.2">
      <c r="M50" s="1351"/>
    </row>
    <row r="51" spans="7:13" ht="13.5" customHeight="1" x14ac:dyDescent="0.2">
      <c r="M51" s="135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F09B4-1305-44E2-853A-E0BD6DC75B37}">
  <sheetPr transitionEvaluation="1"/>
  <dimension ref="A1:CG112"/>
  <sheetViews>
    <sheetView showGridLines="0" zoomScaleNormal="100" zoomScaleSheetLayoutView="85" workbookViewId="0">
      <pane xSplit="2" ySplit="11" topLeftCell="C12" activePane="bottomRight" state="frozen"/>
      <selection activeCell="A17" sqref="A17:J17"/>
      <selection pane="topRight" activeCell="A17" sqref="A17:J17"/>
      <selection pane="bottomLeft" activeCell="A17" sqref="A17:J17"/>
      <selection pane="bottomRight" activeCell="C12" sqref="C12"/>
    </sheetView>
  </sheetViews>
  <sheetFormatPr defaultColWidth="16.7109375" defaultRowHeight="16.149999999999999" customHeight="1" x14ac:dyDescent="0.2"/>
  <cols>
    <col min="1" max="1" width="6.5703125" style="1879" customWidth="1"/>
    <col min="2" max="2" width="41.85546875" style="1877" customWidth="1"/>
    <col min="3" max="3" width="11" style="1877" customWidth="1"/>
    <col min="4" max="4" width="1.85546875" style="1877" customWidth="1"/>
    <col min="5" max="5" width="11" style="1877" customWidth="1"/>
    <col min="6" max="6" width="2.5703125" style="1878" customWidth="1"/>
    <col min="7" max="7" width="12.85546875" style="1877" customWidth="1"/>
    <col min="8" max="8" width="2.42578125" style="1877" customWidth="1"/>
    <col min="9" max="9" width="12.140625" style="1877" customWidth="1"/>
    <col min="10" max="10" width="3.85546875" style="1878" customWidth="1"/>
    <col min="11" max="11" width="13.140625" style="1877" bestFit="1" customWidth="1"/>
    <col min="12" max="12" width="15.42578125" style="1877" customWidth="1"/>
    <col min="13" max="13" width="13.140625" style="1877" customWidth="1"/>
    <col min="14" max="14" width="13" style="1877" customWidth="1"/>
    <col min="15" max="15" width="2.140625" style="1877" customWidth="1"/>
    <col min="16" max="16" width="11" style="1877" customWidth="1"/>
    <col min="17" max="17" width="3.140625" style="1878" customWidth="1"/>
    <col min="18" max="18" width="14.5703125" style="1877" customWidth="1"/>
    <col min="19" max="19" width="2" style="1877" customWidth="1"/>
    <col min="20" max="20" width="13.42578125" style="1877" customWidth="1"/>
    <col min="21" max="239" width="16.7109375" style="1877"/>
    <col min="240" max="240" width="6.5703125" style="1877" customWidth="1"/>
    <col min="241" max="241" width="41.85546875" style="1877" customWidth="1"/>
    <col min="242" max="242" width="11" style="1877" customWidth="1"/>
    <col min="243" max="243" width="1.85546875" style="1877" customWidth="1"/>
    <col min="244" max="244" width="11" style="1877" customWidth="1"/>
    <col min="245" max="245" width="2.5703125" style="1877" customWidth="1"/>
    <col min="246" max="246" width="12.85546875" style="1877" customWidth="1"/>
    <col min="247" max="247" width="2.42578125" style="1877" customWidth="1"/>
    <col min="248" max="248" width="12.140625" style="1877" customWidth="1"/>
    <col min="249" max="249" width="3.85546875" style="1877" customWidth="1"/>
    <col min="250" max="250" width="13.140625" style="1877" bestFit="1" customWidth="1"/>
    <col min="251" max="251" width="15.42578125" style="1877" customWidth="1"/>
    <col min="252" max="252" width="13.140625" style="1877" customWidth="1"/>
    <col min="253" max="253" width="13" style="1877" customWidth="1"/>
    <col min="254" max="254" width="2.140625" style="1877" customWidth="1"/>
    <col min="255" max="255" width="11" style="1877" customWidth="1"/>
    <col min="256" max="256" width="3.140625" style="1877" customWidth="1"/>
    <col min="257" max="257" width="14.5703125" style="1877" customWidth="1"/>
    <col min="258" max="258" width="2" style="1877" customWidth="1"/>
    <col min="259" max="259" width="13.42578125" style="1877" customWidth="1"/>
    <col min="260" max="260" width="12.42578125" style="1877" customWidth="1"/>
    <col min="261" max="261" width="14.85546875" style="1877" customWidth="1"/>
    <col min="262" max="262" width="15" style="1877" customWidth="1"/>
    <col min="263" max="264" width="20.42578125" style="1877" bestFit="1" customWidth="1"/>
    <col min="265" max="265" width="13.42578125" style="1877" customWidth="1"/>
    <col min="266" max="266" width="12.42578125" style="1877" customWidth="1"/>
    <col min="267" max="495" width="16.7109375" style="1877"/>
    <col min="496" max="496" width="6.5703125" style="1877" customWidth="1"/>
    <col min="497" max="497" width="41.85546875" style="1877" customWidth="1"/>
    <col min="498" max="498" width="11" style="1877" customWidth="1"/>
    <col min="499" max="499" width="1.85546875" style="1877" customWidth="1"/>
    <col min="500" max="500" width="11" style="1877" customWidth="1"/>
    <col min="501" max="501" width="2.5703125" style="1877" customWidth="1"/>
    <col min="502" max="502" width="12.85546875" style="1877" customWidth="1"/>
    <col min="503" max="503" width="2.42578125" style="1877" customWidth="1"/>
    <col min="504" max="504" width="12.140625" style="1877" customWidth="1"/>
    <col min="505" max="505" width="3.85546875" style="1877" customWidth="1"/>
    <col min="506" max="506" width="13.140625" style="1877" bestFit="1" customWidth="1"/>
    <col min="507" max="507" width="15.42578125" style="1877" customWidth="1"/>
    <col min="508" max="508" width="13.140625" style="1877" customWidth="1"/>
    <col min="509" max="509" width="13" style="1877" customWidth="1"/>
    <col min="510" max="510" width="2.140625" style="1877" customWidth="1"/>
    <col min="511" max="511" width="11" style="1877" customWidth="1"/>
    <col min="512" max="512" width="3.140625" style="1877" customWidth="1"/>
    <col min="513" max="513" width="14.5703125" style="1877" customWidth="1"/>
    <col min="514" max="514" width="2" style="1877" customWidth="1"/>
    <col min="515" max="515" width="13.42578125" style="1877" customWidth="1"/>
    <col min="516" max="516" width="12.42578125" style="1877" customWidth="1"/>
    <col min="517" max="517" width="14.85546875" style="1877" customWidth="1"/>
    <col min="518" max="518" width="15" style="1877" customWidth="1"/>
    <col min="519" max="520" width="20.42578125" style="1877" bestFit="1" customWidth="1"/>
    <col min="521" max="521" width="13.42578125" style="1877" customWidth="1"/>
    <col min="522" max="522" width="12.42578125" style="1877" customWidth="1"/>
    <col min="523" max="751" width="16.7109375" style="1877"/>
    <col min="752" max="752" width="6.5703125" style="1877" customWidth="1"/>
    <col min="753" max="753" width="41.85546875" style="1877" customWidth="1"/>
    <col min="754" max="754" width="11" style="1877" customWidth="1"/>
    <col min="755" max="755" width="1.85546875" style="1877" customWidth="1"/>
    <col min="756" max="756" width="11" style="1877" customWidth="1"/>
    <col min="757" max="757" width="2.5703125" style="1877" customWidth="1"/>
    <col min="758" max="758" width="12.85546875" style="1877" customWidth="1"/>
    <col min="759" max="759" width="2.42578125" style="1877" customWidth="1"/>
    <col min="760" max="760" width="12.140625" style="1877" customWidth="1"/>
    <col min="761" max="761" width="3.85546875" style="1877" customWidth="1"/>
    <col min="762" max="762" width="13.140625" style="1877" bestFit="1" customWidth="1"/>
    <col min="763" max="763" width="15.42578125" style="1877" customWidth="1"/>
    <col min="764" max="764" width="13.140625" style="1877" customWidth="1"/>
    <col min="765" max="765" width="13" style="1877" customWidth="1"/>
    <col min="766" max="766" width="2.140625" style="1877" customWidth="1"/>
    <col min="767" max="767" width="11" style="1877" customWidth="1"/>
    <col min="768" max="768" width="3.140625" style="1877" customWidth="1"/>
    <col min="769" max="769" width="14.5703125" style="1877" customWidth="1"/>
    <col min="770" max="770" width="2" style="1877" customWidth="1"/>
    <col min="771" max="771" width="13.42578125" style="1877" customWidth="1"/>
    <col min="772" max="772" width="12.42578125" style="1877" customWidth="1"/>
    <col min="773" max="773" width="14.85546875" style="1877" customWidth="1"/>
    <col min="774" max="774" width="15" style="1877" customWidth="1"/>
    <col min="775" max="776" width="20.42578125" style="1877" bestFit="1" customWidth="1"/>
    <col min="777" max="777" width="13.42578125" style="1877" customWidth="1"/>
    <col min="778" max="778" width="12.42578125" style="1877" customWidth="1"/>
    <col min="779" max="1007" width="16.7109375" style="1877"/>
    <col min="1008" max="1008" width="6.5703125" style="1877" customWidth="1"/>
    <col min="1009" max="1009" width="41.85546875" style="1877" customWidth="1"/>
    <col min="1010" max="1010" width="11" style="1877" customWidth="1"/>
    <col min="1011" max="1011" width="1.85546875" style="1877" customWidth="1"/>
    <col min="1012" max="1012" width="11" style="1877" customWidth="1"/>
    <col min="1013" max="1013" width="2.5703125" style="1877" customWidth="1"/>
    <col min="1014" max="1014" width="12.85546875" style="1877" customWidth="1"/>
    <col min="1015" max="1015" width="2.42578125" style="1877" customWidth="1"/>
    <col min="1016" max="1016" width="12.140625" style="1877" customWidth="1"/>
    <col min="1017" max="1017" width="3.85546875" style="1877" customWidth="1"/>
    <col min="1018" max="1018" width="13.140625" style="1877" bestFit="1" customWidth="1"/>
    <col min="1019" max="1019" width="15.42578125" style="1877" customWidth="1"/>
    <col min="1020" max="1020" width="13.140625" style="1877" customWidth="1"/>
    <col min="1021" max="1021" width="13" style="1877" customWidth="1"/>
    <col min="1022" max="1022" width="2.140625" style="1877" customWidth="1"/>
    <col min="1023" max="1023" width="11" style="1877" customWidth="1"/>
    <col min="1024" max="1024" width="3.140625" style="1877" customWidth="1"/>
    <col min="1025" max="1025" width="14.5703125" style="1877" customWidth="1"/>
    <col min="1026" max="1026" width="2" style="1877" customWidth="1"/>
    <col min="1027" max="1027" width="13.42578125" style="1877" customWidth="1"/>
    <col min="1028" max="1028" width="12.42578125" style="1877" customWidth="1"/>
    <col min="1029" max="1029" width="14.85546875" style="1877" customWidth="1"/>
    <col min="1030" max="1030" width="15" style="1877" customWidth="1"/>
    <col min="1031" max="1032" width="20.42578125" style="1877" bestFit="1" customWidth="1"/>
    <col min="1033" max="1033" width="13.42578125" style="1877" customWidth="1"/>
    <col min="1034" max="1034" width="12.42578125" style="1877" customWidth="1"/>
    <col min="1035" max="1263" width="16.7109375" style="1877"/>
    <col min="1264" max="1264" width="6.5703125" style="1877" customWidth="1"/>
    <col min="1265" max="1265" width="41.85546875" style="1877" customWidth="1"/>
    <col min="1266" max="1266" width="11" style="1877" customWidth="1"/>
    <col min="1267" max="1267" width="1.85546875" style="1877" customWidth="1"/>
    <col min="1268" max="1268" width="11" style="1877" customWidth="1"/>
    <col min="1269" max="1269" width="2.5703125" style="1877" customWidth="1"/>
    <col min="1270" max="1270" width="12.85546875" style="1877" customWidth="1"/>
    <col min="1271" max="1271" width="2.42578125" style="1877" customWidth="1"/>
    <col min="1272" max="1272" width="12.140625" style="1877" customWidth="1"/>
    <col min="1273" max="1273" width="3.85546875" style="1877" customWidth="1"/>
    <col min="1274" max="1274" width="13.140625" style="1877" bestFit="1" customWidth="1"/>
    <col min="1275" max="1275" width="15.42578125" style="1877" customWidth="1"/>
    <col min="1276" max="1276" width="13.140625" style="1877" customWidth="1"/>
    <col min="1277" max="1277" width="13" style="1877" customWidth="1"/>
    <col min="1278" max="1278" width="2.140625" style="1877" customWidth="1"/>
    <col min="1279" max="1279" width="11" style="1877" customWidth="1"/>
    <col min="1280" max="1280" width="3.140625" style="1877" customWidth="1"/>
    <col min="1281" max="1281" width="14.5703125" style="1877" customWidth="1"/>
    <col min="1282" max="1282" width="2" style="1877" customWidth="1"/>
    <col min="1283" max="1283" width="13.42578125" style="1877" customWidth="1"/>
    <col min="1284" max="1284" width="12.42578125" style="1877" customWidth="1"/>
    <col min="1285" max="1285" width="14.85546875" style="1877" customWidth="1"/>
    <col min="1286" max="1286" width="15" style="1877" customWidth="1"/>
    <col min="1287" max="1288" width="20.42578125" style="1877" bestFit="1" customWidth="1"/>
    <col min="1289" max="1289" width="13.42578125" style="1877" customWidth="1"/>
    <col min="1290" max="1290" width="12.42578125" style="1877" customWidth="1"/>
    <col min="1291" max="1519" width="16.7109375" style="1877"/>
    <col min="1520" max="1520" width="6.5703125" style="1877" customWidth="1"/>
    <col min="1521" max="1521" width="41.85546875" style="1877" customWidth="1"/>
    <col min="1522" max="1522" width="11" style="1877" customWidth="1"/>
    <col min="1523" max="1523" width="1.85546875" style="1877" customWidth="1"/>
    <col min="1524" max="1524" width="11" style="1877" customWidth="1"/>
    <col min="1525" max="1525" width="2.5703125" style="1877" customWidth="1"/>
    <col min="1526" max="1526" width="12.85546875" style="1877" customWidth="1"/>
    <col min="1527" max="1527" width="2.42578125" style="1877" customWidth="1"/>
    <col min="1528" max="1528" width="12.140625" style="1877" customWidth="1"/>
    <col min="1529" max="1529" width="3.85546875" style="1877" customWidth="1"/>
    <col min="1530" max="1530" width="13.140625" style="1877" bestFit="1" customWidth="1"/>
    <col min="1531" max="1531" width="15.42578125" style="1877" customWidth="1"/>
    <col min="1532" max="1532" width="13.140625" style="1877" customWidth="1"/>
    <col min="1533" max="1533" width="13" style="1877" customWidth="1"/>
    <col min="1534" max="1534" width="2.140625" style="1877" customWidth="1"/>
    <col min="1535" max="1535" width="11" style="1877" customWidth="1"/>
    <col min="1536" max="1536" width="3.140625" style="1877" customWidth="1"/>
    <col min="1537" max="1537" width="14.5703125" style="1877" customWidth="1"/>
    <col min="1538" max="1538" width="2" style="1877" customWidth="1"/>
    <col min="1539" max="1539" width="13.42578125" style="1877" customWidth="1"/>
    <col min="1540" max="1540" width="12.42578125" style="1877" customWidth="1"/>
    <col min="1541" max="1541" width="14.85546875" style="1877" customWidth="1"/>
    <col min="1542" max="1542" width="15" style="1877" customWidth="1"/>
    <col min="1543" max="1544" width="20.42578125" style="1877" bestFit="1" customWidth="1"/>
    <col min="1545" max="1545" width="13.42578125" style="1877" customWidth="1"/>
    <col min="1546" max="1546" width="12.42578125" style="1877" customWidth="1"/>
    <col min="1547" max="1775" width="16.7109375" style="1877"/>
    <col min="1776" max="1776" width="6.5703125" style="1877" customWidth="1"/>
    <col min="1777" max="1777" width="41.85546875" style="1877" customWidth="1"/>
    <col min="1778" max="1778" width="11" style="1877" customWidth="1"/>
    <col min="1779" max="1779" width="1.85546875" style="1877" customWidth="1"/>
    <col min="1780" max="1780" width="11" style="1877" customWidth="1"/>
    <col min="1781" max="1781" width="2.5703125" style="1877" customWidth="1"/>
    <col min="1782" max="1782" width="12.85546875" style="1877" customWidth="1"/>
    <col min="1783" max="1783" width="2.42578125" style="1877" customWidth="1"/>
    <col min="1784" max="1784" width="12.140625" style="1877" customWidth="1"/>
    <col min="1785" max="1785" width="3.85546875" style="1877" customWidth="1"/>
    <col min="1786" max="1786" width="13.140625" style="1877" bestFit="1" customWidth="1"/>
    <col min="1787" max="1787" width="15.42578125" style="1877" customWidth="1"/>
    <col min="1788" max="1788" width="13.140625" style="1877" customWidth="1"/>
    <col min="1789" max="1789" width="13" style="1877" customWidth="1"/>
    <col min="1790" max="1790" width="2.140625" style="1877" customWidth="1"/>
    <col min="1791" max="1791" width="11" style="1877" customWidth="1"/>
    <col min="1792" max="1792" width="3.140625" style="1877" customWidth="1"/>
    <col min="1793" max="1793" width="14.5703125" style="1877" customWidth="1"/>
    <col min="1794" max="1794" width="2" style="1877" customWidth="1"/>
    <col min="1795" max="1795" width="13.42578125" style="1877" customWidth="1"/>
    <col min="1796" max="1796" width="12.42578125" style="1877" customWidth="1"/>
    <col min="1797" max="1797" width="14.85546875" style="1877" customWidth="1"/>
    <col min="1798" max="1798" width="15" style="1877" customWidth="1"/>
    <col min="1799" max="1800" width="20.42578125" style="1877" bestFit="1" customWidth="1"/>
    <col min="1801" max="1801" width="13.42578125" style="1877" customWidth="1"/>
    <col min="1802" max="1802" width="12.42578125" style="1877" customWidth="1"/>
    <col min="1803" max="2031" width="16.7109375" style="1877"/>
    <col min="2032" max="2032" width="6.5703125" style="1877" customWidth="1"/>
    <col min="2033" max="2033" width="41.85546875" style="1877" customWidth="1"/>
    <col min="2034" max="2034" width="11" style="1877" customWidth="1"/>
    <col min="2035" max="2035" width="1.85546875" style="1877" customWidth="1"/>
    <col min="2036" max="2036" width="11" style="1877" customWidth="1"/>
    <col min="2037" max="2037" width="2.5703125" style="1877" customWidth="1"/>
    <col min="2038" max="2038" width="12.85546875" style="1877" customWidth="1"/>
    <col min="2039" max="2039" width="2.42578125" style="1877" customWidth="1"/>
    <col min="2040" max="2040" width="12.140625" style="1877" customWidth="1"/>
    <col min="2041" max="2041" width="3.85546875" style="1877" customWidth="1"/>
    <col min="2042" max="2042" width="13.140625" style="1877" bestFit="1" customWidth="1"/>
    <col min="2043" max="2043" width="15.42578125" style="1877" customWidth="1"/>
    <col min="2044" max="2044" width="13.140625" style="1877" customWidth="1"/>
    <col min="2045" max="2045" width="13" style="1877" customWidth="1"/>
    <col min="2046" max="2046" width="2.140625" style="1877" customWidth="1"/>
    <col min="2047" max="2047" width="11" style="1877" customWidth="1"/>
    <col min="2048" max="2048" width="3.140625" style="1877" customWidth="1"/>
    <col min="2049" max="2049" width="14.5703125" style="1877" customWidth="1"/>
    <col min="2050" max="2050" width="2" style="1877" customWidth="1"/>
    <col min="2051" max="2051" width="13.42578125" style="1877" customWidth="1"/>
    <col min="2052" max="2052" width="12.42578125" style="1877" customWidth="1"/>
    <col min="2053" max="2053" width="14.85546875" style="1877" customWidth="1"/>
    <col min="2054" max="2054" width="15" style="1877" customWidth="1"/>
    <col min="2055" max="2056" width="20.42578125" style="1877" bestFit="1" customWidth="1"/>
    <col min="2057" max="2057" width="13.42578125" style="1877" customWidth="1"/>
    <col min="2058" max="2058" width="12.42578125" style="1877" customWidth="1"/>
    <col min="2059" max="2287" width="16.7109375" style="1877"/>
    <col min="2288" max="2288" width="6.5703125" style="1877" customWidth="1"/>
    <col min="2289" max="2289" width="41.85546875" style="1877" customWidth="1"/>
    <col min="2290" max="2290" width="11" style="1877" customWidth="1"/>
    <col min="2291" max="2291" width="1.85546875" style="1877" customWidth="1"/>
    <col min="2292" max="2292" width="11" style="1877" customWidth="1"/>
    <col min="2293" max="2293" width="2.5703125" style="1877" customWidth="1"/>
    <col min="2294" max="2294" width="12.85546875" style="1877" customWidth="1"/>
    <col min="2295" max="2295" width="2.42578125" style="1877" customWidth="1"/>
    <col min="2296" max="2296" width="12.140625" style="1877" customWidth="1"/>
    <col min="2297" max="2297" width="3.85546875" style="1877" customWidth="1"/>
    <col min="2298" max="2298" width="13.140625" style="1877" bestFit="1" customWidth="1"/>
    <col min="2299" max="2299" width="15.42578125" style="1877" customWidth="1"/>
    <col min="2300" max="2300" width="13.140625" style="1877" customWidth="1"/>
    <col min="2301" max="2301" width="13" style="1877" customWidth="1"/>
    <col min="2302" max="2302" width="2.140625" style="1877" customWidth="1"/>
    <col min="2303" max="2303" width="11" style="1877" customWidth="1"/>
    <col min="2304" max="2304" width="3.140625" style="1877" customWidth="1"/>
    <col min="2305" max="2305" width="14.5703125" style="1877" customWidth="1"/>
    <col min="2306" max="2306" width="2" style="1877" customWidth="1"/>
    <col min="2307" max="2307" width="13.42578125" style="1877" customWidth="1"/>
    <col min="2308" max="2308" width="12.42578125" style="1877" customWidth="1"/>
    <col min="2309" max="2309" width="14.85546875" style="1877" customWidth="1"/>
    <col min="2310" max="2310" width="15" style="1877" customWidth="1"/>
    <col min="2311" max="2312" width="20.42578125" style="1877" bestFit="1" customWidth="1"/>
    <col min="2313" max="2313" width="13.42578125" style="1877" customWidth="1"/>
    <col min="2314" max="2314" width="12.42578125" style="1877" customWidth="1"/>
    <col min="2315" max="2543" width="16.7109375" style="1877"/>
    <col min="2544" max="2544" width="6.5703125" style="1877" customWidth="1"/>
    <col min="2545" max="2545" width="41.85546875" style="1877" customWidth="1"/>
    <col min="2546" max="2546" width="11" style="1877" customWidth="1"/>
    <col min="2547" max="2547" width="1.85546875" style="1877" customWidth="1"/>
    <col min="2548" max="2548" width="11" style="1877" customWidth="1"/>
    <col min="2549" max="2549" width="2.5703125" style="1877" customWidth="1"/>
    <col min="2550" max="2550" width="12.85546875" style="1877" customWidth="1"/>
    <col min="2551" max="2551" width="2.42578125" style="1877" customWidth="1"/>
    <col min="2552" max="2552" width="12.140625" style="1877" customWidth="1"/>
    <col min="2553" max="2553" width="3.85546875" style="1877" customWidth="1"/>
    <col min="2554" max="2554" width="13.140625" style="1877" bestFit="1" customWidth="1"/>
    <col min="2555" max="2555" width="15.42578125" style="1877" customWidth="1"/>
    <col min="2556" max="2556" width="13.140625" style="1877" customWidth="1"/>
    <col min="2557" max="2557" width="13" style="1877" customWidth="1"/>
    <col min="2558" max="2558" width="2.140625" style="1877" customWidth="1"/>
    <col min="2559" max="2559" width="11" style="1877" customWidth="1"/>
    <col min="2560" max="2560" width="3.140625" style="1877" customWidth="1"/>
    <col min="2561" max="2561" width="14.5703125" style="1877" customWidth="1"/>
    <col min="2562" max="2562" width="2" style="1877" customWidth="1"/>
    <col min="2563" max="2563" width="13.42578125" style="1877" customWidth="1"/>
    <col min="2564" max="2564" width="12.42578125" style="1877" customWidth="1"/>
    <col min="2565" max="2565" width="14.85546875" style="1877" customWidth="1"/>
    <col min="2566" max="2566" width="15" style="1877" customWidth="1"/>
    <col min="2567" max="2568" width="20.42578125" style="1877" bestFit="1" customWidth="1"/>
    <col min="2569" max="2569" width="13.42578125" style="1877" customWidth="1"/>
    <col min="2570" max="2570" width="12.42578125" style="1877" customWidth="1"/>
    <col min="2571" max="2799" width="16.7109375" style="1877"/>
    <col min="2800" max="2800" width="6.5703125" style="1877" customWidth="1"/>
    <col min="2801" max="2801" width="41.85546875" style="1877" customWidth="1"/>
    <col min="2802" max="2802" width="11" style="1877" customWidth="1"/>
    <col min="2803" max="2803" width="1.85546875" style="1877" customWidth="1"/>
    <col min="2804" max="2804" width="11" style="1877" customWidth="1"/>
    <col min="2805" max="2805" width="2.5703125" style="1877" customWidth="1"/>
    <col min="2806" max="2806" width="12.85546875" style="1877" customWidth="1"/>
    <col min="2807" max="2807" width="2.42578125" style="1877" customWidth="1"/>
    <col min="2808" max="2808" width="12.140625" style="1877" customWidth="1"/>
    <col min="2809" max="2809" width="3.85546875" style="1877" customWidth="1"/>
    <col min="2810" max="2810" width="13.140625" style="1877" bestFit="1" customWidth="1"/>
    <col min="2811" max="2811" width="15.42578125" style="1877" customWidth="1"/>
    <col min="2812" max="2812" width="13.140625" style="1877" customWidth="1"/>
    <col min="2813" max="2813" width="13" style="1877" customWidth="1"/>
    <col min="2814" max="2814" width="2.140625" style="1877" customWidth="1"/>
    <col min="2815" max="2815" width="11" style="1877" customWidth="1"/>
    <col min="2816" max="2816" width="3.140625" style="1877" customWidth="1"/>
    <col min="2817" max="2817" width="14.5703125" style="1877" customWidth="1"/>
    <col min="2818" max="2818" width="2" style="1877" customWidth="1"/>
    <col min="2819" max="2819" width="13.42578125" style="1877" customWidth="1"/>
    <col min="2820" max="2820" width="12.42578125" style="1877" customWidth="1"/>
    <col min="2821" max="2821" width="14.85546875" style="1877" customWidth="1"/>
    <col min="2822" max="2822" width="15" style="1877" customWidth="1"/>
    <col min="2823" max="2824" width="20.42578125" style="1877" bestFit="1" customWidth="1"/>
    <col min="2825" max="2825" width="13.42578125" style="1877" customWidth="1"/>
    <col min="2826" max="2826" width="12.42578125" style="1877" customWidth="1"/>
    <col min="2827" max="3055" width="16.7109375" style="1877"/>
    <col min="3056" max="3056" width="6.5703125" style="1877" customWidth="1"/>
    <col min="3057" max="3057" width="41.85546875" style="1877" customWidth="1"/>
    <col min="3058" max="3058" width="11" style="1877" customWidth="1"/>
    <col min="3059" max="3059" width="1.85546875" style="1877" customWidth="1"/>
    <col min="3060" max="3060" width="11" style="1877" customWidth="1"/>
    <col min="3061" max="3061" width="2.5703125" style="1877" customWidth="1"/>
    <col min="3062" max="3062" width="12.85546875" style="1877" customWidth="1"/>
    <col min="3063" max="3063" width="2.42578125" style="1877" customWidth="1"/>
    <col min="3064" max="3064" width="12.140625" style="1877" customWidth="1"/>
    <col min="3065" max="3065" width="3.85546875" style="1877" customWidth="1"/>
    <col min="3066" max="3066" width="13.140625" style="1877" bestFit="1" customWidth="1"/>
    <col min="3067" max="3067" width="15.42578125" style="1877" customWidth="1"/>
    <col min="3068" max="3068" width="13.140625" style="1877" customWidth="1"/>
    <col min="3069" max="3069" width="13" style="1877" customWidth="1"/>
    <col min="3070" max="3070" width="2.140625" style="1877" customWidth="1"/>
    <col min="3071" max="3071" width="11" style="1877" customWidth="1"/>
    <col min="3072" max="3072" width="3.140625" style="1877" customWidth="1"/>
    <col min="3073" max="3073" width="14.5703125" style="1877" customWidth="1"/>
    <col min="3074" max="3074" width="2" style="1877" customWidth="1"/>
    <col min="3075" max="3075" width="13.42578125" style="1877" customWidth="1"/>
    <col min="3076" max="3076" width="12.42578125" style="1877" customWidth="1"/>
    <col min="3077" max="3077" width="14.85546875" style="1877" customWidth="1"/>
    <col min="3078" max="3078" width="15" style="1877" customWidth="1"/>
    <col min="3079" max="3080" width="20.42578125" style="1877" bestFit="1" customWidth="1"/>
    <col min="3081" max="3081" width="13.42578125" style="1877" customWidth="1"/>
    <col min="3082" max="3082" width="12.42578125" style="1877" customWidth="1"/>
    <col min="3083" max="3311" width="16.7109375" style="1877"/>
    <col min="3312" max="3312" width="6.5703125" style="1877" customWidth="1"/>
    <col min="3313" max="3313" width="41.85546875" style="1877" customWidth="1"/>
    <col min="3314" max="3314" width="11" style="1877" customWidth="1"/>
    <col min="3315" max="3315" width="1.85546875" style="1877" customWidth="1"/>
    <col min="3316" max="3316" width="11" style="1877" customWidth="1"/>
    <col min="3317" max="3317" width="2.5703125" style="1877" customWidth="1"/>
    <col min="3318" max="3318" width="12.85546875" style="1877" customWidth="1"/>
    <col min="3319" max="3319" width="2.42578125" style="1877" customWidth="1"/>
    <col min="3320" max="3320" width="12.140625" style="1877" customWidth="1"/>
    <col min="3321" max="3321" width="3.85546875" style="1877" customWidth="1"/>
    <col min="3322" max="3322" width="13.140625" style="1877" bestFit="1" customWidth="1"/>
    <col min="3323" max="3323" width="15.42578125" style="1877" customWidth="1"/>
    <col min="3324" max="3324" width="13.140625" style="1877" customWidth="1"/>
    <col min="3325" max="3325" width="13" style="1877" customWidth="1"/>
    <col min="3326" max="3326" width="2.140625" style="1877" customWidth="1"/>
    <col min="3327" max="3327" width="11" style="1877" customWidth="1"/>
    <col min="3328" max="3328" width="3.140625" style="1877" customWidth="1"/>
    <col min="3329" max="3329" width="14.5703125" style="1877" customWidth="1"/>
    <col min="3330" max="3330" width="2" style="1877" customWidth="1"/>
    <col min="3331" max="3331" width="13.42578125" style="1877" customWidth="1"/>
    <col min="3332" max="3332" width="12.42578125" style="1877" customWidth="1"/>
    <col min="3333" max="3333" width="14.85546875" style="1877" customWidth="1"/>
    <col min="3334" max="3334" width="15" style="1877" customWidth="1"/>
    <col min="3335" max="3336" width="20.42578125" style="1877" bestFit="1" customWidth="1"/>
    <col min="3337" max="3337" width="13.42578125" style="1877" customWidth="1"/>
    <col min="3338" max="3338" width="12.42578125" style="1877" customWidth="1"/>
    <col min="3339" max="3567" width="16.7109375" style="1877"/>
    <col min="3568" max="3568" width="6.5703125" style="1877" customWidth="1"/>
    <col min="3569" max="3569" width="41.85546875" style="1877" customWidth="1"/>
    <col min="3570" max="3570" width="11" style="1877" customWidth="1"/>
    <col min="3571" max="3571" width="1.85546875" style="1877" customWidth="1"/>
    <col min="3572" max="3572" width="11" style="1877" customWidth="1"/>
    <col min="3573" max="3573" width="2.5703125" style="1877" customWidth="1"/>
    <col min="3574" max="3574" width="12.85546875" style="1877" customWidth="1"/>
    <col min="3575" max="3575" width="2.42578125" style="1877" customWidth="1"/>
    <col min="3576" max="3576" width="12.140625" style="1877" customWidth="1"/>
    <col min="3577" max="3577" width="3.85546875" style="1877" customWidth="1"/>
    <col min="3578" max="3578" width="13.140625" style="1877" bestFit="1" customWidth="1"/>
    <col min="3579" max="3579" width="15.42578125" style="1877" customWidth="1"/>
    <col min="3580" max="3580" width="13.140625" style="1877" customWidth="1"/>
    <col min="3581" max="3581" width="13" style="1877" customWidth="1"/>
    <col min="3582" max="3582" width="2.140625" style="1877" customWidth="1"/>
    <col min="3583" max="3583" width="11" style="1877" customWidth="1"/>
    <col min="3584" max="3584" width="3.140625" style="1877" customWidth="1"/>
    <col min="3585" max="3585" width="14.5703125" style="1877" customWidth="1"/>
    <col min="3586" max="3586" width="2" style="1877" customWidth="1"/>
    <col min="3587" max="3587" width="13.42578125" style="1877" customWidth="1"/>
    <col min="3588" max="3588" width="12.42578125" style="1877" customWidth="1"/>
    <col min="3589" max="3589" width="14.85546875" style="1877" customWidth="1"/>
    <col min="3590" max="3590" width="15" style="1877" customWidth="1"/>
    <col min="3591" max="3592" width="20.42578125" style="1877" bestFit="1" customWidth="1"/>
    <col min="3593" max="3593" width="13.42578125" style="1877" customWidth="1"/>
    <col min="3594" max="3594" width="12.42578125" style="1877" customWidth="1"/>
    <col min="3595" max="3823" width="16.7109375" style="1877"/>
    <col min="3824" max="3824" width="6.5703125" style="1877" customWidth="1"/>
    <col min="3825" max="3825" width="41.85546875" style="1877" customWidth="1"/>
    <col min="3826" max="3826" width="11" style="1877" customWidth="1"/>
    <col min="3827" max="3827" width="1.85546875" style="1877" customWidth="1"/>
    <col min="3828" max="3828" width="11" style="1877" customWidth="1"/>
    <col min="3829" max="3829" width="2.5703125" style="1877" customWidth="1"/>
    <col min="3830" max="3830" width="12.85546875" style="1877" customWidth="1"/>
    <col min="3831" max="3831" width="2.42578125" style="1877" customWidth="1"/>
    <col min="3832" max="3832" width="12.140625" style="1877" customWidth="1"/>
    <col min="3833" max="3833" width="3.85546875" style="1877" customWidth="1"/>
    <col min="3834" max="3834" width="13.140625" style="1877" bestFit="1" customWidth="1"/>
    <col min="3835" max="3835" width="15.42578125" style="1877" customWidth="1"/>
    <col min="3836" max="3836" width="13.140625" style="1877" customWidth="1"/>
    <col min="3837" max="3837" width="13" style="1877" customWidth="1"/>
    <col min="3838" max="3838" width="2.140625" style="1877" customWidth="1"/>
    <col min="3839" max="3839" width="11" style="1877" customWidth="1"/>
    <col min="3840" max="3840" width="3.140625" style="1877" customWidth="1"/>
    <col min="3841" max="3841" width="14.5703125" style="1877" customWidth="1"/>
    <col min="3842" max="3842" width="2" style="1877" customWidth="1"/>
    <col min="3843" max="3843" width="13.42578125" style="1877" customWidth="1"/>
    <col min="3844" max="3844" width="12.42578125" style="1877" customWidth="1"/>
    <col min="3845" max="3845" width="14.85546875" style="1877" customWidth="1"/>
    <col min="3846" max="3846" width="15" style="1877" customWidth="1"/>
    <col min="3847" max="3848" width="20.42578125" style="1877" bestFit="1" customWidth="1"/>
    <col min="3849" max="3849" width="13.42578125" style="1877" customWidth="1"/>
    <col min="3850" max="3850" width="12.42578125" style="1877" customWidth="1"/>
    <col min="3851" max="4079" width="16.7109375" style="1877"/>
    <col min="4080" max="4080" width="6.5703125" style="1877" customWidth="1"/>
    <col min="4081" max="4081" width="41.85546875" style="1877" customWidth="1"/>
    <col min="4082" max="4082" width="11" style="1877" customWidth="1"/>
    <col min="4083" max="4083" width="1.85546875" style="1877" customWidth="1"/>
    <col min="4084" max="4084" width="11" style="1877" customWidth="1"/>
    <col min="4085" max="4085" width="2.5703125" style="1877" customWidth="1"/>
    <col min="4086" max="4086" width="12.85546875" style="1877" customWidth="1"/>
    <col min="4087" max="4087" width="2.42578125" style="1877" customWidth="1"/>
    <col min="4088" max="4088" width="12.140625" style="1877" customWidth="1"/>
    <col min="4089" max="4089" width="3.85546875" style="1877" customWidth="1"/>
    <col min="4090" max="4090" width="13.140625" style="1877" bestFit="1" customWidth="1"/>
    <col min="4091" max="4091" width="15.42578125" style="1877" customWidth="1"/>
    <col min="4092" max="4092" width="13.140625" style="1877" customWidth="1"/>
    <col min="4093" max="4093" width="13" style="1877" customWidth="1"/>
    <col min="4094" max="4094" width="2.140625" style="1877" customWidth="1"/>
    <col min="4095" max="4095" width="11" style="1877" customWidth="1"/>
    <col min="4096" max="4096" width="3.140625" style="1877" customWidth="1"/>
    <col min="4097" max="4097" width="14.5703125" style="1877" customWidth="1"/>
    <col min="4098" max="4098" width="2" style="1877" customWidth="1"/>
    <col min="4099" max="4099" width="13.42578125" style="1877" customWidth="1"/>
    <col min="4100" max="4100" width="12.42578125" style="1877" customWidth="1"/>
    <col min="4101" max="4101" width="14.85546875" style="1877" customWidth="1"/>
    <col min="4102" max="4102" width="15" style="1877" customWidth="1"/>
    <col min="4103" max="4104" width="20.42578125" style="1877" bestFit="1" customWidth="1"/>
    <col min="4105" max="4105" width="13.42578125" style="1877" customWidth="1"/>
    <col min="4106" max="4106" width="12.42578125" style="1877" customWidth="1"/>
    <col min="4107" max="4335" width="16.7109375" style="1877"/>
    <col min="4336" max="4336" width="6.5703125" style="1877" customWidth="1"/>
    <col min="4337" max="4337" width="41.85546875" style="1877" customWidth="1"/>
    <col min="4338" max="4338" width="11" style="1877" customWidth="1"/>
    <col min="4339" max="4339" width="1.85546875" style="1877" customWidth="1"/>
    <col min="4340" max="4340" width="11" style="1877" customWidth="1"/>
    <col min="4341" max="4341" width="2.5703125" style="1877" customWidth="1"/>
    <col min="4342" max="4342" width="12.85546875" style="1877" customWidth="1"/>
    <col min="4343" max="4343" width="2.42578125" style="1877" customWidth="1"/>
    <col min="4344" max="4344" width="12.140625" style="1877" customWidth="1"/>
    <col min="4345" max="4345" width="3.85546875" style="1877" customWidth="1"/>
    <col min="4346" max="4346" width="13.140625" style="1877" bestFit="1" customWidth="1"/>
    <col min="4347" max="4347" width="15.42578125" style="1877" customWidth="1"/>
    <col min="4348" max="4348" width="13.140625" style="1877" customWidth="1"/>
    <col min="4349" max="4349" width="13" style="1877" customWidth="1"/>
    <col min="4350" max="4350" width="2.140625" style="1877" customWidth="1"/>
    <col min="4351" max="4351" width="11" style="1877" customWidth="1"/>
    <col min="4352" max="4352" width="3.140625" style="1877" customWidth="1"/>
    <col min="4353" max="4353" width="14.5703125" style="1877" customWidth="1"/>
    <col min="4354" max="4354" width="2" style="1877" customWidth="1"/>
    <col min="4355" max="4355" width="13.42578125" style="1877" customWidth="1"/>
    <col min="4356" max="4356" width="12.42578125" style="1877" customWidth="1"/>
    <col min="4357" max="4357" width="14.85546875" style="1877" customWidth="1"/>
    <col min="4358" max="4358" width="15" style="1877" customWidth="1"/>
    <col min="4359" max="4360" width="20.42578125" style="1877" bestFit="1" customWidth="1"/>
    <col min="4361" max="4361" width="13.42578125" style="1877" customWidth="1"/>
    <col min="4362" max="4362" width="12.42578125" style="1877" customWidth="1"/>
    <col min="4363" max="4591" width="16.7109375" style="1877"/>
    <col min="4592" max="4592" width="6.5703125" style="1877" customWidth="1"/>
    <col min="4593" max="4593" width="41.85546875" style="1877" customWidth="1"/>
    <col min="4594" max="4594" width="11" style="1877" customWidth="1"/>
    <col min="4595" max="4595" width="1.85546875" style="1877" customWidth="1"/>
    <col min="4596" max="4596" width="11" style="1877" customWidth="1"/>
    <col min="4597" max="4597" width="2.5703125" style="1877" customWidth="1"/>
    <col min="4598" max="4598" width="12.85546875" style="1877" customWidth="1"/>
    <col min="4599" max="4599" width="2.42578125" style="1877" customWidth="1"/>
    <col min="4600" max="4600" width="12.140625" style="1877" customWidth="1"/>
    <col min="4601" max="4601" width="3.85546875" style="1877" customWidth="1"/>
    <col min="4602" max="4602" width="13.140625" style="1877" bestFit="1" customWidth="1"/>
    <col min="4603" max="4603" width="15.42578125" style="1877" customWidth="1"/>
    <col min="4604" max="4604" width="13.140625" style="1877" customWidth="1"/>
    <col min="4605" max="4605" width="13" style="1877" customWidth="1"/>
    <col min="4606" max="4606" width="2.140625" style="1877" customWidth="1"/>
    <col min="4607" max="4607" width="11" style="1877" customWidth="1"/>
    <col min="4608" max="4608" width="3.140625" style="1877" customWidth="1"/>
    <col min="4609" max="4609" width="14.5703125" style="1877" customWidth="1"/>
    <col min="4610" max="4610" width="2" style="1877" customWidth="1"/>
    <col min="4611" max="4611" width="13.42578125" style="1877" customWidth="1"/>
    <col min="4612" max="4612" width="12.42578125" style="1877" customWidth="1"/>
    <col min="4613" max="4613" width="14.85546875" style="1877" customWidth="1"/>
    <col min="4614" max="4614" width="15" style="1877" customWidth="1"/>
    <col min="4615" max="4616" width="20.42578125" style="1877" bestFit="1" customWidth="1"/>
    <col min="4617" max="4617" width="13.42578125" style="1877" customWidth="1"/>
    <col min="4618" max="4618" width="12.42578125" style="1877" customWidth="1"/>
    <col min="4619" max="4847" width="16.7109375" style="1877"/>
    <col min="4848" max="4848" width="6.5703125" style="1877" customWidth="1"/>
    <col min="4849" max="4849" width="41.85546875" style="1877" customWidth="1"/>
    <col min="4850" max="4850" width="11" style="1877" customWidth="1"/>
    <col min="4851" max="4851" width="1.85546875" style="1877" customWidth="1"/>
    <col min="4852" max="4852" width="11" style="1877" customWidth="1"/>
    <col min="4853" max="4853" width="2.5703125" style="1877" customWidth="1"/>
    <col min="4854" max="4854" width="12.85546875" style="1877" customWidth="1"/>
    <col min="4855" max="4855" width="2.42578125" style="1877" customWidth="1"/>
    <col min="4856" max="4856" width="12.140625" style="1877" customWidth="1"/>
    <col min="4857" max="4857" width="3.85546875" style="1877" customWidth="1"/>
    <col min="4858" max="4858" width="13.140625" style="1877" bestFit="1" customWidth="1"/>
    <col min="4859" max="4859" width="15.42578125" style="1877" customWidth="1"/>
    <col min="4860" max="4860" width="13.140625" style="1877" customWidth="1"/>
    <col min="4861" max="4861" width="13" style="1877" customWidth="1"/>
    <col min="4862" max="4862" width="2.140625" style="1877" customWidth="1"/>
    <col min="4863" max="4863" width="11" style="1877" customWidth="1"/>
    <col min="4864" max="4864" width="3.140625" style="1877" customWidth="1"/>
    <col min="4865" max="4865" width="14.5703125" style="1877" customWidth="1"/>
    <col min="4866" max="4866" width="2" style="1877" customWidth="1"/>
    <col min="4867" max="4867" width="13.42578125" style="1877" customWidth="1"/>
    <col min="4868" max="4868" width="12.42578125" style="1877" customWidth="1"/>
    <col min="4869" max="4869" width="14.85546875" style="1877" customWidth="1"/>
    <col min="4870" max="4870" width="15" style="1877" customWidth="1"/>
    <col min="4871" max="4872" width="20.42578125" style="1877" bestFit="1" customWidth="1"/>
    <col min="4873" max="4873" width="13.42578125" style="1877" customWidth="1"/>
    <col min="4874" max="4874" width="12.42578125" style="1877" customWidth="1"/>
    <col min="4875" max="5103" width="16.7109375" style="1877"/>
    <col min="5104" max="5104" width="6.5703125" style="1877" customWidth="1"/>
    <col min="5105" max="5105" width="41.85546875" style="1877" customWidth="1"/>
    <col min="5106" max="5106" width="11" style="1877" customWidth="1"/>
    <col min="5107" max="5107" width="1.85546875" style="1877" customWidth="1"/>
    <col min="5108" max="5108" width="11" style="1877" customWidth="1"/>
    <col min="5109" max="5109" width="2.5703125" style="1877" customWidth="1"/>
    <col min="5110" max="5110" width="12.85546875" style="1877" customWidth="1"/>
    <col min="5111" max="5111" width="2.42578125" style="1877" customWidth="1"/>
    <col min="5112" max="5112" width="12.140625" style="1877" customWidth="1"/>
    <col min="5113" max="5113" width="3.85546875" style="1877" customWidth="1"/>
    <col min="5114" max="5114" width="13.140625" style="1877" bestFit="1" customWidth="1"/>
    <col min="5115" max="5115" width="15.42578125" style="1877" customWidth="1"/>
    <col min="5116" max="5116" width="13.140625" style="1877" customWidth="1"/>
    <col min="5117" max="5117" width="13" style="1877" customWidth="1"/>
    <col min="5118" max="5118" width="2.140625" style="1877" customWidth="1"/>
    <col min="5119" max="5119" width="11" style="1877" customWidth="1"/>
    <col min="5120" max="5120" width="3.140625" style="1877" customWidth="1"/>
    <col min="5121" max="5121" width="14.5703125" style="1877" customWidth="1"/>
    <col min="5122" max="5122" width="2" style="1877" customWidth="1"/>
    <col min="5123" max="5123" width="13.42578125" style="1877" customWidth="1"/>
    <col min="5124" max="5124" width="12.42578125" style="1877" customWidth="1"/>
    <col min="5125" max="5125" width="14.85546875" style="1877" customWidth="1"/>
    <col min="5126" max="5126" width="15" style="1877" customWidth="1"/>
    <col min="5127" max="5128" width="20.42578125" style="1877" bestFit="1" customWidth="1"/>
    <col min="5129" max="5129" width="13.42578125" style="1877" customWidth="1"/>
    <col min="5130" max="5130" width="12.42578125" style="1877" customWidth="1"/>
    <col min="5131" max="5359" width="16.7109375" style="1877"/>
    <col min="5360" max="5360" width="6.5703125" style="1877" customWidth="1"/>
    <col min="5361" max="5361" width="41.85546875" style="1877" customWidth="1"/>
    <col min="5362" max="5362" width="11" style="1877" customWidth="1"/>
    <col min="5363" max="5363" width="1.85546875" style="1877" customWidth="1"/>
    <col min="5364" max="5364" width="11" style="1877" customWidth="1"/>
    <col min="5365" max="5365" width="2.5703125" style="1877" customWidth="1"/>
    <col min="5366" max="5366" width="12.85546875" style="1877" customWidth="1"/>
    <col min="5367" max="5367" width="2.42578125" style="1877" customWidth="1"/>
    <col min="5368" max="5368" width="12.140625" style="1877" customWidth="1"/>
    <col min="5369" max="5369" width="3.85546875" style="1877" customWidth="1"/>
    <col min="5370" max="5370" width="13.140625" style="1877" bestFit="1" customWidth="1"/>
    <col min="5371" max="5371" width="15.42578125" style="1877" customWidth="1"/>
    <col min="5372" max="5372" width="13.140625" style="1877" customWidth="1"/>
    <col min="5373" max="5373" width="13" style="1877" customWidth="1"/>
    <col min="5374" max="5374" width="2.140625" style="1877" customWidth="1"/>
    <col min="5375" max="5375" width="11" style="1877" customWidth="1"/>
    <col min="5376" max="5376" width="3.140625" style="1877" customWidth="1"/>
    <col min="5377" max="5377" width="14.5703125" style="1877" customWidth="1"/>
    <col min="5378" max="5378" width="2" style="1877" customWidth="1"/>
    <col min="5379" max="5379" width="13.42578125" style="1877" customWidth="1"/>
    <col min="5380" max="5380" width="12.42578125" style="1877" customWidth="1"/>
    <col min="5381" max="5381" width="14.85546875" style="1877" customWidth="1"/>
    <col min="5382" max="5382" width="15" style="1877" customWidth="1"/>
    <col min="5383" max="5384" width="20.42578125" style="1877" bestFit="1" customWidth="1"/>
    <col min="5385" max="5385" width="13.42578125" style="1877" customWidth="1"/>
    <col min="5386" max="5386" width="12.42578125" style="1877" customWidth="1"/>
    <col min="5387" max="5615" width="16.7109375" style="1877"/>
    <col min="5616" max="5616" width="6.5703125" style="1877" customWidth="1"/>
    <col min="5617" max="5617" width="41.85546875" style="1877" customWidth="1"/>
    <col min="5618" max="5618" width="11" style="1877" customWidth="1"/>
    <col min="5619" max="5619" width="1.85546875" style="1877" customWidth="1"/>
    <col min="5620" max="5620" width="11" style="1877" customWidth="1"/>
    <col min="5621" max="5621" width="2.5703125" style="1877" customWidth="1"/>
    <col min="5622" max="5622" width="12.85546875" style="1877" customWidth="1"/>
    <col min="5623" max="5623" width="2.42578125" style="1877" customWidth="1"/>
    <col min="5624" max="5624" width="12.140625" style="1877" customWidth="1"/>
    <col min="5625" max="5625" width="3.85546875" style="1877" customWidth="1"/>
    <col min="5626" max="5626" width="13.140625" style="1877" bestFit="1" customWidth="1"/>
    <col min="5627" max="5627" width="15.42578125" style="1877" customWidth="1"/>
    <col min="5628" max="5628" width="13.140625" style="1877" customWidth="1"/>
    <col min="5629" max="5629" width="13" style="1877" customWidth="1"/>
    <col min="5630" max="5630" width="2.140625" style="1877" customWidth="1"/>
    <col min="5631" max="5631" width="11" style="1877" customWidth="1"/>
    <col min="5632" max="5632" width="3.140625" style="1877" customWidth="1"/>
    <col min="5633" max="5633" width="14.5703125" style="1877" customWidth="1"/>
    <col min="5634" max="5634" width="2" style="1877" customWidth="1"/>
    <col min="5635" max="5635" width="13.42578125" style="1877" customWidth="1"/>
    <col min="5636" max="5636" width="12.42578125" style="1877" customWidth="1"/>
    <col min="5637" max="5637" width="14.85546875" style="1877" customWidth="1"/>
    <col min="5638" max="5638" width="15" style="1877" customWidth="1"/>
    <col min="5639" max="5640" width="20.42578125" style="1877" bestFit="1" customWidth="1"/>
    <col min="5641" max="5641" width="13.42578125" style="1877" customWidth="1"/>
    <col min="5642" max="5642" width="12.42578125" style="1877" customWidth="1"/>
    <col min="5643" max="5871" width="16.7109375" style="1877"/>
    <col min="5872" max="5872" width="6.5703125" style="1877" customWidth="1"/>
    <col min="5873" max="5873" width="41.85546875" style="1877" customWidth="1"/>
    <col min="5874" max="5874" width="11" style="1877" customWidth="1"/>
    <col min="5875" max="5875" width="1.85546875" style="1877" customWidth="1"/>
    <col min="5876" max="5876" width="11" style="1877" customWidth="1"/>
    <col min="5877" max="5877" width="2.5703125" style="1877" customWidth="1"/>
    <col min="5878" max="5878" width="12.85546875" style="1877" customWidth="1"/>
    <col min="5879" max="5879" width="2.42578125" style="1877" customWidth="1"/>
    <col min="5880" max="5880" width="12.140625" style="1877" customWidth="1"/>
    <col min="5881" max="5881" width="3.85546875" style="1877" customWidth="1"/>
    <col min="5882" max="5882" width="13.140625" style="1877" bestFit="1" customWidth="1"/>
    <col min="5883" max="5883" width="15.42578125" style="1877" customWidth="1"/>
    <col min="5884" max="5884" width="13.140625" style="1877" customWidth="1"/>
    <col min="5885" max="5885" width="13" style="1877" customWidth="1"/>
    <col min="5886" max="5886" width="2.140625" style="1877" customWidth="1"/>
    <col min="5887" max="5887" width="11" style="1877" customWidth="1"/>
    <col min="5888" max="5888" width="3.140625" style="1877" customWidth="1"/>
    <col min="5889" max="5889" width="14.5703125" style="1877" customWidth="1"/>
    <col min="5890" max="5890" width="2" style="1877" customWidth="1"/>
    <col min="5891" max="5891" width="13.42578125" style="1877" customWidth="1"/>
    <col min="5892" max="5892" width="12.42578125" style="1877" customWidth="1"/>
    <col min="5893" max="5893" width="14.85546875" style="1877" customWidth="1"/>
    <col min="5894" max="5894" width="15" style="1877" customWidth="1"/>
    <col min="5895" max="5896" width="20.42578125" style="1877" bestFit="1" customWidth="1"/>
    <col min="5897" max="5897" width="13.42578125" style="1877" customWidth="1"/>
    <col min="5898" max="5898" width="12.42578125" style="1877" customWidth="1"/>
    <col min="5899" max="6127" width="16.7109375" style="1877"/>
    <col min="6128" max="6128" width="6.5703125" style="1877" customWidth="1"/>
    <col min="6129" max="6129" width="41.85546875" style="1877" customWidth="1"/>
    <col min="6130" max="6130" width="11" style="1877" customWidth="1"/>
    <col min="6131" max="6131" width="1.85546875" style="1877" customWidth="1"/>
    <col min="6132" max="6132" width="11" style="1877" customWidth="1"/>
    <col min="6133" max="6133" width="2.5703125" style="1877" customWidth="1"/>
    <col min="6134" max="6134" width="12.85546875" style="1877" customWidth="1"/>
    <col min="6135" max="6135" width="2.42578125" style="1877" customWidth="1"/>
    <col min="6136" max="6136" width="12.140625" style="1877" customWidth="1"/>
    <col min="6137" max="6137" width="3.85546875" style="1877" customWidth="1"/>
    <col min="6138" max="6138" width="13.140625" style="1877" bestFit="1" customWidth="1"/>
    <col min="6139" max="6139" width="15.42578125" style="1877" customWidth="1"/>
    <col min="6140" max="6140" width="13.140625" style="1877" customWidth="1"/>
    <col min="6141" max="6141" width="13" style="1877" customWidth="1"/>
    <col min="6142" max="6142" width="2.140625" style="1877" customWidth="1"/>
    <col min="6143" max="6143" width="11" style="1877" customWidth="1"/>
    <col min="6144" max="6144" width="3.140625" style="1877" customWidth="1"/>
    <col min="6145" max="6145" width="14.5703125" style="1877" customWidth="1"/>
    <col min="6146" max="6146" width="2" style="1877" customWidth="1"/>
    <col min="6147" max="6147" width="13.42578125" style="1877" customWidth="1"/>
    <col min="6148" max="6148" width="12.42578125" style="1877" customWidth="1"/>
    <col min="6149" max="6149" width="14.85546875" style="1877" customWidth="1"/>
    <col min="6150" max="6150" width="15" style="1877" customWidth="1"/>
    <col min="6151" max="6152" width="20.42578125" style="1877" bestFit="1" customWidth="1"/>
    <col min="6153" max="6153" width="13.42578125" style="1877" customWidth="1"/>
    <col min="6154" max="6154" width="12.42578125" style="1877" customWidth="1"/>
    <col min="6155" max="6383" width="16.7109375" style="1877"/>
    <col min="6384" max="6384" width="6.5703125" style="1877" customWidth="1"/>
    <col min="6385" max="6385" width="41.85546875" style="1877" customWidth="1"/>
    <col min="6386" max="6386" width="11" style="1877" customWidth="1"/>
    <col min="6387" max="6387" width="1.85546875" style="1877" customWidth="1"/>
    <col min="6388" max="6388" width="11" style="1877" customWidth="1"/>
    <col min="6389" max="6389" width="2.5703125" style="1877" customWidth="1"/>
    <col min="6390" max="6390" width="12.85546875" style="1877" customWidth="1"/>
    <col min="6391" max="6391" width="2.42578125" style="1877" customWidth="1"/>
    <col min="6392" max="6392" width="12.140625" style="1877" customWidth="1"/>
    <col min="6393" max="6393" width="3.85546875" style="1877" customWidth="1"/>
    <col min="6394" max="6394" width="13.140625" style="1877" bestFit="1" customWidth="1"/>
    <col min="6395" max="6395" width="15.42578125" style="1877" customWidth="1"/>
    <col min="6396" max="6396" width="13.140625" style="1877" customWidth="1"/>
    <col min="6397" max="6397" width="13" style="1877" customWidth="1"/>
    <col min="6398" max="6398" width="2.140625" style="1877" customWidth="1"/>
    <col min="6399" max="6399" width="11" style="1877" customWidth="1"/>
    <col min="6400" max="6400" width="3.140625" style="1877" customWidth="1"/>
    <col min="6401" max="6401" width="14.5703125" style="1877" customWidth="1"/>
    <col min="6402" max="6402" width="2" style="1877" customWidth="1"/>
    <col min="6403" max="6403" width="13.42578125" style="1877" customWidth="1"/>
    <col min="6404" max="6404" width="12.42578125" style="1877" customWidth="1"/>
    <col min="6405" max="6405" width="14.85546875" style="1877" customWidth="1"/>
    <col min="6406" max="6406" width="15" style="1877" customWidth="1"/>
    <col min="6407" max="6408" width="20.42578125" style="1877" bestFit="1" customWidth="1"/>
    <col min="6409" max="6409" width="13.42578125" style="1877" customWidth="1"/>
    <col min="6410" max="6410" width="12.42578125" style="1877" customWidth="1"/>
    <col min="6411" max="6639" width="16.7109375" style="1877"/>
    <col min="6640" max="6640" width="6.5703125" style="1877" customWidth="1"/>
    <col min="6641" max="6641" width="41.85546875" style="1877" customWidth="1"/>
    <col min="6642" max="6642" width="11" style="1877" customWidth="1"/>
    <col min="6643" max="6643" width="1.85546875" style="1877" customWidth="1"/>
    <col min="6644" max="6644" width="11" style="1877" customWidth="1"/>
    <col min="6645" max="6645" width="2.5703125" style="1877" customWidth="1"/>
    <col min="6646" max="6646" width="12.85546875" style="1877" customWidth="1"/>
    <col min="6647" max="6647" width="2.42578125" style="1877" customWidth="1"/>
    <col min="6648" max="6648" width="12.140625" style="1877" customWidth="1"/>
    <col min="6649" max="6649" width="3.85546875" style="1877" customWidth="1"/>
    <col min="6650" max="6650" width="13.140625" style="1877" bestFit="1" customWidth="1"/>
    <col min="6651" max="6651" width="15.42578125" style="1877" customWidth="1"/>
    <col min="6652" max="6652" width="13.140625" style="1877" customWidth="1"/>
    <col min="6653" max="6653" width="13" style="1877" customWidth="1"/>
    <col min="6654" max="6654" width="2.140625" style="1877" customWidth="1"/>
    <col min="6655" max="6655" width="11" style="1877" customWidth="1"/>
    <col min="6656" max="6656" width="3.140625" style="1877" customWidth="1"/>
    <col min="6657" max="6657" width="14.5703125" style="1877" customWidth="1"/>
    <col min="6658" max="6658" width="2" style="1877" customWidth="1"/>
    <col min="6659" max="6659" width="13.42578125" style="1877" customWidth="1"/>
    <col min="6660" max="6660" width="12.42578125" style="1877" customWidth="1"/>
    <col min="6661" max="6661" width="14.85546875" style="1877" customWidth="1"/>
    <col min="6662" max="6662" width="15" style="1877" customWidth="1"/>
    <col min="6663" max="6664" width="20.42578125" style="1877" bestFit="1" customWidth="1"/>
    <col min="6665" max="6665" width="13.42578125" style="1877" customWidth="1"/>
    <col min="6666" max="6666" width="12.42578125" style="1877" customWidth="1"/>
    <col min="6667" max="6895" width="16.7109375" style="1877"/>
    <col min="6896" max="6896" width="6.5703125" style="1877" customWidth="1"/>
    <col min="6897" max="6897" width="41.85546875" style="1877" customWidth="1"/>
    <col min="6898" max="6898" width="11" style="1877" customWidth="1"/>
    <col min="6899" max="6899" width="1.85546875" style="1877" customWidth="1"/>
    <col min="6900" max="6900" width="11" style="1877" customWidth="1"/>
    <col min="6901" max="6901" width="2.5703125" style="1877" customWidth="1"/>
    <col min="6902" max="6902" width="12.85546875" style="1877" customWidth="1"/>
    <col min="6903" max="6903" width="2.42578125" style="1877" customWidth="1"/>
    <col min="6904" max="6904" width="12.140625" style="1877" customWidth="1"/>
    <col min="6905" max="6905" width="3.85546875" style="1877" customWidth="1"/>
    <col min="6906" max="6906" width="13.140625" style="1877" bestFit="1" customWidth="1"/>
    <col min="6907" max="6907" width="15.42578125" style="1877" customWidth="1"/>
    <col min="6908" max="6908" width="13.140625" style="1877" customWidth="1"/>
    <col min="6909" max="6909" width="13" style="1877" customWidth="1"/>
    <col min="6910" max="6910" width="2.140625" style="1877" customWidth="1"/>
    <col min="6911" max="6911" width="11" style="1877" customWidth="1"/>
    <col min="6912" max="6912" width="3.140625" style="1877" customWidth="1"/>
    <col min="6913" max="6913" width="14.5703125" style="1877" customWidth="1"/>
    <col min="6914" max="6914" width="2" style="1877" customWidth="1"/>
    <col min="6915" max="6915" width="13.42578125" style="1877" customWidth="1"/>
    <col min="6916" max="6916" width="12.42578125" style="1877" customWidth="1"/>
    <col min="6917" max="6917" width="14.85546875" style="1877" customWidth="1"/>
    <col min="6918" max="6918" width="15" style="1877" customWidth="1"/>
    <col min="6919" max="6920" width="20.42578125" style="1877" bestFit="1" customWidth="1"/>
    <col min="6921" max="6921" width="13.42578125" style="1877" customWidth="1"/>
    <col min="6922" max="6922" width="12.42578125" style="1877" customWidth="1"/>
    <col min="6923" max="7151" width="16.7109375" style="1877"/>
    <col min="7152" max="7152" width="6.5703125" style="1877" customWidth="1"/>
    <col min="7153" max="7153" width="41.85546875" style="1877" customWidth="1"/>
    <col min="7154" max="7154" width="11" style="1877" customWidth="1"/>
    <col min="7155" max="7155" width="1.85546875" style="1877" customWidth="1"/>
    <col min="7156" max="7156" width="11" style="1877" customWidth="1"/>
    <col min="7157" max="7157" width="2.5703125" style="1877" customWidth="1"/>
    <col min="7158" max="7158" width="12.85546875" style="1877" customWidth="1"/>
    <col min="7159" max="7159" width="2.42578125" style="1877" customWidth="1"/>
    <col min="7160" max="7160" width="12.140625" style="1877" customWidth="1"/>
    <col min="7161" max="7161" width="3.85546875" style="1877" customWidth="1"/>
    <col min="7162" max="7162" width="13.140625" style="1877" bestFit="1" customWidth="1"/>
    <col min="7163" max="7163" width="15.42578125" style="1877" customWidth="1"/>
    <col min="7164" max="7164" width="13.140625" style="1877" customWidth="1"/>
    <col min="7165" max="7165" width="13" style="1877" customWidth="1"/>
    <col min="7166" max="7166" width="2.140625" style="1877" customWidth="1"/>
    <col min="7167" max="7167" width="11" style="1877" customWidth="1"/>
    <col min="7168" max="7168" width="3.140625" style="1877" customWidth="1"/>
    <col min="7169" max="7169" width="14.5703125" style="1877" customWidth="1"/>
    <col min="7170" max="7170" width="2" style="1877" customWidth="1"/>
    <col min="7171" max="7171" width="13.42578125" style="1877" customWidth="1"/>
    <col min="7172" max="7172" width="12.42578125" style="1877" customWidth="1"/>
    <col min="7173" max="7173" width="14.85546875" style="1877" customWidth="1"/>
    <col min="7174" max="7174" width="15" style="1877" customWidth="1"/>
    <col min="7175" max="7176" width="20.42578125" style="1877" bestFit="1" customWidth="1"/>
    <col min="7177" max="7177" width="13.42578125" style="1877" customWidth="1"/>
    <col min="7178" max="7178" width="12.42578125" style="1877" customWidth="1"/>
    <col min="7179" max="7407" width="16.7109375" style="1877"/>
    <col min="7408" max="7408" width="6.5703125" style="1877" customWidth="1"/>
    <col min="7409" max="7409" width="41.85546875" style="1877" customWidth="1"/>
    <col min="7410" max="7410" width="11" style="1877" customWidth="1"/>
    <col min="7411" max="7411" width="1.85546875" style="1877" customWidth="1"/>
    <col min="7412" max="7412" width="11" style="1877" customWidth="1"/>
    <col min="7413" max="7413" width="2.5703125" style="1877" customWidth="1"/>
    <col min="7414" max="7414" width="12.85546875" style="1877" customWidth="1"/>
    <col min="7415" max="7415" width="2.42578125" style="1877" customWidth="1"/>
    <col min="7416" max="7416" width="12.140625" style="1877" customWidth="1"/>
    <col min="7417" max="7417" width="3.85546875" style="1877" customWidth="1"/>
    <col min="7418" max="7418" width="13.140625" style="1877" bestFit="1" customWidth="1"/>
    <col min="7419" max="7419" width="15.42578125" style="1877" customWidth="1"/>
    <col min="7420" max="7420" width="13.140625" style="1877" customWidth="1"/>
    <col min="7421" max="7421" width="13" style="1877" customWidth="1"/>
    <col min="7422" max="7422" width="2.140625" style="1877" customWidth="1"/>
    <col min="7423" max="7423" width="11" style="1877" customWidth="1"/>
    <col min="7424" max="7424" width="3.140625" style="1877" customWidth="1"/>
    <col min="7425" max="7425" width="14.5703125" style="1877" customWidth="1"/>
    <col min="7426" max="7426" width="2" style="1877" customWidth="1"/>
    <col min="7427" max="7427" width="13.42578125" style="1877" customWidth="1"/>
    <col min="7428" max="7428" width="12.42578125" style="1877" customWidth="1"/>
    <col min="7429" max="7429" width="14.85546875" style="1877" customWidth="1"/>
    <col min="7430" max="7430" width="15" style="1877" customWidth="1"/>
    <col min="7431" max="7432" width="20.42578125" style="1877" bestFit="1" customWidth="1"/>
    <col min="7433" max="7433" width="13.42578125" style="1877" customWidth="1"/>
    <col min="7434" max="7434" width="12.42578125" style="1877" customWidth="1"/>
    <col min="7435" max="7663" width="16.7109375" style="1877"/>
    <col min="7664" max="7664" width="6.5703125" style="1877" customWidth="1"/>
    <col min="7665" max="7665" width="41.85546875" style="1877" customWidth="1"/>
    <col min="7666" max="7666" width="11" style="1877" customWidth="1"/>
    <col min="7667" max="7667" width="1.85546875" style="1877" customWidth="1"/>
    <col min="7668" max="7668" width="11" style="1877" customWidth="1"/>
    <col min="7669" max="7669" width="2.5703125" style="1877" customWidth="1"/>
    <col min="7670" max="7670" width="12.85546875" style="1877" customWidth="1"/>
    <col min="7671" max="7671" width="2.42578125" style="1877" customWidth="1"/>
    <col min="7672" max="7672" width="12.140625" style="1877" customWidth="1"/>
    <col min="7673" max="7673" width="3.85546875" style="1877" customWidth="1"/>
    <col min="7674" max="7674" width="13.140625" style="1877" bestFit="1" customWidth="1"/>
    <col min="7675" max="7675" width="15.42578125" style="1877" customWidth="1"/>
    <col min="7676" max="7676" width="13.140625" style="1877" customWidth="1"/>
    <col min="7677" max="7677" width="13" style="1877" customWidth="1"/>
    <col min="7678" max="7678" width="2.140625" style="1877" customWidth="1"/>
    <col min="7679" max="7679" width="11" style="1877" customWidth="1"/>
    <col min="7680" max="7680" width="3.140625" style="1877" customWidth="1"/>
    <col min="7681" max="7681" width="14.5703125" style="1877" customWidth="1"/>
    <col min="7682" max="7682" width="2" style="1877" customWidth="1"/>
    <col min="7683" max="7683" width="13.42578125" style="1877" customWidth="1"/>
    <col min="7684" max="7684" width="12.42578125" style="1877" customWidth="1"/>
    <col min="7685" max="7685" width="14.85546875" style="1877" customWidth="1"/>
    <col min="7686" max="7686" width="15" style="1877" customWidth="1"/>
    <col min="7687" max="7688" width="20.42578125" style="1877" bestFit="1" customWidth="1"/>
    <col min="7689" max="7689" width="13.42578125" style="1877" customWidth="1"/>
    <col min="7690" max="7690" width="12.42578125" style="1877" customWidth="1"/>
    <col min="7691" max="7919" width="16.7109375" style="1877"/>
    <col min="7920" max="7920" width="6.5703125" style="1877" customWidth="1"/>
    <col min="7921" max="7921" width="41.85546875" style="1877" customWidth="1"/>
    <col min="7922" max="7922" width="11" style="1877" customWidth="1"/>
    <col min="7923" max="7923" width="1.85546875" style="1877" customWidth="1"/>
    <col min="7924" max="7924" width="11" style="1877" customWidth="1"/>
    <col min="7925" max="7925" width="2.5703125" style="1877" customWidth="1"/>
    <col min="7926" max="7926" width="12.85546875" style="1877" customWidth="1"/>
    <col min="7927" max="7927" width="2.42578125" style="1877" customWidth="1"/>
    <col min="7928" max="7928" width="12.140625" style="1877" customWidth="1"/>
    <col min="7929" max="7929" width="3.85546875" style="1877" customWidth="1"/>
    <col min="7930" max="7930" width="13.140625" style="1877" bestFit="1" customWidth="1"/>
    <col min="7931" max="7931" width="15.42578125" style="1877" customWidth="1"/>
    <col min="7932" max="7932" width="13.140625" style="1877" customWidth="1"/>
    <col min="7933" max="7933" width="13" style="1877" customWidth="1"/>
    <col min="7934" max="7934" width="2.140625" style="1877" customWidth="1"/>
    <col min="7935" max="7935" width="11" style="1877" customWidth="1"/>
    <col min="7936" max="7936" width="3.140625" style="1877" customWidth="1"/>
    <col min="7937" max="7937" width="14.5703125" style="1877" customWidth="1"/>
    <col min="7938" max="7938" width="2" style="1877" customWidth="1"/>
    <col min="7939" max="7939" width="13.42578125" style="1877" customWidth="1"/>
    <col min="7940" max="7940" width="12.42578125" style="1877" customWidth="1"/>
    <col min="7941" max="7941" width="14.85546875" style="1877" customWidth="1"/>
    <col min="7942" max="7942" width="15" style="1877" customWidth="1"/>
    <col min="7943" max="7944" width="20.42578125" style="1877" bestFit="1" customWidth="1"/>
    <col min="7945" max="7945" width="13.42578125" style="1877" customWidth="1"/>
    <col min="7946" max="7946" width="12.42578125" style="1877" customWidth="1"/>
    <col min="7947" max="8175" width="16.7109375" style="1877"/>
    <col min="8176" max="8176" width="6.5703125" style="1877" customWidth="1"/>
    <col min="8177" max="8177" width="41.85546875" style="1877" customWidth="1"/>
    <col min="8178" max="8178" width="11" style="1877" customWidth="1"/>
    <col min="8179" max="8179" width="1.85546875" style="1877" customWidth="1"/>
    <col min="8180" max="8180" width="11" style="1877" customWidth="1"/>
    <col min="8181" max="8181" width="2.5703125" style="1877" customWidth="1"/>
    <col min="8182" max="8182" width="12.85546875" style="1877" customWidth="1"/>
    <col min="8183" max="8183" width="2.42578125" style="1877" customWidth="1"/>
    <col min="8184" max="8184" width="12.140625" style="1877" customWidth="1"/>
    <col min="8185" max="8185" width="3.85546875" style="1877" customWidth="1"/>
    <col min="8186" max="8186" width="13.140625" style="1877" bestFit="1" customWidth="1"/>
    <col min="8187" max="8187" width="15.42578125" style="1877" customWidth="1"/>
    <col min="8188" max="8188" width="13.140625" style="1877" customWidth="1"/>
    <col min="8189" max="8189" width="13" style="1877" customWidth="1"/>
    <col min="8190" max="8190" width="2.140625" style="1877" customWidth="1"/>
    <col min="8191" max="8191" width="11" style="1877" customWidth="1"/>
    <col min="8192" max="8192" width="3.140625" style="1877" customWidth="1"/>
    <col min="8193" max="8193" width="14.5703125" style="1877" customWidth="1"/>
    <col min="8194" max="8194" width="2" style="1877" customWidth="1"/>
    <col min="8195" max="8195" width="13.42578125" style="1877" customWidth="1"/>
    <col min="8196" max="8196" width="12.42578125" style="1877" customWidth="1"/>
    <col min="8197" max="8197" width="14.85546875" style="1877" customWidth="1"/>
    <col min="8198" max="8198" width="15" style="1877" customWidth="1"/>
    <col min="8199" max="8200" width="20.42578125" style="1877" bestFit="1" customWidth="1"/>
    <col min="8201" max="8201" width="13.42578125" style="1877" customWidth="1"/>
    <col min="8202" max="8202" width="12.42578125" style="1877" customWidth="1"/>
    <col min="8203" max="8431" width="16.7109375" style="1877"/>
    <col min="8432" max="8432" width="6.5703125" style="1877" customWidth="1"/>
    <col min="8433" max="8433" width="41.85546875" style="1877" customWidth="1"/>
    <col min="8434" max="8434" width="11" style="1877" customWidth="1"/>
    <col min="8435" max="8435" width="1.85546875" style="1877" customWidth="1"/>
    <col min="8436" max="8436" width="11" style="1877" customWidth="1"/>
    <col min="8437" max="8437" width="2.5703125" style="1877" customWidth="1"/>
    <col min="8438" max="8438" width="12.85546875" style="1877" customWidth="1"/>
    <col min="8439" max="8439" width="2.42578125" style="1877" customWidth="1"/>
    <col min="8440" max="8440" width="12.140625" style="1877" customWidth="1"/>
    <col min="8441" max="8441" width="3.85546875" style="1877" customWidth="1"/>
    <col min="8442" max="8442" width="13.140625" style="1877" bestFit="1" customWidth="1"/>
    <col min="8443" max="8443" width="15.42578125" style="1877" customWidth="1"/>
    <col min="8444" max="8444" width="13.140625" style="1877" customWidth="1"/>
    <col min="8445" max="8445" width="13" style="1877" customWidth="1"/>
    <col min="8446" max="8446" width="2.140625" style="1877" customWidth="1"/>
    <col min="8447" max="8447" width="11" style="1877" customWidth="1"/>
    <col min="8448" max="8448" width="3.140625" style="1877" customWidth="1"/>
    <col min="8449" max="8449" width="14.5703125" style="1877" customWidth="1"/>
    <col min="8450" max="8450" width="2" style="1877" customWidth="1"/>
    <col min="8451" max="8451" width="13.42578125" style="1877" customWidth="1"/>
    <col min="8452" max="8452" width="12.42578125" style="1877" customWidth="1"/>
    <col min="8453" max="8453" width="14.85546875" style="1877" customWidth="1"/>
    <col min="8454" max="8454" width="15" style="1877" customWidth="1"/>
    <col min="8455" max="8456" width="20.42578125" style="1877" bestFit="1" customWidth="1"/>
    <col min="8457" max="8457" width="13.42578125" style="1877" customWidth="1"/>
    <col min="8458" max="8458" width="12.42578125" style="1877" customWidth="1"/>
    <col min="8459" max="8687" width="16.7109375" style="1877"/>
    <col min="8688" max="8688" width="6.5703125" style="1877" customWidth="1"/>
    <col min="8689" max="8689" width="41.85546875" style="1877" customWidth="1"/>
    <col min="8690" max="8690" width="11" style="1877" customWidth="1"/>
    <col min="8691" max="8691" width="1.85546875" style="1877" customWidth="1"/>
    <col min="8692" max="8692" width="11" style="1877" customWidth="1"/>
    <col min="8693" max="8693" width="2.5703125" style="1877" customWidth="1"/>
    <col min="8694" max="8694" width="12.85546875" style="1877" customWidth="1"/>
    <col min="8695" max="8695" width="2.42578125" style="1877" customWidth="1"/>
    <col min="8696" max="8696" width="12.140625" style="1877" customWidth="1"/>
    <col min="8697" max="8697" width="3.85546875" style="1877" customWidth="1"/>
    <col min="8698" max="8698" width="13.140625" style="1877" bestFit="1" customWidth="1"/>
    <col min="8699" max="8699" width="15.42578125" style="1877" customWidth="1"/>
    <col min="8700" max="8700" width="13.140625" style="1877" customWidth="1"/>
    <col min="8701" max="8701" width="13" style="1877" customWidth="1"/>
    <col min="8702" max="8702" width="2.140625" style="1877" customWidth="1"/>
    <col min="8703" max="8703" width="11" style="1877" customWidth="1"/>
    <col min="8704" max="8704" width="3.140625" style="1877" customWidth="1"/>
    <col min="8705" max="8705" width="14.5703125" style="1877" customWidth="1"/>
    <col min="8706" max="8706" width="2" style="1877" customWidth="1"/>
    <col min="8707" max="8707" width="13.42578125" style="1877" customWidth="1"/>
    <col min="8708" max="8708" width="12.42578125" style="1877" customWidth="1"/>
    <col min="8709" max="8709" width="14.85546875" style="1877" customWidth="1"/>
    <col min="8710" max="8710" width="15" style="1877" customWidth="1"/>
    <col min="8711" max="8712" width="20.42578125" style="1877" bestFit="1" customWidth="1"/>
    <col min="8713" max="8713" width="13.42578125" style="1877" customWidth="1"/>
    <col min="8714" max="8714" width="12.42578125" style="1877" customWidth="1"/>
    <col min="8715" max="8943" width="16.7109375" style="1877"/>
    <col min="8944" max="8944" width="6.5703125" style="1877" customWidth="1"/>
    <col min="8945" max="8945" width="41.85546875" style="1877" customWidth="1"/>
    <col min="8946" max="8946" width="11" style="1877" customWidth="1"/>
    <col min="8947" max="8947" width="1.85546875" style="1877" customWidth="1"/>
    <col min="8948" max="8948" width="11" style="1877" customWidth="1"/>
    <col min="8949" max="8949" width="2.5703125" style="1877" customWidth="1"/>
    <col min="8950" max="8950" width="12.85546875" style="1877" customWidth="1"/>
    <col min="8951" max="8951" width="2.42578125" style="1877" customWidth="1"/>
    <col min="8952" max="8952" width="12.140625" style="1877" customWidth="1"/>
    <col min="8953" max="8953" width="3.85546875" style="1877" customWidth="1"/>
    <col min="8954" max="8954" width="13.140625" style="1877" bestFit="1" customWidth="1"/>
    <col min="8955" max="8955" width="15.42578125" style="1877" customWidth="1"/>
    <col min="8956" max="8956" width="13.140625" style="1877" customWidth="1"/>
    <col min="8957" max="8957" width="13" style="1877" customWidth="1"/>
    <col min="8958" max="8958" width="2.140625" style="1877" customWidth="1"/>
    <col min="8959" max="8959" width="11" style="1877" customWidth="1"/>
    <col min="8960" max="8960" width="3.140625" style="1877" customWidth="1"/>
    <col min="8961" max="8961" width="14.5703125" style="1877" customWidth="1"/>
    <col min="8962" max="8962" width="2" style="1877" customWidth="1"/>
    <col min="8963" max="8963" width="13.42578125" style="1877" customWidth="1"/>
    <col min="8964" max="8964" width="12.42578125" style="1877" customWidth="1"/>
    <col min="8965" max="8965" width="14.85546875" style="1877" customWidth="1"/>
    <col min="8966" max="8966" width="15" style="1877" customWidth="1"/>
    <col min="8967" max="8968" width="20.42578125" style="1877" bestFit="1" customWidth="1"/>
    <col min="8969" max="8969" width="13.42578125" style="1877" customWidth="1"/>
    <col min="8970" max="8970" width="12.42578125" style="1877" customWidth="1"/>
    <col min="8971" max="9199" width="16.7109375" style="1877"/>
    <col min="9200" max="9200" width="6.5703125" style="1877" customWidth="1"/>
    <col min="9201" max="9201" width="41.85546875" style="1877" customWidth="1"/>
    <col min="9202" max="9202" width="11" style="1877" customWidth="1"/>
    <col min="9203" max="9203" width="1.85546875" style="1877" customWidth="1"/>
    <col min="9204" max="9204" width="11" style="1877" customWidth="1"/>
    <col min="9205" max="9205" width="2.5703125" style="1877" customWidth="1"/>
    <col min="9206" max="9206" width="12.85546875" style="1877" customWidth="1"/>
    <col min="9207" max="9207" width="2.42578125" style="1877" customWidth="1"/>
    <col min="9208" max="9208" width="12.140625" style="1877" customWidth="1"/>
    <col min="9209" max="9209" width="3.85546875" style="1877" customWidth="1"/>
    <col min="9210" max="9210" width="13.140625" style="1877" bestFit="1" customWidth="1"/>
    <col min="9211" max="9211" width="15.42578125" style="1877" customWidth="1"/>
    <col min="9212" max="9212" width="13.140625" style="1877" customWidth="1"/>
    <col min="9213" max="9213" width="13" style="1877" customWidth="1"/>
    <col min="9214" max="9214" width="2.140625" style="1877" customWidth="1"/>
    <col min="9215" max="9215" width="11" style="1877" customWidth="1"/>
    <col min="9216" max="9216" width="3.140625" style="1877" customWidth="1"/>
    <col min="9217" max="9217" width="14.5703125" style="1877" customWidth="1"/>
    <col min="9218" max="9218" width="2" style="1877" customWidth="1"/>
    <col min="9219" max="9219" width="13.42578125" style="1877" customWidth="1"/>
    <col min="9220" max="9220" width="12.42578125" style="1877" customWidth="1"/>
    <col min="9221" max="9221" width="14.85546875" style="1877" customWidth="1"/>
    <col min="9222" max="9222" width="15" style="1877" customWidth="1"/>
    <col min="9223" max="9224" width="20.42578125" style="1877" bestFit="1" customWidth="1"/>
    <col min="9225" max="9225" width="13.42578125" style="1877" customWidth="1"/>
    <col min="9226" max="9226" width="12.42578125" style="1877" customWidth="1"/>
    <col min="9227" max="9455" width="16.7109375" style="1877"/>
    <col min="9456" max="9456" width="6.5703125" style="1877" customWidth="1"/>
    <col min="9457" max="9457" width="41.85546875" style="1877" customWidth="1"/>
    <col min="9458" max="9458" width="11" style="1877" customWidth="1"/>
    <col min="9459" max="9459" width="1.85546875" style="1877" customWidth="1"/>
    <col min="9460" max="9460" width="11" style="1877" customWidth="1"/>
    <col min="9461" max="9461" width="2.5703125" style="1877" customWidth="1"/>
    <col min="9462" max="9462" width="12.85546875" style="1877" customWidth="1"/>
    <col min="9463" max="9463" width="2.42578125" style="1877" customWidth="1"/>
    <col min="9464" max="9464" width="12.140625" style="1877" customWidth="1"/>
    <col min="9465" max="9465" width="3.85546875" style="1877" customWidth="1"/>
    <col min="9466" max="9466" width="13.140625" style="1877" bestFit="1" customWidth="1"/>
    <col min="9467" max="9467" width="15.42578125" style="1877" customWidth="1"/>
    <col min="9468" max="9468" width="13.140625" style="1877" customWidth="1"/>
    <col min="9469" max="9469" width="13" style="1877" customWidth="1"/>
    <col min="9470" max="9470" width="2.140625" style="1877" customWidth="1"/>
    <col min="9471" max="9471" width="11" style="1877" customWidth="1"/>
    <col min="9472" max="9472" width="3.140625" style="1877" customWidth="1"/>
    <col min="9473" max="9473" width="14.5703125" style="1877" customWidth="1"/>
    <col min="9474" max="9474" width="2" style="1877" customWidth="1"/>
    <col min="9475" max="9475" width="13.42578125" style="1877" customWidth="1"/>
    <col min="9476" max="9476" width="12.42578125" style="1877" customWidth="1"/>
    <col min="9477" max="9477" width="14.85546875" style="1877" customWidth="1"/>
    <col min="9478" max="9478" width="15" style="1877" customWidth="1"/>
    <col min="9479" max="9480" width="20.42578125" style="1877" bestFit="1" customWidth="1"/>
    <col min="9481" max="9481" width="13.42578125" style="1877" customWidth="1"/>
    <col min="9482" max="9482" width="12.42578125" style="1877" customWidth="1"/>
    <col min="9483" max="9711" width="16.7109375" style="1877"/>
    <col min="9712" max="9712" width="6.5703125" style="1877" customWidth="1"/>
    <col min="9713" max="9713" width="41.85546875" style="1877" customWidth="1"/>
    <col min="9714" max="9714" width="11" style="1877" customWidth="1"/>
    <col min="9715" max="9715" width="1.85546875" style="1877" customWidth="1"/>
    <col min="9716" max="9716" width="11" style="1877" customWidth="1"/>
    <col min="9717" max="9717" width="2.5703125" style="1877" customWidth="1"/>
    <col min="9718" max="9718" width="12.85546875" style="1877" customWidth="1"/>
    <col min="9719" max="9719" width="2.42578125" style="1877" customWidth="1"/>
    <col min="9720" max="9720" width="12.140625" style="1877" customWidth="1"/>
    <col min="9721" max="9721" width="3.85546875" style="1877" customWidth="1"/>
    <col min="9722" max="9722" width="13.140625" style="1877" bestFit="1" customWidth="1"/>
    <col min="9723" max="9723" width="15.42578125" style="1877" customWidth="1"/>
    <col min="9724" max="9724" width="13.140625" style="1877" customWidth="1"/>
    <col min="9725" max="9725" width="13" style="1877" customWidth="1"/>
    <col min="9726" max="9726" width="2.140625" style="1877" customWidth="1"/>
    <col min="9727" max="9727" width="11" style="1877" customWidth="1"/>
    <col min="9728" max="9728" width="3.140625" style="1877" customWidth="1"/>
    <col min="9729" max="9729" width="14.5703125" style="1877" customWidth="1"/>
    <col min="9730" max="9730" width="2" style="1877" customWidth="1"/>
    <col min="9731" max="9731" width="13.42578125" style="1877" customWidth="1"/>
    <col min="9732" max="9732" width="12.42578125" style="1877" customWidth="1"/>
    <col min="9733" max="9733" width="14.85546875" style="1877" customWidth="1"/>
    <col min="9734" max="9734" width="15" style="1877" customWidth="1"/>
    <col min="9735" max="9736" width="20.42578125" style="1877" bestFit="1" customWidth="1"/>
    <col min="9737" max="9737" width="13.42578125" style="1877" customWidth="1"/>
    <col min="9738" max="9738" width="12.42578125" style="1877" customWidth="1"/>
    <col min="9739" max="9967" width="16.7109375" style="1877"/>
    <col min="9968" max="9968" width="6.5703125" style="1877" customWidth="1"/>
    <col min="9969" max="9969" width="41.85546875" style="1877" customWidth="1"/>
    <col min="9970" max="9970" width="11" style="1877" customWidth="1"/>
    <col min="9971" max="9971" width="1.85546875" style="1877" customWidth="1"/>
    <col min="9972" max="9972" width="11" style="1877" customWidth="1"/>
    <col min="9973" max="9973" width="2.5703125" style="1877" customWidth="1"/>
    <col min="9974" max="9974" width="12.85546875" style="1877" customWidth="1"/>
    <col min="9975" max="9975" width="2.42578125" style="1877" customWidth="1"/>
    <col min="9976" max="9976" width="12.140625" style="1877" customWidth="1"/>
    <col min="9977" max="9977" width="3.85546875" style="1877" customWidth="1"/>
    <col min="9978" max="9978" width="13.140625" style="1877" bestFit="1" customWidth="1"/>
    <col min="9979" max="9979" width="15.42578125" style="1877" customWidth="1"/>
    <col min="9980" max="9980" width="13.140625" style="1877" customWidth="1"/>
    <col min="9981" max="9981" width="13" style="1877" customWidth="1"/>
    <col min="9982" max="9982" width="2.140625" style="1877" customWidth="1"/>
    <col min="9983" max="9983" width="11" style="1877" customWidth="1"/>
    <col min="9984" max="9984" width="3.140625" style="1877" customWidth="1"/>
    <col min="9985" max="9985" width="14.5703125" style="1877" customWidth="1"/>
    <col min="9986" max="9986" width="2" style="1877" customWidth="1"/>
    <col min="9987" max="9987" width="13.42578125" style="1877" customWidth="1"/>
    <col min="9988" max="9988" width="12.42578125" style="1877" customWidth="1"/>
    <col min="9989" max="9989" width="14.85546875" style="1877" customWidth="1"/>
    <col min="9990" max="9990" width="15" style="1877" customWidth="1"/>
    <col min="9991" max="9992" width="20.42578125" style="1877" bestFit="1" customWidth="1"/>
    <col min="9993" max="9993" width="13.42578125" style="1877" customWidth="1"/>
    <col min="9994" max="9994" width="12.42578125" style="1877" customWidth="1"/>
    <col min="9995" max="10223" width="16.7109375" style="1877"/>
    <col min="10224" max="10224" width="6.5703125" style="1877" customWidth="1"/>
    <col min="10225" max="10225" width="41.85546875" style="1877" customWidth="1"/>
    <col min="10226" max="10226" width="11" style="1877" customWidth="1"/>
    <col min="10227" max="10227" width="1.85546875" style="1877" customWidth="1"/>
    <col min="10228" max="10228" width="11" style="1877" customWidth="1"/>
    <col min="10229" max="10229" width="2.5703125" style="1877" customWidth="1"/>
    <col min="10230" max="10230" width="12.85546875" style="1877" customWidth="1"/>
    <col min="10231" max="10231" width="2.42578125" style="1877" customWidth="1"/>
    <col min="10232" max="10232" width="12.140625" style="1877" customWidth="1"/>
    <col min="10233" max="10233" width="3.85546875" style="1877" customWidth="1"/>
    <col min="10234" max="10234" width="13.140625" style="1877" bestFit="1" customWidth="1"/>
    <col min="10235" max="10235" width="15.42578125" style="1877" customWidth="1"/>
    <col min="10236" max="10236" width="13.140625" style="1877" customWidth="1"/>
    <col min="10237" max="10237" width="13" style="1877" customWidth="1"/>
    <col min="10238" max="10238" width="2.140625" style="1877" customWidth="1"/>
    <col min="10239" max="10239" width="11" style="1877" customWidth="1"/>
    <col min="10240" max="10240" width="3.140625" style="1877" customWidth="1"/>
    <col min="10241" max="10241" width="14.5703125" style="1877" customWidth="1"/>
    <col min="10242" max="10242" width="2" style="1877" customWidth="1"/>
    <col min="10243" max="10243" width="13.42578125" style="1877" customWidth="1"/>
    <col min="10244" max="10244" width="12.42578125" style="1877" customWidth="1"/>
    <col min="10245" max="10245" width="14.85546875" style="1877" customWidth="1"/>
    <col min="10246" max="10246" width="15" style="1877" customWidth="1"/>
    <col min="10247" max="10248" width="20.42578125" style="1877" bestFit="1" customWidth="1"/>
    <col min="10249" max="10249" width="13.42578125" style="1877" customWidth="1"/>
    <col min="10250" max="10250" width="12.42578125" style="1877" customWidth="1"/>
    <col min="10251" max="10479" width="16.7109375" style="1877"/>
    <col min="10480" max="10480" width="6.5703125" style="1877" customWidth="1"/>
    <col min="10481" max="10481" width="41.85546875" style="1877" customWidth="1"/>
    <col min="10482" max="10482" width="11" style="1877" customWidth="1"/>
    <col min="10483" max="10483" width="1.85546875" style="1877" customWidth="1"/>
    <col min="10484" max="10484" width="11" style="1877" customWidth="1"/>
    <col min="10485" max="10485" width="2.5703125" style="1877" customWidth="1"/>
    <col min="10486" max="10486" width="12.85546875" style="1877" customWidth="1"/>
    <col min="10487" max="10487" width="2.42578125" style="1877" customWidth="1"/>
    <col min="10488" max="10488" width="12.140625" style="1877" customWidth="1"/>
    <col min="10489" max="10489" width="3.85546875" style="1877" customWidth="1"/>
    <col min="10490" max="10490" width="13.140625" style="1877" bestFit="1" customWidth="1"/>
    <col min="10491" max="10491" width="15.42578125" style="1877" customWidth="1"/>
    <col min="10492" max="10492" width="13.140625" style="1877" customWidth="1"/>
    <col min="10493" max="10493" width="13" style="1877" customWidth="1"/>
    <col min="10494" max="10494" width="2.140625" style="1877" customWidth="1"/>
    <col min="10495" max="10495" width="11" style="1877" customWidth="1"/>
    <col min="10496" max="10496" width="3.140625" style="1877" customWidth="1"/>
    <col min="10497" max="10497" width="14.5703125" style="1877" customWidth="1"/>
    <col min="10498" max="10498" width="2" style="1877" customWidth="1"/>
    <col min="10499" max="10499" width="13.42578125" style="1877" customWidth="1"/>
    <col min="10500" max="10500" width="12.42578125" style="1877" customWidth="1"/>
    <col min="10501" max="10501" width="14.85546875" style="1877" customWidth="1"/>
    <col min="10502" max="10502" width="15" style="1877" customWidth="1"/>
    <col min="10503" max="10504" width="20.42578125" style="1877" bestFit="1" customWidth="1"/>
    <col min="10505" max="10505" width="13.42578125" style="1877" customWidth="1"/>
    <col min="10506" max="10506" width="12.42578125" style="1877" customWidth="1"/>
    <col min="10507" max="10735" width="16.7109375" style="1877"/>
    <col min="10736" max="10736" width="6.5703125" style="1877" customWidth="1"/>
    <col min="10737" max="10737" width="41.85546875" style="1877" customWidth="1"/>
    <col min="10738" max="10738" width="11" style="1877" customWidth="1"/>
    <col min="10739" max="10739" width="1.85546875" style="1877" customWidth="1"/>
    <col min="10740" max="10740" width="11" style="1877" customWidth="1"/>
    <col min="10741" max="10741" width="2.5703125" style="1877" customWidth="1"/>
    <col min="10742" max="10742" width="12.85546875" style="1877" customWidth="1"/>
    <col min="10743" max="10743" width="2.42578125" style="1877" customWidth="1"/>
    <col min="10744" max="10744" width="12.140625" style="1877" customWidth="1"/>
    <col min="10745" max="10745" width="3.85546875" style="1877" customWidth="1"/>
    <col min="10746" max="10746" width="13.140625" style="1877" bestFit="1" customWidth="1"/>
    <col min="10747" max="10747" width="15.42578125" style="1877" customWidth="1"/>
    <col min="10748" max="10748" width="13.140625" style="1877" customWidth="1"/>
    <col min="10749" max="10749" width="13" style="1877" customWidth="1"/>
    <col min="10750" max="10750" width="2.140625" style="1877" customWidth="1"/>
    <col min="10751" max="10751" width="11" style="1877" customWidth="1"/>
    <col min="10752" max="10752" width="3.140625" style="1877" customWidth="1"/>
    <col min="10753" max="10753" width="14.5703125" style="1877" customWidth="1"/>
    <col min="10754" max="10754" width="2" style="1877" customWidth="1"/>
    <col min="10755" max="10755" width="13.42578125" style="1877" customWidth="1"/>
    <col min="10756" max="10756" width="12.42578125" style="1877" customWidth="1"/>
    <col min="10757" max="10757" width="14.85546875" style="1877" customWidth="1"/>
    <col min="10758" max="10758" width="15" style="1877" customWidth="1"/>
    <col min="10759" max="10760" width="20.42578125" style="1877" bestFit="1" customWidth="1"/>
    <col min="10761" max="10761" width="13.42578125" style="1877" customWidth="1"/>
    <col min="10762" max="10762" width="12.42578125" style="1877" customWidth="1"/>
    <col min="10763" max="10991" width="16.7109375" style="1877"/>
    <col min="10992" max="10992" width="6.5703125" style="1877" customWidth="1"/>
    <col min="10993" max="10993" width="41.85546875" style="1877" customWidth="1"/>
    <col min="10994" max="10994" width="11" style="1877" customWidth="1"/>
    <col min="10995" max="10995" width="1.85546875" style="1877" customWidth="1"/>
    <col min="10996" max="10996" width="11" style="1877" customWidth="1"/>
    <col min="10997" max="10997" width="2.5703125" style="1877" customWidth="1"/>
    <col min="10998" max="10998" width="12.85546875" style="1877" customWidth="1"/>
    <col min="10999" max="10999" width="2.42578125" style="1877" customWidth="1"/>
    <col min="11000" max="11000" width="12.140625" style="1877" customWidth="1"/>
    <col min="11001" max="11001" width="3.85546875" style="1877" customWidth="1"/>
    <col min="11002" max="11002" width="13.140625" style="1877" bestFit="1" customWidth="1"/>
    <col min="11003" max="11003" width="15.42578125" style="1877" customWidth="1"/>
    <col min="11004" max="11004" width="13.140625" style="1877" customWidth="1"/>
    <col min="11005" max="11005" width="13" style="1877" customWidth="1"/>
    <col min="11006" max="11006" width="2.140625" style="1877" customWidth="1"/>
    <col min="11007" max="11007" width="11" style="1877" customWidth="1"/>
    <col min="11008" max="11008" width="3.140625" style="1877" customWidth="1"/>
    <col min="11009" max="11009" width="14.5703125" style="1877" customWidth="1"/>
    <col min="11010" max="11010" width="2" style="1877" customWidth="1"/>
    <col min="11011" max="11011" width="13.42578125" style="1877" customWidth="1"/>
    <col min="11012" max="11012" width="12.42578125" style="1877" customWidth="1"/>
    <col min="11013" max="11013" width="14.85546875" style="1877" customWidth="1"/>
    <col min="11014" max="11014" width="15" style="1877" customWidth="1"/>
    <col min="11015" max="11016" width="20.42578125" style="1877" bestFit="1" customWidth="1"/>
    <col min="11017" max="11017" width="13.42578125" style="1877" customWidth="1"/>
    <col min="11018" max="11018" width="12.42578125" style="1877" customWidth="1"/>
    <col min="11019" max="11247" width="16.7109375" style="1877"/>
    <col min="11248" max="11248" width="6.5703125" style="1877" customWidth="1"/>
    <col min="11249" max="11249" width="41.85546875" style="1877" customWidth="1"/>
    <col min="11250" max="11250" width="11" style="1877" customWidth="1"/>
    <col min="11251" max="11251" width="1.85546875" style="1877" customWidth="1"/>
    <col min="11252" max="11252" width="11" style="1877" customWidth="1"/>
    <col min="11253" max="11253" width="2.5703125" style="1877" customWidth="1"/>
    <col min="11254" max="11254" width="12.85546875" style="1877" customWidth="1"/>
    <col min="11255" max="11255" width="2.42578125" style="1877" customWidth="1"/>
    <col min="11256" max="11256" width="12.140625" style="1877" customWidth="1"/>
    <col min="11257" max="11257" width="3.85546875" style="1877" customWidth="1"/>
    <col min="11258" max="11258" width="13.140625" style="1877" bestFit="1" customWidth="1"/>
    <col min="11259" max="11259" width="15.42578125" style="1877" customWidth="1"/>
    <col min="11260" max="11260" width="13.140625" style="1877" customWidth="1"/>
    <col min="11261" max="11261" width="13" style="1877" customWidth="1"/>
    <col min="11262" max="11262" width="2.140625" style="1877" customWidth="1"/>
    <col min="11263" max="11263" width="11" style="1877" customWidth="1"/>
    <col min="11264" max="11264" width="3.140625" style="1877" customWidth="1"/>
    <col min="11265" max="11265" width="14.5703125" style="1877" customWidth="1"/>
    <col min="11266" max="11266" width="2" style="1877" customWidth="1"/>
    <col min="11267" max="11267" width="13.42578125" style="1877" customWidth="1"/>
    <col min="11268" max="11268" width="12.42578125" style="1877" customWidth="1"/>
    <col min="11269" max="11269" width="14.85546875" style="1877" customWidth="1"/>
    <col min="11270" max="11270" width="15" style="1877" customWidth="1"/>
    <col min="11271" max="11272" width="20.42578125" style="1877" bestFit="1" customWidth="1"/>
    <col min="11273" max="11273" width="13.42578125" style="1877" customWidth="1"/>
    <col min="11274" max="11274" width="12.42578125" style="1877" customWidth="1"/>
    <col min="11275" max="11503" width="16.7109375" style="1877"/>
    <col min="11504" max="11504" width="6.5703125" style="1877" customWidth="1"/>
    <col min="11505" max="11505" width="41.85546875" style="1877" customWidth="1"/>
    <col min="11506" max="11506" width="11" style="1877" customWidth="1"/>
    <col min="11507" max="11507" width="1.85546875" style="1877" customWidth="1"/>
    <col min="11508" max="11508" width="11" style="1877" customWidth="1"/>
    <col min="11509" max="11509" width="2.5703125" style="1877" customWidth="1"/>
    <col min="11510" max="11510" width="12.85546875" style="1877" customWidth="1"/>
    <col min="11511" max="11511" width="2.42578125" style="1877" customWidth="1"/>
    <col min="11512" max="11512" width="12.140625" style="1877" customWidth="1"/>
    <col min="11513" max="11513" width="3.85546875" style="1877" customWidth="1"/>
    <col min="11514" max="11514" width="13.140625" style="1877" bestFit="1" customWidth="1"/>
    <col min="11515" max="11515" width="15.42578125" style="1877" customWidth="1"/>
    <col min="11516" max="11516" width="13.140625" style="1877" customWidth="1"/>
    <col min="11517" max="11517" width="13" style="1877" customWidth="1"/>
    <col min="11518" max="11518" width="2.140625" style="1877" customWidth="1"/>
    <col min="11519" max="11519" width="11" style="1877" customWidth="1"/>
    <col min="11520" max="11520" width="3.140625" style="1877" customWidth="1"/>
    <col min="11521" max="11521" width="14.5703125" style="1877" customWidth="1"/>
    <col min="11522" max="11522" width="2" style="1877" customWidth="1"/>
    <col min="11523" max="11523" width="13.42578125" style="1877" customWidth="1"/>
    <col min="11524" max="11524" width="12.42578125" style="1877" customWidth="1"/>
    <col min="11525" max="11525" width="14.85546875" style="1877" customWidth="1"/>
    <col min="11526" max="11526" width="15" style="1877" customWidth="1"/>
    <col min="11527" max="11528" width="20.42578125" style="1877" bestFit="1" customWidth="1"/>
    <col min="11529" max="11529" width="13.42578125" style="1877" customWidth="1"/>
    <col min="11530" max="11530" width="12.42578125" style="1877" customWidth="1"/>
    <col min="11531" max="11759" width="16.7109375" style="1877"/>
    <col min="11760" max="11760" width="6.5703125" style="1877" customWidth="1"/>
    <col min="11761" max="11761" width="41.85546875" style="1877" customWidth="1"/>
    <col min="11762" max="11762" width="11" style="1877" customWidth="1"/>
    <col min="11763" max="11763" width="1.85546875" style="1877" customWidth="1"/>
    <col min="11764" max="11764" width="11" style="1877" customWidth="1"/>
    <col min="11765" max="11765" width="2.5703125" style="1877" customWidth="1"/>
    <col min="11766" max="11766" width="12.85546875" style="1877" customWidth="1"/>
    <col min="11767" max="11767" width="2.42578125" style="1877" customWidth="1"/>
    <col min="11768" max="11768" width="12.140625" style="1877" customWidth="1"/>
    <col min="11769" max="11769" width="3.85546875" style="1877" customWidth="1"/>
    <col min="11770" max="11770" width="13.140625" style="1877" bestFit="1" customWidth="1"/>
    <col min="11771" max="11771" width="15.42578125" style="1877" customWidth="1"/>
    <col min="11772" max="11772" width="13.140625" style="1877" customWidth="1"/>
    <col min="11773" max="11773" width="13" style="1877" customWidth="1"/>
    <col min="11774" max="11774" width="2.140625" style="1877" customWidth="1"/>
    <col min="11775" max="11775" width="11" style="1877" customWidth="1"/>
    <col min="11776" max="11776" width="3.140625" style="1877" customWidth="1"/>
    <col min="11777" max="11777" width="14.5703125" style="1877" customWidth="1"/>
    <col min="11778" max="11778" width="2" style="1877" customWidth="1"/>
    <col min="11779" max="11779" width="13.42578125" style="1877" customWidth="1"/>
    <col min="11780" max="11780" width="12.42578125" style="1877" customWidth="1"/>
    <col min="11781" max="11781" width="14.85546875" style="1877" customWidth="1"/>
    <col min="11782" max="11782" width="15" style="1877" customWidth="1"/>
    <col min="11783" max="11784" width="20.42578125" style="1877" bestFit="1" customWidth="1"/>
    <col min="11785" max="11785" width="13.42578125" style="1877" customWidth="1"/>
    <col min="11786" max="11786" width="12.42578125" style="1877" customWidth="1"/>
    <col min="11787" max="12015" width="16.7109375" style="1877"/>
    <col min="12016" max="12016" width="6.5703125" style="1877" customWidth="1"/>
    <col min="12017" max="12017" width="41.85546875" style="1877" customWidth="1"/>
    <col min="12018" max="12018" width="11" style="1877" customWidth="1"/>
    <col min="12019" max="12019" width="1.85546875" style="1877" customWidth="1"/>
    <col min="12020" max="12020" width="11" style="1877" customWidth="1"/>
    <col min="12021" max="12021" width="2.5703125" style="1877" customWidth="1"/>
    <col min="12022" max="12022" width="12.85546875" style="1877" customWidth="1"/>
    <col min="12023" max="12023" width="2.42578125" style="1877" customWidth="1"/>
    <col min="12024" max="12024" width="12.140625" style="1877" customWidth="1"/>
    <col min="12025" max="12025" width="3.85546875" style="1877" customWidth="1"/>
    <col min="12026" max="12026" width="13.140625" style="1877" bestFit="1" customWidth="1"/>
    <col min="12027" max="12027" width="15.42578125" style="1877" customWidth="1"/>
    <col min="12028" max="12028" width="13.140625" style="1877" customWidth="1"/>
    <col min="12029" max="12029" width="13" style="1877" customWidth="1"/>
    <col min="12030" max="12030" width="2.140625" style="1877" customWidth="1"/>
    <col min="12031" max="12031" width="11" style="1877" customWidth="1"/>
    <col min="12032" max="12032" width="3.140625" style="1877" customWidth="1"/>
    <col min="12033" max="12033" width="14.5703125" style="1877" customWidth="1"/>
    <col min="12034" max="12034" width="2" style="1877" customWidth="1"/>
    <col min="12035" max="12035" width="13.42578125" style="1877" customWidth="1"/>
    <col min="12036" max="12036" width="12.42578125" style="1877" customWidth="1"/>
    <col min="12037" max="12037" width="14.85546875" style="1877" customWidth="1"/>
    <col min="12038" max="12038" width="15" style="1877" customWidth="1"/>
    <col min="12039" max="12040" width="20.42578125" style="1877" bestFit="1" customWidth="1"/>
    <col min="12041" max="12041" width="13.42578125" style="1877" customWidth="1"/>
    <col min="12042" max="12042" width="12.42578125" style="1877" customWidth="1"/>
    <col min="12043" max="12271" width="16.7109375" style="1877"/>
    <col min="12272" max="12272" width="6.5703125" style="1877" customWidth="1"/>
    <col min="12273" max="12273" width="41.85546875" style="1877" customWidth="1"/>
    <col min="12274" max="12274" width="11" style="1877" customWidth="1"/>
    <col min="12275" max="12275" width="1.85546875" style="1877" customWidth="1"/>
    <col min="12276" max="12276" width="11" style="1877" customWidth="1"/>
    <col min="12277" max="12277" width="2.5703125" style="1877" customWidth="1"/>
    <col min="12278" max="12278" width="12.85546875" style="1877" customWidth="1"/>
    <col min="12279" max="12279" width="2.42578125" style="1877" customWidth="1"/>
    <col min="12280" max="12280" width="12.140625" style="1877" customWidth="1"/>
    <col min="12281" max="12281" width="3.85546875" style="1877" customWidth="1"/>
    <col min="12282" max="12282" width="13.140625" style="1877" bestFit="1" customWidth="1"/>
    <col min="12283" max="12283" width="15.42578125" style="1877" customWidth="1"/>
    <col min="12284" max="12284" width="13.140625" style="1877" customWidth="1"/>
    <col min="12285" max="12285" width="13" style="1877" customWidth="1"/>
    <col min="12286" max="12286" width="2.140625" style="1877" customWidth="1"/>
    <col min="12287" max="12287" width="11" style="1877" customWidth="1"/>
    <col min="12288" max="12288" width="3.140625" style="1877" customWidth="1"/>
    <col min="12289" max="12289" width="14.5703125" style="1877" customWidth="1"/>
    <col min="12290" max="12290" width="2" style="1877" customWidth="1"/>
    <col min="12291" max="12291" width="13.42578125" style="1877" customWidth="1"/>
    <col min="12292" max="12292" width="12.42578125" style="1877" customWidth="1"/>
    <col min="12293" max="12293" width="14.85546875" style="1877" customWidth="1"/>
    <col min="12294" max="12294" width="15" style="1877" customWidth="1"/>
    <col min="12295" max="12296" width="20.42578125" style="1877" bestFit="1" customWidth="1"/>
    <col min="12297" max="12297" width="13.42578125" style="1877" customWidth="1"/>
    <col min="12298" max="12298" width="12.42578125" style="1877" customWidth="1"/>
    <col min="12299" max="12527" width="16.7109375" style="1877"/>
    <col min="12528" max="12528" width="6.5703125" style="1877" customWidth="1"/>
    <col min="12529" max="12529" width="41.85546875" style="1877" customWidth="1"/>
    <col min="12530" max="12530" width="11" style="1877" customWidth="1"/>
    <col min="12531" max="12531" width="1.85546875" style="1877" customWidth="1"/>
    <col min="12532" max="12532" width="11" style="1877" customWidth="1"/>
    <col min="12533" max="12533" width="2.5703125" style="1877" customWidth="1"/>
    <col min="12534" max="12534" width="12.85546875" style="1877" customWidth="1"/>
    <col min="12535" max="12535" width="2.42578125" style="1877" customWidth="1"/>
    <col min="12536" max="12536" width="12.140625" style="1877" customWidth="1"/>
    <col min="12537" max="12537" width="3.85546875" style="1877" customWidth="1"/>
    <col min="12538" max="12538" width="13.140625" style="1877" bestFit="1" customWidth="1"/>
    <col min="12539" max="12539" width="15.42578125" style="1877" customWidth="1"/>
    <col min="12540" max="12540" width="13.140625" style="1877" customWidth="1"/>
    <col min="12541" max="12541" width="13" style="1877" customWidth="1"/>
    <col min="12542" max="12542" width="2.140625" style="1877" customWidth="1"/>
    <col min="12543" max="12543" width="11" style="1877" customWidth="1"/>
    <col min="12544" max="12544" width="3.140625" style="1877" customWidth="1"/>
    <col min="12545" max="12545" width="14.5703125" style="1877" customWidth="1"/>
    <col min="12546" max="12546" width="2" style="1877" customWidth="1"/>
    <col min="12547" max="12547" width="13.42578125" style="1877" customWidth="1"/>
    <col min="12548" max="12548" width="12.42578125" style="1877" customWidth="1"/>
    <col min="12549" max="12549" width="14.85546875" style="1877" customWidth="1"/>
    <col min="12550" max="12550" width="15" style="1877" customWidth="1"/>
    <col min="12551" max="12552" width="20.42578125" style="1877" bestFit="1" customWidth="1"/>
    <col min="12553" max="12553" width="13.42578125" style="1877" customWidth="1"/>
    <col min="12554" max="12554" width="12.42578125" style="1877" customWidth="1"/>
    <col min="12555" max="12783" width="16.7109375" style="1877"/>
    <col min="12784" max="12784" width="6.5703125" style="1877" customWidth="1"/>
    <col min="12785" max="12785" width="41.85546875" style="1877" customWidth="1"/>
    <col min="12786" max="12786" width="11" style="1877" customWidth="1"/>
    <col min="12787" max="12787" width="1.85546875" style="1877" customWidth="1"/>
    <col min="12788" max="12788" width="11" style="1877" customWidth="1"/>
    <col min="12789" max="12789" width="2.5703125" style="1877" customWidth="1"/>
    <col min="12790" max="12790" width="12.85546875" style="1877" customWidth="1"/>
    <col min="12791" max="12791" width="2.42578125" style="1877" customWidth="1"/>
    <col min="12792" max="12792" width="12.140625" style="1877" customWidth="1"/>
    <col min="12793" max="12793" width="3.85546875" style="1877" customWidth="1"/>
    <col min="12794" max="12794" width="13.140625" style="1877" bestFit="1" customWidth="1"/>
    <col min="12795" max="12795" width="15.42578125" style="1877" customWidth="1"/>
    <col min="12796" max="12796" width="13.140625" style="1877" customWidth="1"/>
    <col min="12797" max="12797" width="13" style="1877" customWidth="1"/>
    <col min="12798" max="12798" width="2.140625" style="1877" customWidth="1"/>
    <col min="12799" max="12799" width="11" style="1877" customWidth="1"/>
    <col min="12800" max="12800" width="3.140625" style="1877" customWidth="1"/>
    <col min="12801" max="12801" width="14.5703125" style="1877" customWidth="1"/>
    <col min="12802" max="12802" width="2" style="1877" customWidth="1"/>
    <col min="12803" max="12803" width="13.42578125" style="1877" customWidth="1"/>
    <col min="12804" max="12804" width="12.42578125" style="1877" customWidth="1"/>
    <col min="12805" max="12805" width="14.85546875" style="1877" customWidth="1"/>
    <col min="12806" max="12806" width="15" style="1877" customWidth="1"/>
    <col min="12807" max="12808" width="20.42578125" style="1877" bestFit="1" customWidth="1"/>
    <col min="12809" max="12809" width="13.42578125" style="1877" customWidth="1"/>
    <col min="12810" max="12810" width="12.42578125" style="1877" customWidth="1"/>
    <col min="12811" max="13039" width="16.7109375" style="1877"/>
    <col min="13040" max="13040" width="6.5703125" style="1877" customWidth="1"/>
    <col min="13041" max="13041" width="41.85546875" style="1877" customWidth="1"/>
    <col min="13042" max="13042" width="11" style="1877" customWidth="1"/>
    <col min="13043" max="13043" width="1.85546875" style="1877" customWidth="1"/>
    <col min="13044" max="13044" width="11" style="1877" customWidth="1"/>
    <col min="13045" max="13045" width="2.5703125" style="1877" customWidth="1"/>
    <col min="13046" max="13046" width="12.85546875" style="1877" customWidth="1"/>
    <col min="13047" max="13047" width="2.42578125" style="1877" customWidth="1"/>
    <col min="13048" max="13048" width="12.140625" style="1877" customWidth="1"/>
    <col min="13049" max="13049" width="3.85546875" style="1877" customWidth="1"/>
    <col min="13050" max="13050" width="13.140625" style="1877" bestFit="1" customWidth="1"/>
    <col min="13051" max="13051" width="15.42578125" style="1877" customWidth="1"/>
    <col min="13052" max="13052" width="13.140625" style="1877" customWidth="1"/>
    <col min="13053" max="13053" width="13" style="1877" customWidth="1"/>
    <col min="13054" max="13054" width="2.140625" style="1877" customWidth="1"/>
    <col min="13055" max="13055" width="11" style="1877" customWidth="1"/>
    <col min="13056" max="13056" width="3.140625" style="1877" customWidth="1"/>
    <col min="13057" max="13057" width="14.5703125" style="1877" customWidth="1"/>
    <col min="13058" max="13058" width="2" style="1877" customWidth="1"/>
    <col min="13059" max="13059" width="13.42578125" style="1877" customWidth="1"/>
    <col min="13060" max="13060" width="12.42578125" style="1877" customWidth="1"/>
    <col min="13061" max="13061" width="14.85546875" style="1877" customWidth="1"/>
    <col min="13062" max="13062" width="15" style="1877" customWidth="1"/>
    <col min="13063" max="13064" width="20.42578125" style="1877" bestFit="1" customWidth="1"/>
    <col min="13065" max="13065" width="13.42578125" style="1877" customWidth="1"/>
    <col min="13066" max="13066" width="12.42578125" style="1877" customWidth="1"/>
    <col min="13067" max="13295" width="16.7109375" style="1877"/>
    <col min="13296" max="13296" width="6.5703125" style="1877" customWidth="1"/>
    <col min="13297" max="13297" width="41.85546875" style="1877" customWidth="1"/>
    <col min="13298" max="13298" width="11" style="1877" customWidth="1"/>
    <col min="13299" max="13299" width="1.85546875" style="1877" customWidth="1"/>
    <col min="13300" max="13300" width="11" style="1877" customWidth="1"/>
    <col min="13301" max="13301" width="2.5703125" style="1877" customWidth="1"/>
    <col min="13302" max="13302" width="12.85546875" style="1877" customWidth="1"/>
    <col min="13303" max="13303" width="2.42578125" style="1877" customWidth="1"/>
    <col min="13304" max="13304" width="12.140625" style="1877" customWidth="1"/>
    <col min="13305" max="13305" width="3.85546875" style="1877" customWidth="1"/>
    <col min="13306" max="13306" width="13.140625" style="1877" bestFit="1" customWidth="1"/>
    <col min="13307" max="13307" width="15.42578125" style="1877" customWidth="1"/>
    <col min="13308" max="13308" width="13.140625" style="1877" customWidth="1"/>
    <col min="13309" max="13309" width="13" style="1877" customWidth="1"/>
    <col min="13310" max="13310" width="2.140625" style="1877" customWidth="1"/>
    <col min="13311" max="13311" width="11" style="1877" customWidth="1"/>
    <col min="13312" max="13312" width="3.140625" style="1877" customWidth="1"/>
    <col min="13313" max="13313" width="14.5703125" style="1877" customWidth="1"/>
    <col min="13314" max="13314" width="2" style="1877" customWidth="1"/>
    <col min="13315" max="13315" width="13.42578125" style="1877" customWidth="1"/>
    <col min="13316" max="13316" width="12.42578125" style="1877" customWidth="1"/>
    <col min="13317" max="13317" width="14.85546875" style="1877" customWidth="1"/>
    <col min="13318" max="13318" width="15" style="1877" customWidth="1"/>
    <col min="13319" max="13320" width="20.42578125" style="1877" bestFit="1" customWidth="1"/>
    <col min="13321" max="13321" width="13.42578125" style="1877" customWidth="1"/>
    <col min="13322" max="13322" width="12.42578125" style="1877" customWidth="1"/>
    <col min="13323" max="13551" width="16.7109375" style="1877"/>
    <col min="13552" max="13552" width="6.5703125" style="1877" customWidth="1"/>
    <col min="13553" max="13553" width="41.85546875" style="1877" customWidth="1"/>
    <col min="13554" max="13554" width="11" style="1877" customWidth="1"/>
    <col min="13555" max="13555" width="1.85546875" style="1877" customWidth="1"/>
    <col min="13556" max="13556" width="11" style="1877" customWidth="1"/>
    <col min="13557" max="13557" width="2.5703125" style="1877" customWidth="1"/>
    <col min="13558" max="13558" width="12.85546875" style="1877" customWidth="1"/>
    <col min="13559" max="13559" width="2.42578125" style="1877" customWidth="1"/>
    <col min="13560" max="13560" width="12.140625" style="1877" customWidth="1"/>
    <col min="13561" max="13561" width="3.85546875" style="1877" customWidth="1"/>
    <col min="13562" max="13562" width="13.140625" style="1877" bestFit="1" customWidth="1"/>
    <col min="13563" max="13563" width="15.42578125" style="1877" customWidth="1"/>
    <col min="13564" max="13564" width="13.140625" style="1877" customWidth="1"/>
    <col min="13565" max="13565" width="13" style="1877" customWidth="1"/>
    <col min="13566" max="13566" width="2.140625" style="1877" customWidth="1"/>
    <col min="13567" max="13567" width="11" style="1877" customWidth="1"/>
    <col min="13568" max="13568" width="3.140625" style="1877" customWidth="1"/>
    <col min="13569" max="13569" width="14.5703125" style="1877" customWidth="1"/>
    <col min="13570" max="13570" width="2" style="1877" customWidth="1"/>
    <col min="13571" max="13571" width="13.42578125" style="1877" customWidth="1"/>
    <col min="13572" max="13572" width="12.42578125" style="1877" customWidth="1"/>
    <col min="13573" max="13573" width="14.85546875" style="1877" customWidth="1"/>
    <col min="13574" max="13574" width="15" style="1877" customWidth="1"/>
    <col min="13575" max="13576" width="20.42578125" style="1877" bestFit="1" customWidth="1"/>
    <col min="13577" max="13577" width="13.42578125" style="1877" customWidth="1"/>
    <col min="13578" max="13578" width="12.42578125" style="1877" customWidth="1"/>
    <col min="13579" max="13807" width="16.7109375" style="1877"/>
    <col min="13808" max="13808" width="6.5703125" style="1877" customWidth="1"/>
    <col min="13809" max="13809" width="41.85546875" style="1877" customWidth="1"/>
    <col min="13810" max="13810" width="11" style="1877" customWidth="1"/>
    <col min="13811" max="13811" width="1.85546875" style="1877" customWidth="1"/>
    <col min="13812" max="13812" width="11" style="1877" customWidth="1"/>
    <col min="13813" max="13813" width="2.5703125" style="1877" customWidth="1"/>
    <col min="13814" max="13814" width="12.85546875" style="1877" customWidth="1"/>
    <col min="13815" max="13815" width="2.42578125" style="1877" customWidth="1"/>
    <col min="13816" max="13816" width="12.140625" style="1877" customWidth="1"/>
    <col min="13817" max="13817" width="3.85546875" style="1877" customWidth="1"/>
    <col min="13818" max="13818" width="13.140625" style="1877" bestFit="1" customWidth="1"/>
    <col min="13819" max="13819" width="15.42578125" style="1877" customWidth="1"/>
    <col min="13820" max="13820" width="13.140625" style="1877" customWidth="1"/>
    <col min="13821" max="13821" width="13" style="1877" customWidth="1"/>
    <col min="13822" max="13822" width="2.140625" style="1877" customWidth="1"/>
    <col min="13823" max="13823" width="11" style="1877" customWidth="1"/>
    <col min="13824" max="13824" width="3.140625" style="1877" customWidth="1"/>
    <col min="13825" max="13825" width="14.5703125" style="1877" customWidth="1"/>
    <col min="13826" max="13826" width="2" style="1877" customWidth="1"/>
    <col min="13827" max="13827" width="13.42578125" style="1877" customWidth="1"/>
    <col min="13828" max="13828" width="12.42578125" style="1877" customWidth="1"/>
    <col min="13829" max="13829" width="14.85546875" style="1877" customWidth="1"/>
    <col min="13830" max="13830" width="15" style="1877" customWidth="1"/>
    <col min="13831" max="13832" width="20.42578125" style="1877" bestFit="1" customWidth="1"/>
    <col min="13833" max="13833" width="13.42578125" style="1877" customWidth="1"/>
    <col min="13834" max="13834" width="12.42578125" style="1877" customWidth="1"/>
    <col min="13835" max="14063" width="16.7109375" style="1877"/>
    <col min="14064" max="14064" width="6.5703125" style="1877" customWidth="1"/>
    <col min="14065" max="14065" width="41.85546875" style="1877" customWidth="1"/>
    <col min="14066" max="14066" width="11" style="1877" customWidth="1"/>
    <col min="14067" max="14067" width="1.85546875" style="1877" customWidth="1"/>
    <col min="14068" max="14068" width="11" style="1877" customWidth="1"/>
    <col min="14069" max="14069" width="2.5703125" style="1877" customWidth="1"/>
    <col min="14070" max="14070" width="12.85546875" style="1877" customWidth="1"/>
    <col min="14071" max="14071" width="2.42578125" style="1877" customWidth="1"/>
    <col min="14072" max="14072" width="12.140625" style="1877" customWidth="1"/>
    <col min="14073" max="14073" width="3.85546875" style="1877" customWidth="1"/>
    <col min="14074" max="14074" width="13.140625" style="1877" bestFit="1" customWidth="1"/>
    <col min="14075" max="14075" width="15.42578125" style="1877" customWidth="1"/>
    <col min="14076" max="14076" width="13.140625" style="1877" customWidth="1"/>
    <col min="14077" max="14077" width="13" style="1877" customWidth="1"/>
    <col min="14078" max="14078" width="2.140625" style="1877" customWidth="1"/>
    <col min="14079" max="14079" width="11" style="1877" customWidth="1"/>
    <col min="14080" max="14080" width="3.140625" style="1877" customWidth="1"/>
    <col min="14081" max="14081" width="14.5703125" style="1877" customWidth="1"/>
    <col min="14082" max="14082" width="2" style="1877" customWidth="1"/>
    <col min="14083" max="14083" width="13.42578125" style="1877" customWidth="1"/>
    <col min="14084" max="14084" width="12.42578125" style="1877" customWidth="1"/>
    <col min="14085" max="14085" width="14.85546875" style="1877" customWidth="1"/>
    <col min="14086" max="14086" width="15" style="1877" customWidth="1"/>
    <col min="14087" max="14088" width="20.42578125" style="1877" bestFit="1" customWidth="1"/>
    <col min="14089" max="14089" width="13.42578125" style="1877" customWidth="1"/>
    <col min="14090" max="14090" width="12.42578125" style="1877" customWidth="1"/>
    <col min="14091" max="14319" width="16.7109375" style="1877"/>
    <col min="14320" max="14320" width="6.5703125" style="1877" customWidth="1"/>
    <col min="14321" max="14321" width="41.85546875" style="1877" customWidth="1"/>
    <col min="14322" max="14322" width="11" style="1877" customWidth="1"/>
    <col min="14323" max="14323" width="1.85546875" style="1877" customWidth="1"/>
    <col min="14324" max="14324" width="11" style="1877" customWidth="1"/>
    <col min="14325" max="14325" width="2.5703125" style="1877" customWidth="1"/>
    <col min="14326" max="14326" width="12.85546875" style="1877" customWidth="1"/>
    <col min="14327" max="14327" width="2.42578125" style="1877" customWidth="1"/>
    <col min="14328" max="14328" width="12.140625" style="1877" customWidth="1"/>
    <col min="14329" max="14329" width="3.85546875" style="1877" customWidth="1"/>
    <col min="14330" max="14330" width="13.140625" style="1877" bestFit="1" customWidth="1"/>
    <col min="14331" max="14331" width="15.42578125" style="1877" customWidth="1"/>
    <col min="14332" max="14332" width="13.140625" style="1877" customWidth="1"/>
    <col min="14333" max="14333" width="13" style="1877" customWidth="1"/>
    <col min="14334" max="14334" width="2.140625" style="1877" customWidth="1"/>
    <col min="14335" max="14335" width="11" style="1877" customWidth="1"/>
    <col min="14336" max="14336" width="3.140625" style="1877" customWidth="1"/>
    <col min="14337" max="14337" width="14.5703125" style="1877" customWidth="1"/>
    <col min="14338" max="14338" width="2" style="1877" customWidth="1"/>
    <col min="14339" max="14339" width="13.42578125" style="1877" customWidth="1"/>
    <col min="14340" max="14340" width="12.42578125" style="1877" customWidth="1"/>
    <col min="14341" max="14341" width="14.85546875" style="1877" customWidth="1"/>
    <col min="14342" max="14342" width="15" style="1877" customWidth="1"/>
    <col min="14343" max="14344" width="20.42578125" style="1877" bestFit="1" customWidth="1"/>
    <col min="14345" max="14345" width="13.42578125" style="1877" customWidth="1"/>
    <col min="14346" max="14346" width="12.42578125" style="1877" customWidth="1"/>
    <col min="14347" max="14575" width="16.7109375" style="1877"/>
    <col min="14576" max="14576" width="6.5703125" style="1877" customWidth="1"/>
    <col min="14577" max="14577" width="41.85546875" style="1877" customWidth="1"/>
    <col min="14578" max="14578" width="11" style="1877" customWidth="1"/>
    <col min="14579" max="14579" width="1.85546875" style="1877" customWidth="1"/>
    <col min="14580" max="14580" width="11" style="1877" customWidth="1"/>
    <col min="14581" max="14581" width="2.5703125" style="1877" customWidth="1"/>
    <col min="14582" max="14582" width="12.85546875" style="1877" customWidth="1"/>
    <col min="14583" max="14583" width="2.42578125" style="1877" customWidth="1"/>
    <col min="14584" max="14584" width="12.140625" style="1877" customWidth="1"/>
    <col min="14585" max="14585" width="3.85546875" style="1877" customWidth="1"/>
    <col min="14586" max="14586" width="13.140625" style="1877" bestFit="1" customWidth="1"/>
    <col min="14587" max="14587" width="15.42578125" style="1877" customWidth="1"/>
    <col min="14588" max="14588" width="13.140625" style="1877" customWidth="1"/>
    <col min="14589" max="14589" width="13" style="1877" customWidth="1"/>
    <col min="14590" max="14590" width="2.140625" style="1877" customWidth="1"/>
    <col min="14591" max="14591" width="11" style="1877" customWidth="1"/>
    <col min="14592" max="14592" width="3.140625" style="1877" customWidth="1"/>
    <col min="14593" max="14593" width="14.5703125" style="1877" customWidth="1"/>
    <col min="14594" max="14594" width="2" style="1877" customWidth="1"/>
    <col min="14595" max="14595" width="13.42578125" style="1877" customWidth="1"/>
    <col min="14596" max="14596" width="12.42578125" style="1877" customWidth="1"/>
    <col min="14597" max="14597" width="14.85546875" style="1877" customWidth="1"/>
    <col min="14598" max="14598" width="15" style="1877" customWidth="1"/>
    <col min="14599" max="14600" width="20.42578125" style="1877" bestFit="1" customWidth="1"/>
    <col min="14601" max="14601" width="13.42578125" style="1877" customWidth="1"/>
    <col min="14602" max="14602" width="12.42578125" style="1877" customWidth="1"/>
    <col min="14603" max="14831" width="16.7109375" style="1877"/>
    <col min="14832" max="14832" width="6.5703125" style="1877" customWidth="1"/>
    <col min="14833" max="14833" width="41.85546875" style="1877" customWidth="1"/>
    <col min="14834" max="14834" width="11" style="1877" customWidth="1"/>
    <col min="14835" max="14835" width="1.85546875" style="1877" customWidth="1"/>
    <col min="14836" max="14836" width="11" style="1877" customWidth="1"/>
    <col min="14837" max="14837" width="2.5703125" style="1877" customWidth="1"/>
    <col min="14838" max="14838" width="12.85546875" style="1877" customWidth="1"/>
    <col min="14839" max="14839" width="2.42578125" style="1877" customWidth="1"/>
    <col min="14840" max="14840" width="12.140625" style="1877" customWidth="1"/>
    <col min="14841" max="14841" width="3.85546875" style="1877" customWidth="1"/>
    <col min="14842" max="14842" width="13.140625" style="1877" bestFit="1" customWidth="1"/>
    <col min="14843" max="14843" width="15.42578125" style="1877" customWidth="1"/>
    <col min="14844" max="14844" width="13.140625" style="1877" customWidth="1"/>
    <col min="14845" max="14845" width="13" style="1877" customWidth="1"/>
    <col min="14846" max="14846" width="2.140625" style="1877" customWidth="1"/>
    <col min="14847" max="14847" width="11" style="1877" customWidth="1"/>
    <col min="14848" max="14848" width="3.140625" style="1877" customWidth="1"/>
    <col min="14849" max="14849" width="14.5703125" style="1877" customWidth="1"/>
    <col min="14850" max="14850" width="2" style="1877" customWidth="1"/>
    <col min="14851" max="14851" width="13.42578125" style="1877" customWidth="1"/>
    <col min="14852" max="14852" width="12.42578125" style="1877" customWidth="1"/>
    <col min="14853" max="14853" width="14.85546875" style="1877" customWidth="1"/>
    <col min="14854" max="14854" width="15" style="1877" customWidth="1"/>
    <col min="14855" max="14856" width="20.42578125" style="1877" bestFit="1" customWidth="1"/>
    <col min="14857" max="14857" width="13.42578125" style="1877" customWidth="1"/>
    <col min="14858" max="14858" width="12.42578125" style="1877" customWidth="1"/>
    <col min="14859" max="15087" width="16.7109375" style="1877"/>
    <col min="15088" max="15088" width="6.5703125" style="1877" customWidth="1"/>
    <col min="15089" max="15089" width="41.85546875" style="1877" customWidth="1"/>
    <col min="15090" max="15090" width="11" style="1877" customWidth="1"/>
    <col min="15091" max="15091" width="1.85546875" style="1877" customWidth="1"/>
    <col min="15092" max="15092" width="11" style="1877" customWidth="1"/>
    <col min="15093" max="15093" width="2.5703125" style="1877" customWidth="1"/>
    <col min="15094" max="15094" width="12.85546875" style="1877" customWidth="1"/>
    <col min="15095" max="15095" width="2.42578125" style="1877" customWidth="1"/>
    <col min="15096" max="15096" width="12.140625" style="1877" customWidth="1"/>
    <col min="15097" max="15097" width="3.85546875" style="1877" customWidth="1"/>
    <col min="15098" max="15098" width="13.140625" style="1877" bestFit="1" customWidth="1"/>
    <col min="15099" max="15099" width="15.42578125" style="1877" customWidth="1"/>
    <col min="15100" max="15100" width="13.140625" style="1877" customWidth="1"/>
    <col min="15101" max="15101" width="13" style="1877" customWidth="1"/>
    <col min="15102" max="15102" width="2.140625" style="1877" customWidth="1"/>
    <col min="15103" max="15103" width="11" style="1877" customWidth="1"/>
    <col min="15104" max="15104" width="3.140625" style="1877" customWidth="1"/>
    <col min="15105" max="15105" width="14.5703125" style="1877" customWidth="1"/>
    <col min="15106" max="15106" width="2" style="1877" customWidth="1"/>
    <col min="15107" max="15107" width="13.42578125" style="1877" customWidth="1"/>
    <col min="15108" max="15108" width="12.42578125" style="1877" customWidth="1"/>
    <col min="15109" max="15109" width="14.85546875" style="1877" customWidth="1"/>
    <col min="15110" max="15110" width="15" style="1877" customWidth="1"/>
    <col min="15111" max="15112" width="20.42578125" style="1877" bestFit="1" customWidth="1"/>
    <col min="15113" max="15113" width="13.42578125" style="1877" customWidth="1"/>
    <col min="15114" max="15114" width="12.42578125" style="1877" customWidth="1"/>
    <col min="15115" max="15343" width="16.7109375" style="1877"/>
    <col min="15344" max="15344" width="6.5703125" style="1877" customWidth="1"/>
    <col min="15345" max="15345" width="41.85546875" style="1877" customWidth="1"/>
    <col min="15346" max="15346" width="11" style="1877" customWidth="1"/>
    <col min="15347" max="15347" width="1.85546875" style="1877" customWidth="1"/>
    <col min="15348" max="15348" width="11" style="1877" customWidth="1"/>
    <col min="15349" max="15349" width="2.5703125" style="1877" customWidth="1"/>
    <col min="15350" max="15350" width="12.85546875" style="1877" customWidth="1"/>
    <col min="15351" max="15351" width="2.42578125" style="1877" customWidth="1"/>
    <col min="15352" max="15352" width="12.140625" style="1877" customWidth="1"/>
    <col min="15353" max="15353" width="3.85546875" style="1877" customWidth="1"/>
    <col min="15354" max="15354" width="13.140625" style="1877" bestFit="1" customWidth="1"/>
    <col min="15355" max="15355" width="15.42578125" style="1877" customWidth="1"/>
    <col min="15356" max="15356" width="13.140625" style="1877" customWidth="1"/>
    <col min="15357" max="15357" width="13" style="1877" customWidth="1"/>
    <col min="15358" max="15358" width="2.140625" style="1877" customWidth="1"/>
    <col min="15359" max="15359" width="11" style="1877" customWidth="1"/>
    <col min="15360" max="15360" width="3.140625" style="1877" customWidth="1"/>
    <col min="15361" max="15361" width="14.5703125" style="1877" customWidth="1"/>
    <col min="15362" max="15362" width="2" style="1877" customWidth="1"/>
    <col min="15363" max="15363" width="13.42578125" style="1877" customWidth="1"/>
    <col min="15364" max="15364" width="12.42578125" style="1877" customWidth="1"/>
    <col min="15365" max="15365" width="14.85546875" style="1877" customWidth="1"/>
    <col min="15366" max="15366" width="15" style="1877" customWidth="1"/>
    <col min="15367" max="15368" width="20.42578125" style="1877" bestFit="1" customWidth="1"/>
    <col min="15369" max="15369" width="13.42578125" style="1877" customWidth="1"/>
    <col min="15370" max="15370" width="12.42578125" style="1877" customWidth="1"/>
    <col min="15371" max="15599" width="16.7109375" style="1877"/>
    <col min="15600" max="15600" width="6.5703125" style="1877" customWidth="1"/>
    <col min="15601" max="15601" width="41.85546875" style="1877" customWidth="1"/>
    <col min="15602" max="15602" width="11" style="1877" customWidth="1"/>
    <col min="15603" max="15603" width="1.85546875" style="1877" customWidth="1"/>
    <col min="15604" max="15604" width="11" style="1877" customWidth="1"/>
    <col min="15605" max="15605" width="2.5703125" style="1877" customWidth="1"/>
    <col min="15606" max="15606" width="12.85546875" style="1877" customWidth="1"/>
    <col min="15607" max="15607" width="2.42578125" style="1877" customWidth="1"/>
    <col min="15608" max="15608" width="12.140625" style="1877" customWidth="1"/>
    <col min="15609" max="15609" width="3.85546875" style="1877" customWidth="1"/>
    <col min="15610" max="15610" width="13.140625" style="1877" bestFit="1" customWidth="1"/>
    <col min="15611" max="15611" width="15.42578125" style="1877" customWidth="1"/>
    <col min="15612" max="15612" width="13.140625" style="1877" customWidth="1"/>
    <col min="15613" max="15613" width="13" style="1877" customWidth="1"/>
    <col min="15614" max="15614" width="2.140625" style="1877" customWidth="1"/>
    <col min="15615" max="15615" width="11" style="1877" customWidth="1"/>
    <col min="15616" max="15616" width="3.140625" style="1877" customWidth="1"/>
    <col min="15617" max="15617" width="14.5703125" style="1877" customWidth="1"/>
    <col min="15618" max="15618" width="2" style="1877" customWidth="1"/>
    <col min="15619" max="15619" width="13.42578125" style="1877" customWidth="1"/>
    <col min="15620" max="15620" width="12.42578125" style="1877" customWidth="1"/>
    <col min="15621" max="15621" width="14.85546875" style="1877" customWidth="1"/>
    <col min="15622" max="15622" width="15" style="1877" customWidth="1"/>
    <col min="15623" max="15624" width="20.42578125" style="1877" bestFit="1" customWidth="1"/>
    <col min="15625" max="15625" width="13.42578125" style="1877" customWidth="1"/>
    <col min="15626" max="15626" width="12.42578125" style="1877" customWidth="1"/>
    <col min="15627" max="15855" width="16.7109375" style="1877"/>
    <col min="15856" max="15856" width="6.5703125" style="1877" customWidth="1"/>
    <col min="15857" max="15857" width="41.85546875" style="1877" customWidth="1"/>
    <col min="15858" max="15858" width="11" style="1877" customWidth="1"/>
    <col min="15859" max="15859" width="1.85546875" style="1877" customWidth="1"/>
    <col min="15860" max="15860" width="11" style="1877" customWidth="1"/>
    <col min="15861" max="15861" width="2.5703125" style="1877" customWidth="1"/>
    <col min="15862" max="15862" width="12.85546875" style="1877" customWidth="1"/>
    <col min="15863" max="15863" width="2.42578125" style="1877" customWidth="1"/>
    <col min="15864" max="15864" width="12.140625" style="1877" customWidth="1"/>
    <col min="15865" max="15865" width="3.85546875" style="1877" customWidth="1"/>
    <col min="15866" max="15866" width="13.140625" style="1877" bestFit="1" customWidth="1"/>
    <col min="15867" max="15867" width="15.42578125" style="1877" customWidth="1"/>
    <col min="15868" max="15868" width="13.140625" style="1877" customWidth="1"/>
    <col min="15869" max="15869" width="13" style="1877" customWidth="1"/>
    <col min="15870" max="15870" width="2.140625" style="1877" customWidth="1"/>
    <col min="15871" max="15871" width="11" style="1877" customWidth="1"/>
    <col min="15872" max="15872" width="3.140625" style="1877" customWidth="1"/>
    <col min="15873" max="15873" width="14.5703125" style="1877" customWidth="1"/>
    <col min="15874" max="15874" width="2" style="1877" customWidth="1"/>
    <col min="15875" max="15875" width="13.42578125" style="1877" customWidth="1"/>
    <col min="15876" max="15876" width="12.42578125" style="1877" customWidth="1"/>
    <col min="15877" max="15877" width="14.85546875" style="1877" customWidth="1"/>
    <col min="15878" max="15878" width="15" style="1877" customWidth="1"/>
    <col min="15879" max="15880" width="20.42578125" style="1877" bestFit="1" customWidth="1"/>
    <col min="15881" max="15881" width="13.42578125" style="1877" customWidth="1"/>
    <col min="15882" max="15882" width="12.42578125" style="1877" customWidth="1"/>
    <col min="15883" max="16111" width="16.7109375" style="1877"/>
    <col min="16112" max="16112" width="6.5703125" style="1877" customWidth="1"/>
    <col min="16113" max="16113" width="41.85546875" style="1877" customWidth="1"/>
    <col min="16114" max="16114" width="11" style="1877" customWidth="1"/>
    <col min="16115" max="16115" width="1.85546875" style="1877" customWidth="1"/>
    <col min="16116" max="16116" width="11" style="1877" customWidth="1"/>
    <col min="16117" max="16117" width="2.5703125" style="1877" customWidth="1"/>
    <col min="16118" max="16118" width="12.85546875" style="1877" customWidth="1"/>
    <col min="16119" max="16119" width="2.42578125" style="1877" customWidth="1"/>
    <col min="16120" max="16120" width="12.140625" style="1877" customWidth="1"/>
    <col min="16121" max="16121" width="3.85546875" style="1877" customWidth="1"/>
    <col min="16122" max="16122" width="13.140625" style="1877" bestFit="1" customWidth="1"/>
    <col min="16123" max="16123" width="15.42578125" style="1877" customWidth="1"/>
    <col min="16124" max="16124" width="13.140625" style="1877" customWidth="1"/>
    <col min="16125" max="16125" width="13" style="1877" customWidth="1"/>
    <col min="16126" max="16126" width="2.140625" style="1877" customWidth="1"/>
    <col min="16127" max="16127" width="11" style="1877" customWidth="1"/>
    <col min="16128" max="16128" width="3.140625" style="1877" customWidth="1"/>
    <col min="16129" max="16129" width="14.5703125" style="1877" customWidth="1"/>
    <col min="16130" max="16130" width="2" style="1877" customWidth="1"/>
    <col min="16131" max="16131" width="13.42578125" style="1877" customWidth="1"/>
    <col min="16132" max="16132" width="12.42578125" style="1877" customWidth="1"/>
    <col min="16133" max="16133" width="14.85546875" style="1877" customWidth="1"/>
    <col min="16134" max="16134" width="15" style="1877" customWidth="1"/>
    <col min="16135" max="16136" width="20.42578125" style="1877" bestFit="1" customWidth="1"/>
    <col min="16137" max="16137" width="13.42578125" style="1877" customWidth="1"/>
    <col min="16138" max="16138" width="12.42578125" style="1877" customWidth="1"/>
    <col min="16139" max="16384" width="16.7109375" style="1877"/>
  </cols>
  <sheetData>
    <row r="1" spans="1:20" ht="16.149999999999999" customHeight="1" x14ac:dyDescent="0.25">
      <c r="A1" s="2548" t="s">
        <v>2068</v>
      </c>
      <c r="B1" s="2548"/>
      <c r="C1" s="2548"/>
      <c r="D1" s="2548"/>
      <c r="E1" s="2548"/>
      <c r="F1" s="2548"/>
      <c r="G1" s="2548"/>
      <c r="H1" s="2548"/>
      <c r="I1" s="2548"/>
      <c r="J1" s="2548"/>
      <c r="K1" s="2548"/>
      <c r="L1" s="2548"/>
      <c r="M1" s="2548"/>
      <c r="N1" s="2548"/>
      <c r="O1" s="2548"/>
      <c r="P1" s="2548"/>
      <c r="Q1" s="2548"/>
      <c r="R1" s="2548"/>
      <c r="S1" s="2548"/>
      <c r="T1" s="2548"/>
    </row>
    <row r="2" spans="1:20" ht="16.149999999999999" customHeight="1" x14ac:dyDescent="0.25">
      <c r="A2" s="2549" t="s">
        <v>2150</v>
      </c>
      <c r="B2" s="2549"/>
      <c r="C2" s="2549"/>
      <c r="D2" s="2549"/>
      <c r="E2" s="2549"/>
      <c r="F2" s="2549"/>
      <c r="G2" s="2549"/>
      <c r="H2" s="2549"/>
      <c r="I2" s="2549"/>
      <c r="J2" s="2549"/>
      <c r="K2" s="2549"/>
      <c r="L2" s="2549"/>
      <c r="M2" s="2549"/>
      <c r="N2" s="2549"/>
      <c r="O2" s="2549"/>
      <c r="P2" s="2549"/>
      <c r="Q2" s="2549"/>
      <c r="R2" s="2549"/>
      <c r="S2" s="2549"/>
      <c r="T2" s="2549"/>
    </row>
    <row r="3" spans="1:20" ht="16.149999999999999" customHeight="1" x14ac:dyDescent="0.2">
      <c r="A3" s="2550" t="s">
        <v>2075</v>
      </c>
      <c r="B3" s="2550"/>
      <c r="C3" s="2550"/>
      <c r="D3" s="2550"/>
      <c r="E3" s="2550"/>
      <c r="F3" s="2550"/>
      <c r="G3" s="2550"/>
      <c r="H3" s="2550"/>
      <c r="I3" s="2550"/>
      <c r="J3" s="2550"/>
      <c r="K3" s="2550"/>
      <c r="L3" s="2550"/>
      <c r="M3" s="2550"/>
      <c r="N3" s="2550"/>
      <c r="O3" s="2550"/>
      <c r="P3" s="2550"/>
      <c r="Q3" s="2550"/>
      <c r="R3" s="2550"/>
      <c r="S3" s="2550"/>
      <c r="T3" s="2550"/>
    </row>
    <row r="4" spans="1:20" ht="16.149999999999999" customHeight="1" x14ac:dyDescent="0.25">
      <c r="A4" s="2548" t="s">
        <v>1219</v>
      </c>
      <c r="B4" s="2548"/>
      <c r="C4" s="2548"/>
      <c r="D4" s="2548"/>
      <c r="E4" s="2548"/>
      <c r="F4" s="2548"/>
      <c r="G4" s="2548"/>
      <c r="H4" s="2548"/>
      <c r="I4" s="2548"/>
      <c r="J4" s="2548"/>
      <c r="K4" s="2548"/>
      <c r="L4" s="2548"/>
      <c r="M4" s="2548"/>
      <c r="N4" s="2548"/>
      <c r="O4" s="2548"/>
      <c r="P4" s="2548"/>
      <c r="Q4" s="2548"/>
      <c r="R4" s="2548"/>
      <c r="S4" s="2548"/>
      <c r="T4" s="2548"/>
    </row>
    <row r="5" spans="1:20" ht="16.149999999999999" customHeight="1" x14ac:dyDescent="0.25">
      <c r="A5" s="2551" t="s">
        <v>2149</v>
      </c>
      <c r="B5" s="2551"/>
      <c r="C5" s="2551"/>
      <c r="D5" s="2551"/>
      <c r="E5" s="2551"/>
      <c r="F5" s="2551"/>
      <c r="G5" s="2551"/>
      <c r="H5" s="2551"/>
      <c r="I5" s="2551"/>
      <c r="J5" s="2551"/>
      <c r="K5" s="2551"/>
      <c r="L5" s="2551"/>
      <c r="M5" s="2551"/>
      <c r="N5" s="2551"/>
      <c r="O5" s="2551"/>
      <c r="P5" s="2551"/>
      <c r="Q5" s="2551"/>
      <c r="R5" s="2551"/>
      <c r="S5" s="2551"/>
      <c r="T5" s="2551"/>
    </row>
    <row r="6" spans="1:20" ht="16.149999999999999" customHeight="1" x14ac:dyDescent="0.2">
      <c r="A6" s="1958"/>
      <c r="B6" s="1958"/>
      <c r="C6" s="1958"/>
      <c r="D6" s="1958"/>
      <c r="E6" s="1958"/>
      <c r="F6" s="1958"/>
      <c r="G6" s="1905"/>
      <c r="H6" s="1900"/>
      <c r="I6" s="1905"/>
      <c r="J6" s="1904"/>
      <c r="K6" s="1905"/>
      <c r="L6" s="1900"/>
      <c r="M6" s="1900"/>
      <c r="N6" s="1900"/>
      <c r="O6" s="1900"/>
      <c r="P6" s="1900"/>
      <c r="Q6" s="1904"/>
      <c r="R6" s="1900"/>
      <c r="S6" s="1900"/>
      <c r="T6" s="1900"/>
    </row>
    <row r="7" spans="1:20" ht="16.149999999999999" customHeight="1" x14ac:dyDescent="0.2">
      <c r="A7" s="1958"/>
      <c r="B7" s="1958"/>
      <c r="C7" s="1958"/>
      <c r="D7" s="1958"/>
      <c r="E7" s="1958"/>
      <c r="F7" s="1958"/>
      <c r="G7" s="1905"/>
      <c r="H7" s="1900"/>
      <c r="I7" s="1905"/>
      <c r="J7" s="1904"/>
      <c r="K7" s="1905"/>
      <c r="L7" s="1900"/>
      <c r="M7" s="1900"/>
      <c r="N7" s="1900"/>
      <c r="O7" s="1900"/>
      <c r="P7" s="1900"/>
      <c r="Q7" s="1904"/>
      <c r="R7" s="1900"/>
      <c r="S7" s="1900"/>
      <c r="T7" s="1900"/>
    </row>
    <row r="8" spans="1:20" ht="15" customHeight="1" x14ac:dyDescent="0.2">
      <c r="A8" s="1904"/>
      <c r="B8" s="1905"/>
      <c r="C8" s="1900"/>
      <c r="D8" s="1900"/>
      <c r="E8" s="1904" t="s">
        <v>2148</v>
      </c>
      <c r="F8" s="1904"/>
      <c r="G8" s="1957" t="s">
        <v>2147</v>
      </c>
      <c r="H8" s="1957"/>
      <c r="I8" s="1957"/>
      <c r="J8" s="1904"/>
      <c r="K8" s="2547" t="s">
        <v>2146</v>
      </c>
      <c r="L8" s="2547"/>
      <c r="M8" s="2547"/>
      <c r="N8" s="2547"/>
      <c r="O8" s="1952"/>
      <c r="P8" s="1900"/>
      <c r="Q8" s="1904"/>
      <c r="R8" s="1900"/>
      <c r="S8" s="1900"/>
      <c r="T8" s="1900"/>
    </row>
    <row r="9" spans="1:20" ht="14.25" customHeight="1" x14ac:dyDescent="0.2">
      <c r="A9" s="1904"/>
      <c r="B9" s="1905"/>
      <c r="C9" s="1904" t="s">
        <v>1264</v>
      </c>
      <c r="D9" s="1904"/>
      <c r="E9" s="1904" t="s">
        <v>2145</v>
      </c>
      <c r="F9" s="1904"/>
      <c r="G9" s="1904" t="s">
        <v>2143</v>
      </c>
      <c r="H9" s="1900"/>
      <c r="I9" s="1906" t="s">
        <v>2144</v>
      </c>
      <c r="J9" s="1904"/>
      <c r="K9" s="1904" t="s">
        <v>2143</v>
      </c>
      <c r="L9" s="1900" t="s">
        <v>1834</v>
      </c>
      <c r="M9" s="1904" t="str">
        <f>+I9</f>
        <v>7/01/18 -</v>
      </c>
      <c r="N9" s="1900" t="s">
        <v>1984</v>
      </c>
      <c r="O9" s="1900"/>
      <c r="P9" s="1904" t="s">
        <v>1261</v>
      </c>
      <c r="Q9" s="1904"/>
      <c r="R9" s="1904" t="s">
        <v>2142</v>
      </c>
      <c r="S9" s="1900"/>
      <c r="T9" s="1905" t="s">
        <v>1169</v>
      </c>
    </row>
    <row r="10" spans="1:20" ht="13.5" customHeight="1" x14ac:dyDescent="0.2">
      <c r="A10" s="1905" t="s">
        <v>2141</v>
      </c>
      <c r="B10" s="1905"/>
      <c r="C10" s="1904" t="s">
        <v>2140</v>
      </c>
      <c r="D10" s="1904"/>
      <c r="E10" s="1904" t="s">
        <v>2140</v>
      </c>
      <c r="F10" s="1904"/>
      <c r="G10" s="1956" t="s">
        <v>2139</v>
      </c>
      <c r="H10" s="1900"/>
      <c r="I10" s="1956" t="s">
        <v>2138</v>
      </c>
      <c r="J10" s="1904"/>
      <c r="K10" s="1955" t="str">
        <f>+G10</f>
        <v>7/01/18</v>
      </c>
      <c r="L10" s="1900" t="s">
        <v>1580</v>
      </c>
      <c r="M10" s="1955" t="str">
        <f>+I10</f>
        <v>6/30/19</v>
      </c>
      <c r="N10" s="1900" t="s">
        <v>1580</v>
      </c>
      <c r="O10" s="1900"/>
      <c r="P10" s="1904" t="s">
        <v>2137</v>
      </c>
      <c r="Q10" s="1904"/>
      <c r="R10" s="1904" t="s">
        <v>1257</v>
      </c>
      <c r="S10" s="1900"/>
      <c r="T10" s="1904" t="s">
        <v>30</v>
      </c>
    </row>
    <row r="11" spans="1:20" ht="16.149999999999999" customHeight="1" x14ac:dyDescent="0.2">
      <c r="A11" s="1953" t="s">
        <v>2136</v>
      </c>
      <c r="B11" s="1900"/>
      <c r="C11" s="1952" t="s">
        <v>2135</v>
      </c>
      <c r="D11" s="1904"/>
      <c r="E11" s="1952" t="s">
        <v>2134</v>
      </c>
      <c r="F11" s="1904"/>
      <c r="G11" s="1952" t="s">
        <v>2133</v>
      </c>
      <c r="H11" s="1900"/>
      <c r="I11" s="1952" t="s">
        <v>2132</v>
      </c>
      <c r="J11" s="1904"/>
      <c r="K11" s="1954" t="s">
        <v>2131</v>
      </c>
      <c r="L11" s="1919" t="s">
        <v>1266</v>
      </c>
      <c r="M11" s="1954" t="s">
        <v>2130</v>
      </c>
      <c r="N11" s="1919" t="s">
        <v>1266</v>
      </c>
      <c r="O11" s="1919"/>
      <c r="P11" s="1952" t="s">
        <v>2129</v>
      </c>
      <c r="Q11" s="1904"/>
      <c r="R11" s="1952" t="s">
        <v>2128</v>
      </c>
      <c r="S11" s="1900"/>
      <c r="T11" s="1952" t="s">
        <v>2127</v>
      </c>
    </row>
    <row r="12" spans="1:20" ht="16.149999999999999" customHeight="1" x14ac:dyDescent="0.2">
      <c r="A12" s="1953"/>
      <c r="B12" s="1900"/>
      <c r="C12" s="1952"/>
      <c r="D12" s="1904"/>
      <c r="E12" s="1952"/>
      <c r="F12" s="1904"/>
      <c r="G12" s="1952"/>
      <c r="H12" s="1900"/>
      <c r="I12" s="1952"/>
      <c r="J12" s="1904"/>
      <c r="K12" s="1952"/>
      <c r="L12" s="1900"/>
      <c r="M12" s="1952"/>
      <c r="N12" s="1900"/>
      <c r="O12" s="1900"/>
      <c r="P12" s="1952"/>
      <c r="Q12" s="1904"/>
      <c r="R12" s="1952"/>
      <c r="S12" s="1900"/>
      <c r="T12" s="1952"/>
    </row>
    <row r="13" spans="1:20" ht="16.149999999999999" customHeight="1" x14ac:dyDescent="0.2">
      <c r="A13" s="1918" t="s">
        <v>2126</v>
      </c>
      <c r="B13" s="1900"/>
      <c r="C13" s="1904"/>
      <c r="D13" s="1904"/>
      <c r="E13" s="1900"/>
      <c r="F13" s="1904"/>
      <c r="G13" s="1900"/>
      <c r="H13" s="1900"/>
      <c r="I13" s="1900"/>
      <c r="J13" s="1904"/>
      <c r="K13" s="1900"/>
      <c r="L13" s="1900"/>
      <c r="M13" s="1900"/>
      <c r="N13" s="1900"/>
      <c r="O13" s="1900"/>
      <c r="P13" s="1900"/>
      <c r="Q13" s="1904"/>
      <c r="R13" s="1900"/>
      <c r="S13" s="1900"/>
      <c r="T13" s="1900" t="s">
        <v>1169</v>
      </c>
    </row>
    <row r="14" spans="1:20" ht="16.149999999999999" customHeight="1" x14ac:dyDescent="0.2">
      <c r="A14" s="1918" t="s">
        <v>2091</v>
      </c>
      <c r="B14" s="1900"/>
      <c r="C14" s="1904"/>
      <c r="D14" s="1904"/>
      <c r="E14" s="1900"/>
      <c r="F14" s="1904"/>
      <c r="G14" s="1900"/>
      <c r="H14" s="1900"/>
      <c r="I14" s="1900"/>
      <c r="J14" s="1904"/>
      <c r="K14" s="1900"/>
      <c r="L14" s="1900"/>
      <c r="M14" s="1900"/>
      <c r="N14" s="1900"/>
      <c r="O14" s="1900"/>
      <c r="P14" s="1900"/>
      <c r="Q14" s="1904"/>
      <c r="R14" s="1900"/>
      <c r="S14" s="1900"/>
      <c r="T14" s="1900" t="s">
        <v>1169</v>
      </c>
    </row>
    <row r="15" spans="1:20" ht="16.149999999999999" customHeight="1" x14ac:dyDescent="0.2">
      <c r="A15" s="1918" t="s">
        <v>2125</v>
      </c>
      <c r="B15" s="1900"/>
      <c r="C15" s="1904"/>
      <c r="D15" s="1904"/>
      <c r="E15" s="1900"/>
      <c r="F15" s="1904"/>
      <c r="G15" s="1900"/>
      <c r="H15" s="1900"/>
      <c r="I15" s="1900" t="s">
        <v>1169</v>
      </c>
      <c r="J15" s="1904"/>
      <c r="K15" s="1900"/>
      <c r="L15" s="1900"/>
      <c r="M15" s="1900"/>
      <c r="N15" s="1900"/>
      <c r="O15" s="1900"/>
      <c r="P15" s="1900"/>
      <c r="Q15" s="1904"/>
      <c r="R15" s="1900"/>
      <c r="S15" s="1900"/>
      <c r="T15" s="1900"/>
    </row>
    <row r="16" spans="1:20" ht="16.149999999999999" hidden="1" customHeight="1" x14ac:dyDescent="0.2">
      <c r="A16" s="1943"/>
      <c r="B16" s="1905"/>
      <c r="C16" s="1942"/>
      <c r="D16" s="1904"/>
      <c r="E16" s="1904"/>
      <c r="F16" s="1904"/>
      <c r="G16" s="1926"/>
      <c r="H16" s="1926"/>
      <c r="I16" s="1926"/>
      <c r="J16" s="1928"/>
      <c r="K16" s="1926"/>
      <c r="L16" s="1926"/>
      <c r="M16" s="1951"/>
      <c r="N16" s="1926"/>
      <c r="O16" s="1926"/>
      <c r="P16" s="1926"/>
      <c r="Q16" s="1928"/>
      <c r="R16" s="1903">
        <f>K16+M16+P16</f>
        <v>0</v>
      </c>
      <c r="S16" s="1926" t="s">
        <v>1169</v>
      </c>
      <c r="T16" s="1932"/>
    </row>
    <row r="17" spans="1:20" ht="16.149999999999999" hidden="1" customHeight="1" x14ac:dyDescent="0.2">
      <c r="A17" s="1943" t="s">
        <v>2106</v>
      </c>
      <c r="B17" s="1905" t="s">
        <v>2124</v>
      </c>
      <c r="C17" s="1942" t="s">
        <v>2118</v>
      </c>
      <c r="D17" s="1904"/>
      <c r="E17" s="1904" t="s">
        <v>2123</v>
      </c>
      <c r="F17" s="1904"/>
      <c r="G17" s="1926"/>
      <c r="H17" s="1926"/>
      <c r="I17" s="1950"/>
      <c r="J17" s="1928"/>
      <c r="K17" s="1926"/>
      <c r="L17" s="1926"/>
      <c r="M17" s="1950"/>
      <c r="N17" s="1926"/>
      <c r="O17" s="1926"/>
      <c r="P17" s="1950"/>
      <c r="Q17" s="1928"/>
      <c r="R17" s="1903">
        <f>K17+M17+P17</f>
        <v>0</v>
      </c>
      <c r="S17" s="1926"/>
      <c r="T17" s="1949">
        <v>82176</v>
      </c>
    </row>
    <row r="18" spans="1:20" ht="16.149999999999999" customHeight="1" x14ac:dyDescent="0.2">
      <c r="A18" s="1916"/>
      <c r="B18" s="1905"/>
      <c r="C18" s="1942"/>
      <c r="D18" s="1904"/>
      <c r="E18" s="1904"/>
      <c r="F18" s="1904"/>
      <c r="G18" s="1926"/>
      <c r="H18" s="1926"/>
      <c r="I18" s="1926"/>
      <c r="J18" s="1928"/>
      <c r="K18" s="1926"/>
      <c r="L18" s="1926"/>
      <c r="M18" s="1926"/>
      <c r="N18" s="1926"/>
      <c r="O18" s="1926"/>
      <c r="P18" s="1926"/>
      <c r="Q18" s="1928"/>
      <c r="R18" s="1903"/>
      <c r="S18" s="1926"/>
      <c r="T18" s="1932"/>
    </row>
    <row r="19" spans="1:20" ht="16.149999999999999" customHeight="1" x14ac:dyDescent="0.2">
      <c r="A19" s="1943" t="s">
        <v>2106</v>
      </c>
      <c r="B19" s="1905" t="s">
        <v>2119</v>
      </c>
      <c r="C19" s="1942" t="s">
        <v>2118</v>
      </c>
      <c r="D19" s="1904"/>
      <c r="E19" s="1904" t="s">
        <v>2122</v>
      </c>
      <c r="F19" s="1904"/>
      <c r="G19" s="1926">
        <v>58034</v>
      </c>
      <c r="H19" s="1926"/>
      <c r="I19" s="1926">
        <v>10310</v>
      </c>
      <c r="K19" s="1926">
        <f>1284455-1223582</f>
        <v>60873</v>
      </c>
      <c r="L19" s="1926"/>
      <c r="M19" s="1926">
        <v>7471</v>
      </c>
      <c r="N19" s="1926"/>
      <c r="O19" s="1926"/>
      <c r="P19" s="1926"/>
      <c r="Q19" s="1928"/>
      <c r="R19" s="1903">
        <f>K19+M19+P19</f>
        <v>68344</v>
      </c>
      <c r="S19" s="1926"/>
      <c r="T19" s="1926">
        <v>69613</v>
      </c>
    </row>
    <row r="20" spans="1:20" ht="16.149999999999999" customHeight="1" x14ac:dyDescent="0.2">
      <c r="A20" s="1943" t="s">
        <v>2106</v>
      </c>
      <c r="B20" s="1905" t="s">
        <v>2119</v>
      </c>
      <c r="C20" s="1942" t="s">
        <v>2118</v>
      </c>
      <c r="D20" s="1904"/>
      <c r="E20" s="1904" t="s">
        <v>2121</v>
      </c>
      <c r="F20" s="1904"/>
      <c r="G20" s="1926">
        <v>1159534</v>
      </c>
      <c r="H20" s="1926"/>
      <c r="I20" s="1926">
        <v>161773</v>
      </c>
      <c r="K20" s="1926">
        <v>1223582</v>
      </c>
      <c r="L20" s="1926"/>
      <c r="M20" s="1926">
        <v>97725</v>
      </c>
      <c r="N20" s="1926"/>
      <c r="O20" s="1926"/>
      <c r="P20" s="1926"/>
      <c r="Q20" s="1928"/>
      <c r="R20" s="1903">
        <f>K20+M20+P20</f>
        <v>1321307</v>
      </c>
      <c r="S20" s="1926"/>
      <c r="T20" s="1926">
        <v>1321307</v>
      </c>
    </row>
    <row r="21" spans="1:20" ht="16.149999999999999" customHeight="1" x14ac:dyDescent="0.2">
      <c r="A21" s="1943"/>
      <c r="B21" s="1905" t="s">
        <v>2116</v>
      </c>
      <c r="C21" s="1942"/>
      <c r="D21" s="1904"/>
      <c r="E21" s="1904"/>
      <c r="F21" s="1904"/>
      <c r="G21" s="1926"/>
      <c r="H21" s="1926"/>
      <c r="I21" s="1926"/>
      <c r="K21" s="1926"/>
      <c r="L21" s="1926">
        <v>176495</v>
      </c>
      <c r="M21" s="1926"/>
      <c r="N21" s="1926"/>
      <c r="O21" s="1926"/>
      <c r="P21" s="1926"/>
      <c r="Q21" s="1928"/>
      <c r="R21" s="1903"/>
      <c r="S21" s="1926"/>
      <c r="T21" s="1932"/>
    </row>
    <row r="22" spans="1:20" ht="16.149999999999999" customHeight="1" x14ac:dyDescent="0.2">
      <c r="A22" s="1943"/>
      <c r="B22" s="1905" t="s">
        <v>2115</v>
      </c>
      <c r="C22" s="1942"/>
      <c r="D22" s="1904"/>
      <c r="E22" s="1904"/>
      <c r="F22" s="1904"/>
      <c r="G22" s="1926"/>
      <c r="H22" s="1926"/>
      <c r="I22" s="1926"/>
      <c r="K22" s="1926"/>
      <c r="L22" s="1926">
        <v>66561</v>
      </c>
      <c r="M22" s="1926"/>
      <c r="N22" s="1926"/>
      <c r="O22" s="1926"/>
      <c r="P22" s="1926"/>
      <c r="Q22" s="1928"/>
      <c r="R22" s="1903"/>
      <c r="S22" s="1926"/>
      <c r="T22" s="1932"/>
    </row>
    <row r="23" spans="1:20" ht="16.149999999999999" customHeight="1" x14ac:dyDescent="0.2">
      <c r="A23" s="1943"/>
      <c r="B23" s="1905" t="s">
        <v>2114</v>
      </c>
      <c r="C23" s="1942"/>
      <c r="D23" s="1904"/>
      <c r="E23" s="1904"/>
      <c r="F23" s="1904"/>
      <c r="G23" s="1926"/>
      <c r="H23" s="1926"/>
      <c r="I23" s="1926"/>
      <c r="K23" s="1926"/>
      <c r="L23" s="1926">
        <v>249762</v>
      </c>
      <c r="M23" s="1926"/>
      <c r="N23" s="1926"/>
      <c r="O23" s="1926"/>
      <c r="P23" s="1926"/>
      <c r="Q23" s="1928"/>
      <c r="R23" s="1903"/>
      <c r="S23" s="1926"/>
      <c r="T23" s="1932"/>
    </row>
    <row r="24" spans="1:20" ht="16.149999999999999" customHeight="1" x14ac:dyDescent="0.2">
      <c r="A24" s="1943"/>
      <c r="B24" s="1905" t="s">
        <v>2113</v>
      </c>
      <c r="C24" s="1942"/>
      <c r="D24" s="1904"/>
      <c r="E24" s="1904"/>
      <c r="F24" s="1904"/>
      <c r="G24" s="1926"/>
      <c r="H24" s="1926"/>
      <c r="I24" s="1926"/>
      <c r="K24" s="1926"/>
      <c r="L24" s="1926">
        <v>94094</v>
      </c>
      <c r="M24" s="1926"/>
      <c r="N24" s="1926"/>
      <c r="O24" s="1926"/>
      <c r="P24" s="1926"/>
      <c r="Q24" s="1928"/>
      <c r="R24" s="1903"/>
      <c r="S24" s="1926"/>
      <c r="T24" s="1932"/>
    </row>
    <row r="25" spans="1:20" ht="16.149999999999999" customHeight="1" x14ac:dyDescent="0.2">
      <c r="A25" s="1943"/>
      <c r="B25" s="1905" t="s">
        <v>2112</v>
      </c>
      <c r="C25" s="1942"/>
      <c r="D25" s="1904"/>
      <c r="E25" s="1904"/>
      <c r="F25" s="1904"/>
      <c r="G25" s="1926"/>
      <c r="H25" s="1926"/>
      <c r="I25" s="1926"/>
      <c r="K25" s="1926"/>
      <c r="L25" s="1926">
        <v>107107</v>
      </c>
      <c r="M25" s="1926"/>
      <c r="N25" s="1926"/>
      <c r="O25" s="1926"/>
      <c r="P25" s="1926"/>
      <c r="Q25" s="1928"/>
      <c r="R25" s="1903"/>
      <c r="S25" s="1926"/>
      <c r="T25" s="1932"/>
    </row>
    <row r="26" spans="1:20" ht="16.149999999999999" customHeight="1" x14ac:dyDescent="0.2">
      <c r="A26" s="1943"/>
      <c r="B26" s="1905" t="s">
        <v>2111</v>
      </c>
      <c r="C26" s="1942"/>
      <c r="D26" s="1904"/>
      <c r="E26" s="1904"/>
      <c r="F26" s="1904"/>
      <c r="G26" s="1926"/>
      <c r="H26" s="1926"/>
      <c r="I26" s="1926"/>
      <c r="K26" s="1926"/>
      <c r="L26" s="1926">
        <v>165935</v>
      </c>
      <c r="M26" s="1926"/>
      <c r="N26" s="1926"/>
      <c r="O26" s="1926"/>
      <c r="P26" s="1926"/>
      <c r="Q26" s="1928"/>
      <c r="R26" s="1903"/>
      <c r="S26" s="1926"/>
      <c r="T26" s="1932"/>
    </row>
    <row r="27" spans="1:20" ht="16.149999999999999" customHeight="1" x14ac:dyDescent="0.2">
      <c r="A27" s="1943"/>
      <c r="B27" s="1905" t="s">
        <v>2110</v>
      </c>
      <c r="C27" s="1942"/>
      <c r="D27" s="1904"/>
      <c r="E27" s="1904"/>
      <c r="F27" s="1904"/>
      <c r="G27" s="1926"/>
      <c r="H27" s="1926"/>
      <c r="I27" s="1926"/>
      <c r="K27" s="1926"/>
      <c r="L27" s="1926">
        <v>149535</v>
      </c>
      <c r="M27" s="1926"/>
      <c r="N27" s="1926"/>
      <c r="O27" s="1926"/>
      <c r="P27" s="1926"/>
      <c r="Q27" s="1928"/>
      <c r="R27" s="1903"/>
      <c r="S27" s="1926"/>
      <c r="T27" s="1932"/>
    </row>
    <row r="28" spans="1:20" ht="16.149999999999999" customHeight="1" x14ac:dyDescent="0.2">
      <c r="A28" s="1943"/>
      <c r="B28" s="1905" t="s">
        <v>2109</v>
      </c>
      <c r="C28" s="1942"/>
      <c r="D28" s="1904"/>
      <c r="E28" s="1904"/>
      <c r="F28" s="1904"/>
      <c r="G28" s="1926"/>
      <c r="H28" s="1926"/>
      <c r="I28" s="1926"/>
      <c r="K28" s="1926"/>
      <c r="L28" s="1926">
        <v>214093</v>
      </c>
      <c r="M28" s="1926"/>
      <c r="N28" s="1926">
        <v>97725</v>
      </c>
      <c r="O28" s="1926"/>
      <c r="P28" s="1926"/>
      <c r="Q28" s="1928"/>
      <c r="R28" s="1903"/>
      <c r="S28" s="1926"/>
      <c r="T28" s="1932"/>
    </row>
    <row r="29" spans="1:20" ht="16.149999999999999" customHeight="1" x14ac:dyDescent="0.2">
      <c r="A29" s="1943" t="s">
        <v>2106</v>
      </c>
      <c r="B29" s="1905" t="s">
        <v>2119</v>
      </c>
      <c r="C29" s="1942" t="s">
        <v>2118</v>
      </c>
      <c r="D29" s="1904"/>
      <c r="E29" s="1904" t="s">
        <v>2120</v>
      </c>
      <c r="F29" s="1904"/>
      <c r="G29" s="1926"/>
      <c r="H29" s="1878"/>
      <c r="I29" s="1926">
        <v>112243</v>
      </c>
      <c r="J29" s="1928"/>
      <c r="K29" s="1926"/>
      <c r="L29" s="1928"/>
      <c r="M29" s="1926">
        <v>117790</v>
      </c>
      <c r="N29" s="1926"/>
      <c r="O29" s="1928"/>
      <c r="P29" s="1926">
        <f>49231-40973</f>
        <v>8258</v>
      </c>
      <c r="Q29" s="1928"/>
      <c r="R29" s="1903">
        <f>K29+M29+P29</f>
        <v>126048</v>
      </c>
      <c r="S29" s="1926"/>
      <c r="T29" s="1944">
        <v>136362</v>
      </c>
    </row>
    <row r="30" spans="1:20" ht="16.149999999999999" customHeight="1" x14ac:dyDescent="0.35">
      <c r="A30" s="1943" t="s">
        <v>2106</v>
      </c>
      <c r="B30" s="1905" t="s">
        <v>2119</v>
      </c>
      <c r="C30" s="1942" t="s">
        <v>2118</v>
      </c>
      <c r="D30" s="1904"/>
      <c r="E30" s="1904" t="s">
        <v>2117</v>
      </c>
      <c r="F30" s="1904"/>
      <c r="G30" s="1930"/>
      <c r="H30" s="1878"/>
      <c r="I30" s="1930">
        <v>1251511</v>
      </c>
      <c r="J30" s="1926"/>
      <c r="K30" s="1930"/>
      <c r="L30" s="1926"/>
      <c r="M30" s="1930">
        <v>1312971</v>
      </c>
      <c r="N30" s="1930"/>
      <c r="O30" s="1926"/>
      <c r="P30" s="1930">
        <v>40973</v>
      </c>
      <c r="Q30" s="1945"/>
      <c r="R30" s="1899">
        <f>K30+M30+P30</f>
        <v>1353944</v>
      </c>
      <c r="S30" s="1926"/>
      <c r="T30" s="1948">
        <v>1353944</v>
      </c>
    </row>
    <row r="31" spans="1:20" ht="16.149999999999999" customHeight="1" x14ac:dyDescent="0.35">
      <c r="A31" s="1943"/>
      <c r="B31" s="1905" t="s">
        <v>2116</v>
      </c>
      <c r="C31" s="1942"/>
      <c r="D31" s="1904"/>
      <c r="E31" s="1900"/>
      <c r="F31" s="1904"/>
      <c r="G31" s="1930"/>
      <c r="H31" s="1930"/>
      <c r="I31" s="1930"/>
      <c r="K31" s="1930"/>
      <c r="L31" s="1901"/>
      <c r="M31" s="1930"/>
      <c r="N31" s="1901">
        <v>185787</v>
      </c>
      <c r="O31" s="1901"/>
      <c r="P31" s="1930"/>
      <c r="Q31" s="1945"/>
      <c r="R31" s="1899"/>
      <c r="S31" s="1926"/>
      <c r="T31" s="1932"/>
    </row>
    <row r="32" spans="1:20" ht="16.149999999999999" customHeight="1" x14ac:dyDescent="0.35">
      <c r="A32" s="1943"/>
      <c r="B32" s="1905" t="s">
        <v>2115</v>
      </c>
      <c r="C32" s="1942"/>
      <c r="D32" s="1904"/>
      <c r="E32" s="1900"/>
      <c r="F32" s="1904"/>
      <c r="G32" s="1930"/>
      <c r="H32" s="1930"/>
      <c r="I32" s="1930"/>
      <c r="K32" s="1930"/>
      <c r="L32" s="1901"/>
      <c r="M32" s="1930"/>
      <c r="N32" s="1901">
        <v>67849</v>
      </c>
      <c r="O32" s="1901"/>
      <c r="P32" s="1930"/>
      <c r="Q32" s="1945"/>
      <c r="R32" s="1899"/>
      <c r="S32" s="1926"/>
      <c r="T32" s="1932"/>
    </row>
    <row r="33" spans="1:20" ht="16.149999999999999" customHeight="1" x14ac:dyDescent="0.35">
      <c r="A33" s="1943"/>
      <c r="B33" s="1905" t="s">
        <v>2114</v>
      </c>
      <c r="C33" s="1942"/>
      <c r="D33" s="1904"/>
      <c r="E33" s="1905"/>
      <c r="F33" s="1904"/>
      <c r="G33" s="1930"/>
      <c r="H33" s="1930"/>
      <c r="I33" s="1930"/>
      <c r="K33" s="1930"/>
      <c r="L33" s="1901"/>
      <c r="M33" s="1930"/>
      <c r="N33" s="1901">
        <v>250210</v>
      </c>
      <c r="O33" s="1901"/>
      <c r="P33" s="1930"/>
      <c r="Q33" s="1945"/>
      <c r="R33" s="1899"/>
      <c r="S33" s="1926"/>
      <c r="T33" s="1932"/>
    </row>
    <row r="34" spans="1:20" ht="16.149999999999999" customHeight="1" x14ac:dyDescent="0.35">
      <c r="A34" s="1943"/>
      <c r="B34" s="1905" t="s">
        <v>2113</v>
      </c>
      <c r="C34" s="1942"/>
      <c r="D34" s="1904"/>
      <c r="E34" s="1900"/>
      <c r="F34" s="1904"/>
      <c r="G34" s="1930"/>
      <c r="H34" s="1930"/>
      <c r="I34" s="1930"/>
      <c r="K34" s="1930"/>
      <c r="L34" s="1901"/>
      <c r="M34" s="1930"/>
      <c r="N34" s="1901">
        <v>94563</v>
      </c>
      <c r="O34" s="1901"/>
      <c r="P34" s="1930"/>
      <c r="Q34" s="1945"/>
      <c r="R34" s="1899"/>
      <c r="S34" s="1926"/>
      <c r="T34" s="1932"/>
    </row>
    <row r="35" spans="1:20" ht="16.149999999999999" customHeight="1" x14ac:dyDescent="0.35">
      <c r="A35" s="1943"/>
      <c r="B35" s="1905" t="s">
        <v>2112</v>
      </c>
      <c r="C35" s="1942"/>
      <c r="D35" s="1904"/>
      <c r="E35" s="1898"/>
      <c r="F35" s="1904"/>
      <c r="G35" s="1930"/>
      <c r="H35" s="1930"/>
      <c r="I35" s="1930"/>
      <c r="K35" s="1930"/>
      <c r="L35" s="1901"/>
      <c r="M35" s="1930"/>
      <c r="N35" s="1901">
        <v>110670</v>
      </c>
      <c r="O35" s="1901"/>
      <c r="P35" s="1930"/>
      <c r="Q35" s="1945"/>
      <c r="R35" s="1899"/>
      <c r="S35" s="1926"/>
      <c r="T35" s="1932"/>
    </row>
    <row r="36" spans="1:20" ht="16.149999999999999" customHeight="1" x14ac:dyDescent="0.35">
      <c r="A36" s="1943"/>
      <c r="B36" s="1905" t="s">
        <v>2111</v>
      </c>
      <c r="C36" s="1942"/>
      <c r="D36" s="1904"/>
      <c r="E36" s="1905"/>
      <c r="F36" s="1904"/>
      <c r="G36" s="1930"/>
      <c r="H36" s="1930"/>
      <c r="I36" s="1930"/>
      <c r="K36" s="1930"/>
      <c r="L36" s="1901"/>
      <c r="M36" s="1930"/>
      <c r="N36" s="1901">
        <v>164469</v>
      </c>
      <c r="O36" s="1901"/>
      <c r="P36" s="1930"/>
      <c r="Q36" s="1945"/>
      <c r="R36" s="1899"/>
      <c r="S36" s="1926"/>
      <c r="T36" s="1932"/>
    </row>
    <row r="37" spans="1:20" ht="16.149999999999999" customHeight="1" x14ac:dyDescent="0.35">
      <c r="A37" s="1943"/>
      <c r="B37" s="1905" t="s">
        <v>2110</v>
      </c>
      <c r="C37" s="1942"/>
      <c r="D37" s="1904"/>
      <c r="E37" s="1900"/>
      <c r="F37" s="1904"/>
      <c r="G37" s="1930"/>
      <c r="H37" s="1930"/>
      <c r="I37" s="1930"/>
      <c r="K37" s="1930"/>
      <c r="L37" s="1901"/>
      <c r="M37" s="1930"/>
      <c r="N37" s="1901">
        <v>156440</v>
      </c>
      <c r="O37" s="1901"/>
      <c r="P37" s="1930"/>
      <c r="Q37" s="1945"/>
      <c r="R37" s="1899"/>
      <c r="S37" s="1926"/>
      <c r="T37" s="1932"/>
    </row>
    <row r="38" spans="1:20" ht="16.149999999999999" customHeight="1" x14ac:dyDescent="0.35">
      <c r="A38" s="1943"/>
      <c r="B38" s="1905" t="s">
        <v>2109</v>
      </c>
      <c r="C38" s="1942"/>
      <c r="D38" s="1904"/>
      <c r="E38" s="1898"/>
      <c r="F38" s="1904"/>
      <c r="G38" s="1930" t="s">
        <v>1169</v>
      </c>
      <c r="H38" s="1930"/>
      <c r="I38" s="1930" t="s">
        <v>1169</v>
      </c>
      <c r="K38" s="1930" t="s">
        <v>1169</v>
      </c>
      <c r="L38" s="1903"/>
      <c r="M38" s="1930" t="s">
        <v>1169</v>
      </c>
      <c r="N38" s="1903">
        <f>221523+61460</f>
        <v>282983</v>
      </c>
      <c r="O38" s="1903"/>
      <c r="P38" s="1930" t="s">
        <v>1169</v>
      </c>
      <c r="Q38" s="1945"/>
      <c r="R38" s="1899" t="s">
        <v>1169</v>
      </c>
      <c r="S38" s="1926"/>
      <c r="T38" s="1932"/>
    </row>
    <row r="39" spans="1:20" ht="16.149999999999999" customHeight="1" x14ac:dyDescent="0.2">
      <c r="A39" s="1918"/>
      <c r="B39" s="1900" t="s">
        <v>2108</v>
      </c>
      <c r="C39" s="1904"/>
      <c r="D39" s="1904"/>
      <c r="E39" s="1900"/>
      <c r="F39" s="1904"/>
      <c r="G39" s="1947">
        <f>SUM(G16:G30)</f>
        <v>1217568</v>
      </c>
      <c r="H39" s="1947"/>
      <c r="I39" s="1947">
        <f>SUM(I16:I30)</f>
        <v>1535837</v>
      </c>
      <c r="J39" s="1947"/>
      <c r="K39" s="1947">
        <f>SUM(K16:K30)</f>
        <v>1284455</v>
      </c>
      <c r="L39" s="1947"/>
      <c r="M39" s="1947">
        <f>SUM(M16:M30)</f>
        <v>1535957</v>
      </c>
      <c r="N39" s="1947"/>
      <c r="O39" s="1947"/>
      <c r="P39" s="1947">
        <f>SUM(P16:P30)</f>
        <v>49231</v>
      </c>
      <c r="Q39" s="1947"/>
      <c r="R39" s="1947">
        <f>SUM(R16:R30)</f>
        <v>2869643</v>
      </c>
      <c r="S39" s="1900"/>
      <c r="T39" s="1900"/>
    </row>
    <row r="40" spans="1:20" ht="16.149999999999999" customHeight="1" x14ac:dyDescent="0.2">
      <c r="A40" s="1918"/>
      <c r="B40" s="1900"/>
      <c r="C40" s="1904"/>
      <c r="D40" s="1904"/>
      <c r="E40" s="1900"/>
      <c r="F40" s="1904"/>
      <c r="G40" s="1900"/>
      <c r="H40" s="1900"/>
      <c r="I40" s="1900"/>
      <c r="J40" s="1904"/>
      <c r="K40" s="1900"/>
      <c r="L40" s="1900"/>
      <c r="M40" s="1900"/>
      <c r="N40" s="1900"/>
      <c r="O40" s="1900"/>
      <c r="P40" s="1900"/>
      <c r="Q40" s="1904"/>
      <c r="R40" s="1900"/>
      <c r="S40" s="1900"/>
      <c r="T40" s="1900"/>
    </row>
    <row r="41" spans="1:20" ht="16.149999999999999" customHeight="1" x14ac:dyDescent="0.2">
      <c r="A41" s="1943" t="s">
        <v>2106</v>
      </c>
      <c r="B41" s="1905" t="s">
        <v>2105</v>
      </c>
      <c r="C41" s="1942" t="s">
        <v>2104</v>
      </c>
      <c r="D41" s="1904"/>
      <c r="E41" s="1904" t="s">
        <v>2107</v>
      </c>
      <c r="F41" s="1904"/>
      <c r="G41" s="1926">
        <v>69487</v>
      </c>
      <c r="H41" s="1928"/>
      <c r="I41" s="1926">
        <v>24369</v>
      </c>
      <c r="J41" s="1926"/>
      <c r="K41" s="1926">
        <v>78136</v>
      </c>
      <c r="L41" s="1926"/>
      <c r="M41" s="1926">
        <v>15720</v>
      </c>
      <c r="N41" s="1926"/>
      <c r="O41" s="1926"/>
      <c r="P41" s="1926"/>
      <c r="Q41" s="1928"/>
      <c r="R41" s="1903">
        <f>K41+M41+P41</f>
        <v>93856</v>
      </c>
      <c r="S41" s="1926"/>
      <c r="T41" s="1932">
        <v>94196</v>
      </c>
    </row>
    <row r="42" spans="1:20" ht="16.5" customHeight="1" x14ac:dyDescent="0.35">
      <c r="A42" s="1943" t="s">
        <v>2106</v>
      </c>
      <c r="B42" s="1905" t="s">
        <v>2105</v>
      </c>
      <c r="C42" s="1942" t="s">
        <v>2104</v>
      </c>
      <c r="D42" s="1904"/>
      <c r="E42" s="1904" t="s">
        <v>2103</v>
      </c>
      <c r="F42" s="1904"/>
      <c r="G42" s="1930" t="s">
        <v>1169</v>
      </c>
      <c r="H42" s="1945"/>
      <c r="I42" s="1946">
        <v>72529</v>
      </c>
      <c r="J42" s="1930"/>
      <c r="K42" s="1930" t="s">
        <v>1169</v>
      </c>
      <c r="L42" s="1930"/>
      <c r="M42" s="1946">
        <v>81247</v>
      </c>
      <c r="N42" s="1930"/>
      <c r="O42" s="1945"/>
      <c r="P42" s="1946">
        <v>18367</v>
      </c>
      <c r="Q42" s="1945"/>
      <c r="R42" s="1899">
        <f>K42+M42+P42</f>
        <v>99614</v>
      </c>
      <c r="S42" s="1926"/>
      <c r="T42" s="1944">
        <v>99614</v>
      </c>
    </row>
    <row r="43" spans="1:20" ht="16.149999999999999" customHeight="1" x14ac:dyDescent="0.2">
      <c r="A43" s="1943"/>
      <c r="B43" s="1905" t="s">
        <v>2102</v>
      </c>
      <c r="C43" s="1942"/>
      <c r="D43" s="1904"/>
      <c r="E43" s="1904"/>
      <c r="F43" s="1904"/>
      <c r="G43" s="1940">
        <f>SUM(G41:G42)</f>
        <v>69487</v>
      </c>
      <c r="H43" s="1926"/>
      <c r="I43" s="1940">
        <f>SUM(I41:I42)</f>
        <v>96898</v>
      </c>
      <c r="J43" s="1940"/>
      <c r="K43" s="1940">
        <f>SUM(K41:K42)</f>
        <v>78136</v>
      </c>
      <c r="L43" s="1940"/>
      <c r="M43" s="1940">
        <f>SUM(M41:M42)</f>
        <v>96967</v>
      </c>
      <c r="N43" s="1940"/>
      <c r="O43" s="1940"/>
      <c r="P43" s="1940">
        <f>SUM(P41:P42)</f>
        <v>18367</v>
      </c>
      <c r="Q43" s="1940"/>
      <c r="R43" s="1940">
        <f>SUM(R41:R42)</f>
        <v>193470</v>
      </c>
      <c r="S43" s="1926"/>
      <c r="T43" s="1932"/>
    </row>
    <row r="44" spans="1:20" ht="16.149999999999999" customHeight="1" x14ac:dyDescent="0.2">
      <c r="A44" s="1943"/>
      <c r="B44" s="1943" t="s">
        <v>2101</v>
      </c>
      <c r="C44" s="1942"/>
      <c r="D44" s="1904"/>
      <c r="E44" s="1904"/>
      <c r="F44" s="1904"/>
      <c r="G44" s="1940">
        <f>G39+G43</f>
        <v>1287055</v>
      </c>
      <c r="H44" s="1926"/>
      <c r="I44" s="1940">
        <f>I39+I43</f>
        <v>1632735</v>
      </c>
      <c r="J44" s="1940"/>
      <c r="K44" s="1940">
        <f>K39+K43</f>
        <v>1362591</v>
      </c>
      <c r="L44" s="1940"/>
      <c r="M44" s="1940">
        <f>M39+M43</f>
        <v>1632924</v>
      </c>
      <c r="N44" s="1940"/>
      <c r="O44" s="1940"/>
      <c r="P44" s="1940">
        <f>P39+P43</f>
        <v>67598</v>
      </c>
      <c r="Q44" s="1940"/>
      <c r="R44" s="1940">
        <f>R39+R43</f>
        <v>3063113</v>
      </c>
      <c r="S44" s="1926"/>
      <c r="T44" s="1932"/>
    </row>
    <row r="45" spans="1:20" ht="10.5" customHeight="1" x14ac:dyDescent="0.2">
      <c r="A45" s="1916"/>
      <c r="B45" s="1905"/>
      <c r="C45" s="1942"/>
      <c r="D45" s="1904"/>
      <c r="E45" s="1904"/>
      <c r="F45" s="1904"/>
      <c r="G45" s="1926"/>
      <c r="H45" s="1926"/>
      <c r="I45" s="1926"/>
      <c r="J45" s="1928"/>
      <c r="K45" s="1926"/>
      <c r="L45" s="1926"/>
      <c r="M45" s="1926"/>
      <c r="N45" s="1926"/>
      <c r="O45" s="1926"/>
      <c r="P45" s="1926"/>
      <c r="Q45" s="1928"/>
      <c r="R45" s="1903"/>
      <c r="S45" s="1926"/>
      <c r="T45" s="1932"/>
    </row>
    <row r="46" spans="1:20" ht="16.149999999999999" customHeight="1" x14ac:dyDescent="0.2">
      <c r="A46" s="1924" t="s">
        <v>2093</v>
      </c>
      <c r="B46" s="1905"/>
      <c r="C46" s="1942"/>
      <c r="D46" s="1904"/>
      <c r="E46" s="1900"/>
      <c r="F46" s="1904"/>
      <c r="G46" s="1900"/>
      <c r="H46" s="1900"/>
      <c r="I46" s="1900"/>
      <c r="J46" s="1904"/>
      <c r="K46" s="1900"/>
      <c r="L46" s="1900"/>
      <c r="M46" s="1900"/>
      <c r="N46" s="1900"/>
      <c r="O46" s="1900"/>
      <c r="P46" s="1900"/>
      <c r="Q46" s="1904"/>
      <c r="R46" s="1903"/>
      <c r="S46" s="1900"/>
      <c r="T46" s="1900"/>
    </row>
    <row r="47" spans="1:20" ht="16.149999999999999" customHeight="1" x14ac:dyDescent="0.2">
      <c r="A47" s="1918" t="s">
        <v>2100</v>
      </c>
      <c r="B47" s="1905"/>
      <c r="C47" s="1942"/>
      <c r="D47" s="1904"/>
      <c r="E47" s="1900"/>
      <c r="F47" s="1904"/>
      <c r="G47" s="1940">
        <f>+G39+G43</f>
        <v>1287055</v>
      </c>
      <c r="H47" s="1940"/>
      <c r="I47" s="1940">
        <f>+I39+I43</f>
        <v>1632735</v>
      </c>
      <c r="J47" s="1940"/>
      <c r="K47" s="1940">
        <f>+K39+K43</f>
        <v>1362591</v>
      </c>
      <c r="L47" s="1940"/>
      <c r="M47" s="1940">
        <f>+M39+M43</f>
        <v>1632924</v>
      </c>
      <c r="N47" s="1940"/>
      <c r="O47" s="1940"/>
      <c r="P47" s="1940">
        <f>+P39+P43</f>
        <v>67598</v>
      </c>
      <c r="Q47" s="1940"/>
      <c r="R47" s="1940">
        <f>+R39+R43</f>
        <v>3063113</v>
      </c>
      <c r="S47" s="1900"/>
      <c r="T47" s="1900"/>
    </row>
    <row r="48" spans="1:20" ht="9" customHeight="1" x14ac:dyDescent="0.2">
      <c r="A48" s="1918"/>
      <c r="B48" s="1905"/>
      <c r="C48" s="1942"/>
      <c r="D48" s="1904"/>
      <c r="E48" s="1900"/>
      <c r="F48" s="1904"/>
      <c r="G48" s="1940"/>
      <c r="H48" s="1940"/>
      <c r="I48" s="1940"/>
      <c r="J48" s="1941"/>
      <c r="K48" s="1940"/>
      <c r="L48" s="1940"/>
      <c r="M48" s="1940"/>
      <c r="N48" s="1940"/>
      <c r="O48" s="1940"/>
      <c r="P48" s="1940"/>
      <c r="Q48" s="1940"/>
      <c r="R48" s="1940"/>
      <c r="S48" s="1900"/>
      <c r="T48" s="1900"/>
    </row>
    <row r="49" spans="1:20" ht="16.149999999999999" customHeight="1" x14ac:dyDescent="0.2">
      <c r="A49" s="1924" t="s">
        <v>2099</v>
      </c>
      <c r="B49" s="1905"/>
      <c r="C49" s="1942"/>
      <c r="D49" s="1904"/>
      <c r="E49" s="1900"/>
      <c r="F49" s="1904"/>
      <c r="G49" s="1940"/>
      <c r="H49" s="1940"/>
      <c r="I49" s="1940"/>
      <c r="J49" s="1941"/>
      <c r="K49" s="1940"/>
      <c r="L49" s="1940"/>
      <c r="M49" s="1940"/>
      <c r="N49" s="1940"/>
      <c r="O49" s="1940"/>
      <c r="P49" s="1940"/>
      <c r="Q49" s="1940"/>
      <c r="R49" s="1940"/>
      <c r="S49" s="1900"/>
      <c r="T49" s="1900"/>
    </row>
    <row r="50" spans="1:20" ht="16.149999999999999" customHeight="1" x14ac:dyDescent="0.2">
      <c r="A50" s="1924" t="s">
        <v>2091</v>
      </c>
      <c r="B50" s="1900"/>
      <c r="C50" s="1931"/>
      <c r="D50" s="1904"/>
      <c r="E50" s="1900"/>
      <c r="F50" s="1904"/>
      <c r="G50" s="1926"/>
      <c r="H50" s="1926"/>
      <c r="I50" s="1929"/>
      <c r="J50" s="1928"/>
      <c r="K50" s="1929"/>
      <c r="L50" s="1927"/>
      <c r="M50" s="1929"/>
      <c r="N50" s="1927"/>
      <c r="O50" s="1927"/>
      <c r="P50" s="1929"/>
      <c r="Q50" s="1928"/>
      <c r="R50" s="1903"/>
      <c r="S50" s="1927"/>
      <c r="T50" s="1926"/>
    </row>
    <row r="51" spans="1:20" ht="16.149999999999999" customHeight="1" x14ac:dyDescent="0.2">
      <c r="A51" s="1924" t="s">
        <v>2098</v>
      </c>
      <c r="B51" s="1900"/>
      <c r="C51" s="1931"/>
      <c r="D51" s="1904"/>
      <c r="E51" s="1900"/>
      <c r="F51" s="1904"/>
      <c r="G51" s="1926"/>
      <c r="H51" s="1926"/>
      <c r="I51" s="1929"/>
      <c r="J51" s="1928"/>
      <c r="K51" s="1929"/>
      <c r="L51" s="1927"/>
      <c r="M51" s="1929" t="s">
        <v>1169</v>
      </c>
      <c r="N51" s="1927"/>
      <c r="O51" s="1927"/>
      <c r="P51" s="1929"/>
      <c r="Q51" s="1928"/>
      <c r="R51" s="1939"/>
      <c r="S51" s="1927"/>
      <c r="T51" s="1926"/>
    </row>
    <row r="52" spans="1:20" ht="9" customHeight="1" x14ac:dyDescent="0.2">
      <c r="A52" s="1938"/>
      <c r="B52" s="1938"/>
      <c r="C52" s="1938"/>
      <c r="D52" s="1938"/>
      <c r="E52" s="1938"/>
      <c r="F52" s="1938"/>
      <c r="G52" s="1937" t="s">
        <v>1169</v>
      </c>
      <c r="H52" s="1937"/>
      <c r="I52" s="1937"/>
      <c r="J52" s="1937"/>
      <c r="K52" s="1937" t="s">
        <v>1169</v>
      </c>
      <c r="L52" s="1937"/>
      <c r="M52" s="1937"/>
      <c r="N52" s="1937"/>
      <c r="O52" s="1937"/>
      <c r="P52" s="1937"/>
      <c r="Q52" s="1937"/>
      <c r="R52" s="1937" t="s">
        <v>1169</v>
      </c>
      <c r="S52" s="1937"/>
      <c r="T52" s="1937"/>
    </row>
    <row r="53" spans="1:20" ht="19.149999999999999" customHeight="1" x14ac:dyDescent="0.2">
      <c r="A53" s="1904"/>
      <c r="B53" s="1934" t="s">
        <v>2096</v>
      </c>
      <c r="C53" s="1931">
        <v>84.126000000000005</v>
      </c>
      <c r="D53" s="1904"/>
      <c r="E53" s="1904" t="s">
        <v>2097</v>
      </c>
      <c r="F53" s="1904"/>
      <c r="G53" s="1936">
        <v>26099</v>
      </c>
      <c r="H53" s="1926"/>
      <c r="I53" s="1935">
        <v>2216</v>
      </c>
      <c r="J53" s="1928"/>
      <c r="K53" s="1935">
        <v>28315</v>
      </c>
      <c r="L53" s="1927"/>
      <c r="M53" s="1935"/>
      <c r="N53" s="1927"/>
      <c r="O53" s="1927"/>
      <c r="P53" s="1929"/>
      <c r="Q53" s="1928"/>
      <c r="R53" s="1903">
        <f>SUM(K53:Q53)</f>
        <v>28315</v>
      </c>
      <c r="S53" s="1927"/>
      <c r="T53" s="1926">
        <v>28315</v>
      </c>
    </row>
    <row r="54" spans="1:20" ht="18" customHeight="1" x14ac:dyDescent="0.35">
      <c r="A54" s="1904"/>
      <c r="B54" s="1934" t="s">
        <v>2096</v>
      </c>
      <c r="C54" s="1931">
        <v>84.126000000000005</v>
      </c>
      <c r="D54" s="1904"/>
      <c r="E54" s="1904" t="s">
        <v>2095</v>
      </c>
      <c r="F54" s="1904"/>
      <c r="G54" s="1930" t="s">
        <v>1169</v>
      </c>
      <c r="H54" s="1900" t="s">
        <v>1169</v>
      </c>
      <c r="I54" s="1930">
        <v>22121</v>
      </c>
      <c r="J54" s="1904"/>
      <c r="K54" s="1930" t="s">
        <v>1169</v>
      </c>
      <c r="L54" s="1900"/>
      <c r="M54" s="1930">
        <v>22121</v>
      </c>
      <c r="N54" s="1900"/>
      <c r="O54" s="1900"/>
      <c r="P54" s="1930" t="s">
        <v>1169</v>
      </c>
      <c r="Q54" s="1930"/>
      <c r="R54" s="1899">
        <f>SUM(K54:Q54)</f>
        <v>22121</v>
      </c>
      <c r="S54" s="1900"/>
      <c r="T54" s="1900">
        <v>22121</v>
      </c>
    </row>
    <row r="55" spans="1:20" ht="16.149999999999999" customHeight="1" x14ac:dyDescent="0.35">
      <c r="A55" s="1904"/>
      <c r="B55" s="1900" t="s">
        <v>2094</v>
      </c>
      <c r="C55" s="1931"/>
      <c r="D55" s="1904"/>
      <c r="E55" s="1900"/>
      <c r="F55" s="1904"/>
      <c r="G55" s="1933">
        <f>SUM(G53:G54)</f>
        <v>26099</v>
      </c>
      <c r="H55" s="1926"/>
      <c r="I55" s="1933">
        <f>SUM(I53:I54)</f>
        <v>24337</v>
      </c>
      <c r="J55" s="1933"/>
      <c r="K55" s="1933">
        <f>SUM(K53:K54)</f>
        <v>28315</v>
      </c>
      <c r="L55" s="1929" t="s">
        <v>1169</v>
      </c>
      <c r="M55" s="1933">
        <f>SUM(M53:M54)</f>
        <v>22121</v>
      </c>
      <c r="N55" s="1929" t="s">
        <v>1169</v>
      </c>
      <c r="O55" s="1933"/>
      <c r="P55" s="1933">
        <f>SUM(P53:P54)</f>
        <v>0</v>
      </c>
      <c r="Q55" s="1933"/>
      <c r="R55" s="1933">
        <f>SUM(R53:R54)</f>
        <v>50436</v>
      </c>
      <c r="S55" s="1927"/>
      <c r="T55" s="1926"/>
    </row>
    <row r="56" spans="1:20" ht="16.149999999999999" customHeight="1" x14ac:dyDescent="0.35">
      <c r="A56" s="1904"/>
      <c r="B56" s="1900"/>
      <c r="C56" s="1931"/>
      <c r="D56" s="1904"/>
      <c r="E56" s="1900"/>
      <c r="F56" s="1904"/>
      <c r="G56" s="1933"/>
      <c r="H56" s="1926"/>
      <c r="I56" s="1933"/>
      <c r="J56" s="1933"/>
      <c r="K56" s="1933"/>
      <c r="L56" s="1933"/>
      <c r="M56" s="1933"/>
      <c r="N56" s="1933"/>
      <c r="O56" s="1933"/>
      <c r="P56" s="1933"/>
      <c r="Q56" s="1933"/>
      <c r="R56" s="1933"/>
      <c r="S56" s="1927"/>
      <c r="T56" s="1926"/>
    </row>
    <row r="57" spans="1:20" ht="16.149999999999999" customHeight="1" x14ac:dyDescent="0.35">
      <c r="A57" s="1924" t="s">
        <v>2093</v>
      </c>
      <c r="B57" s="1900"/>
      <c r="C57" s="1909"/>
      <c r="D57" s="1900"/>
      <c r="E57" s="1900"/>
      <c r="F57" s="1904"/>
      <c r="G57" s="1930">
        <f>+G47+G55</f>
        <v>1313154</v>
      </c>
      <c r="H57" s="1926"/>
      <c r="I57" s="1930">
        <f>+I47+I55</f>
        <v>1657072</v>
      </c>
      <c r="J57" s="1928"/>
      <c r="K57" s="1930">
        <f>+K47+K55</f>
        <v>1390906</v>
      </c>
      <c r="L57" s="1926"/>
      <c r="M57" s="1930">
        <f>+M47+M55</f>
        <v>1655045</v>
      </c>
      <c r="N57" s="1926"/>
      <c r="O57" s="1926"/>
      <c r="P57" s="1930">
        <f>+P47+P55</f>
        <v>67598</v>
      </c>
      <c r="Q57" s="1928"/>
      <c r="R57" s="1930">
        <f>+R47+R55</f>
        <v>3113549</v>
      </c>
      <c r="S57" s="1926"/>
      <c r="T57" s="1932"/>
    </row>
    <row r="58" spans="1:20" ht="11.65" customHeight="1" x14ac:dyDescent="0.35">
      <c r="A58" s="1924"/>
      <c r="B58" s="1900"/>
      <c r="C58" s="1909"/>
      <c r="D58" s="1900"/>
      <c r="E58" s="1900"/>
      <c r="F58" s="1904"/>
      <c r="G58" s="1930"/>
      <c r="H58" s="1926"/>
      <c r="I58" s="1930"/>
      <c r="J58" s="1928"/>
      <c r="K58" s="1930"/>
      <c r="L58" s="1926"/>
      <c r="M58" s="1930"/>
      <c r="N58" s="1926"/>
      <c r="O58" s="1926"/>
      <c r="P58" s="1930"/>
      <c r="Q58" s="1928"/>
      <c r="R58" s="1930"/>
      <c r="S58" s="1926"/>
      <c r="T58" s="1932"/>
    </row>
    <row r="59" spans="1:20" ht="16.149999999999999" customHeight="1" x14ac:dyDescent="0.35">
      <c r="A59" s="1924" t="s">
        <v>2092</v>
      </c>
      <c r="B59" s="1900"/>
      <c r="C59" s="1931"/>
      <c r="D59" s="1904"/>
      <c r="E59" s="1900"/>
      <c r="F59" s="1904"/>
      <c r="G59" s="1930"/>
      <c r="H59" s="1926"/>
      <c r="I59" s="1930"/>
      <c r="J59" s="1926"/>
      <c r="K59" s="1930"/>
      <c r="L59" s="1926"/>
      <c r="M59" s="1930"/>
      <c r="N59" s="1926"/>
      <c r="O59" s="1926"/>
      <c r="P59" s="1930"/>
      <c r="Q59" s="1926"/>
      <c r="R59" s="1930"/>
      <c r="S59" s="1927"/>
      <c r="T59" s="1926"/>
    </row>
    <row r="60" spans="1:20" ht="16.149999999999999" customHeight="1" x14ac:dyDescent="0.35">
      <c r="A60" s="1924" t="s">
        <v>2091</v>
      </c>
      <c r="B60" s="1900"/>
      <c r="C60" s="1931"/>
      <c r="D60" s="1904"/>
      <c r="E60" s="1900"/>
      <c r="F60" s="1904"/>
      <c r="G60" s="1930"/>
      <c r="H60" s="1926"/>
      <c r="I60" s="1930"/>
      <c r="J60" s="1926"/>
      <c r="K60" s="1930"/>
      <c r="L60" s="1926"/>
      <c r="M60" s="1930"/>
      <c r="N60" s="1926"/>
      <c r="O60" s="1926"/>
      <c r="P60" s="1930"/>
      <c r="Q60" s="1926"/>
      <c r="R60" s="1930"/>
      <c r="S60" s="1927"/>
      <c r="T60" s="1926"/>
    </row>
    <row r="61" spans="1:20" ht="16.149999999999999" customHeight="1" x14ac:dyDescent="0.35">
      <c r="A61" s="1924" t="s">
        <v>2090</v>
      </c>
      <c r="B61" s="1900"/>
      <c r="C61" s="1931"/>
      <c r="D61" s="1904"/>
      <c r="E61" s="1900"/>
      <c r="F61" s="1904"/>
      <c r="G61" s="1930"/>
      <c r="H61" s="1926"/>
      <c r="I61" s="1930"/>
      <c r="J61" s="1926"/>
      <c r="K61" s="1930"/>
      <c r="L61" s="1926"/>
      <c r="M61" s="1930"/>
      <c r="N61" s="1926"/>
      <c r="O61" s="1926"/>
      <c r="P61" s="1930"/>
      <c r="Q61" s="1926"/>
      <c r="R61" s="1930"/>
      <c r="S61" s="1927"/>
      <c r="T61" s="1926"/>
    </row>
    <row r="62" spans="1:20" ht="16.149999999999999" customHeight="1" x14ac:dyDescent="0.2">
      <c r="A62" s="1924"/>
      <c r="B62" s="1900" t="s">
        <v>2087</v>
      </c>
      <c r="C62" s="1931">
        <v>93.778000000000006</v>
      </c>
      <c r="D62" s="1904"/>
      <c r="E62" s="1904" t="s">
        <v>2089</v>
      </c>
      <c r="F62" s="1904"/>
      <c r="G62" s="1926">
        <v>49412</v>
      </c>
      <c r="H62" s="1926"/>
      <c r="I62" s="1926">
        <v>20045</v>
      </c>
      <c r="J62" s="1926"/>
      <c r="K62" s="1926">
        <v>72350</v>
      </c>
      <c r="L62" s="1926"/>
      <c r="M62" s="1926"/>
      <c r="N62" s="1926"/>
      <c r="O62" s="1926"/>
      <c r="P62" s="1926" t="s">
        <v>1169</v>
      </c>
      <c r="Q62" s="1926"/>
      <c r="R62" s="1903">
        <f>+K62+M62+P62</f>
        <v>72350</v>
      </c>
      <c r="S62" s="1927"/>
      <c r="T62" s="1926" t="s">
        <v>2085</v>
      </c>
    </row>
    <row r="63" spans="1:20" ht="16.149999999999999" customHeight="1" x14ac:dyDescent="0.35">
      <c r="A63" s="1924"/>
      <c r="B63" s="1900" t="s">
        <v>2087</v>
      </c>
      <c r="C63" s="1931">
        <v>93.778000000000006</v>
      </c>
      <c r="D63" s="1904"/>
      <c r="E63" s="1904" t="s">
        <v>2088</v>
      </c>
      <c r="F63" s="1904"/>
      <c r="G63" s="1930" t="s">
        <v>1169</v>
      </c>
      <c r="H63" s="1926"/>
      <c r="I63" s="2023">
        <v>51998</v>
      </c>
      <c r="J63" s="1926"/>
      <c r="K63" s="1930" t="s">
        <v>1169</v>
      </c>
      <c r="L63" s="1926"/>
      <c r="M63" s="2023">
        <v>75908</v>
      </c>
      <c r="N63" s="1926"/>
      <c r="O63" s="1926"/>
      <c r="P63" s="1930">
        <v>0</v>
      </c>
      <c r="Q63" s="1926"/>
      <c r="R63" s="1930">
        <f>+K63+M63+P63</f>
        <v>75908</v>
      </c>
      <c r="S63" s="1927"/>
      <c r="T63" s="1926" t="s">
        <v>2085</v>
      </c>
    </row>
    <row r="64" spans="1:20" ht="15.75" hidden="1" customHeight="1" x14ac:dyDescent="0.35">
      <c r="A64" s="1925"/>
      <c r="B64" s="1900" t="s">
        <v>2087</v>
      </c>
      <c r="C64" s="1931">
        <v>93.778000000000006</v>
      </c>
      <c r="D64" s="1904"/>
      <c r="E64" s="1904" t="s">
        <v>2086</v>
      </c>
      <c r="F64" s="1904"/>
      <c r="G64" s="1930"/>
      <c r="H64" s="1926"/>
      <c r="I64" s="1930" t="s">
        <v>1169</v>
      </c>
      <c r="J64" s="1926"/>
      <c r="K64" s="1930"/>
      <c r="L64" s="1926"/>
      <c r="M64" s="1930">
        <v>0</v>
      </c>
      <c r="N64" s="1926"/>
      <c r="O64" s="1926"/>
      <c r="P64" s="1930" t="s">
        <v>1169</v>
      </c>
      <c r="Q64" s="1926"/>
      <c r="R64" s="1899">
        <f>+K64+M64+P64</f>
        <v>0</v>
      </c>
      <c r="S64" s="1927"/>
      <c r="T64" s="1926" t="s">
        <v>2085</v>
      </c>
    </row>
    <row r="65" spans="1:20" ht="19.5" customHeight="1" x14ac:dyDescent="0.35">
      <c r="A65" s="1924" t="s">
        <v>2084</v>
      </c>
      <c r="B65" s="1900"/>
      <c r="C65" s="1931"/>
      <c r="D65" s="1904"/>
      <c r="E65" s="1904"/>
      <c r="F65" s="1904"/>
      <c r="G65" s="1930">
        <f>SUM(G62:G64)</f>
        <v>49412</v>
      </c>
      <c r="H65" s="1926"/>
      <c r="I65" s="1930">
        <f>SUM(I62:I64)</f>
        <v>72043</v>
      </c>
      <c r="J65" s="1926"/>
      <c r="K65" s="1930">
        <f>SUM(K62:K64)</f>
        <v>72350</v>
      </c>
      <c r="L65" s="1926"/>
      <c r="M65" s="1930">
        <f>SUM(M62:M64)</f>
        <v>75908</v>
      </c>
      <c r="N65" s="1926"/>
      <c r="O65" s="1926"/>
      <c r="P65" s="1930">
        <f>SUM(P62:P64)</f>
        <v>0</v>
      </c>
      <c r="Q65" s="1926"/>
      <c r="R65" s="1930">
        <f>SUM(R62:R64)</f>
        <v>148258</v>
      </c>
      <c r="S65" s="1927"/>
      <c r="T65" s="1926"/>
    </row>
    <row r="66" spans="1:20" ht="16.149999999999999" customHeight="1" x14ac:dyDescent="0.2">
      <c r="A66" s="1904"/>
      <c r="B66" s="1900"/>
      <c r="C66" s="1909"/>
      <c r="D66" s="1900"/>
      <c r="E66" s="1900"/>
      <c r="F66" s="1904"/>
      <c r="G66" s="1926"/>
      <c r="H66" s="1926"/>
      <c r="I66" s="1929"/>
      <c r="J66" s="1928"/>
      <c r="K66" s="1929"/>
      <c r="L66" s="1927"/>
      <c r="M66" s="1929"/>
      <c r="N66" s="1927"/>
      <c r="O66" s="1927"/>
      <c r="P66" s="1929"/>
      <c r="Q66" s="1928"/>
      <c r="R66" s="1929"/>
      <c r="S66" s="1927" t="s">
        <v>1169</v>
      </c>
      <c r="T66" s="1926"/>
    </row>
    <row r="67" spans="1:20" ht="16.149999999999999" hidden="1" customHeight="1" x14ac:dyDescent="0.2">
      <c r="A67" s="1904"/>
      <c r="B67" s="1900"/>
      <c r="C67" s="1909"/>
      <c r="D67" s="1900"/>
      <c r="E67" s="1900"/>
      <c r="F67" s="1904"/>
      <c r="G67" s="1926"/>
      <c r="H67" s="1926"/>
      <c r="I67" s="1926"/>
      <c r="J67" s="1928"/>
      <c r="K67" s="1926"/>
      <c r="L67" s="1927"/>
      <c r="M67" s="1926"/>
      <c r="N67" s="1927"/>
      <c r="O67" s="1927"/>
      <c r="P67" s="1926"/>
      <c r="Q67" s="1928"/>
      <c r="R67" s="1926"/>
      <c r="S67" s="1927"/>
      <c r="T67" s="1926"/>
    </row>
    <row r="68" spans="1:20" ht="16.149999999999999" customHeight="1" x14ac:dyDescent="0.35">
      <c r="A68" s="1924" t="s">
        <v>2081</v>
      </c>
      <c r="B68" s="1900"/>
      <c r="C68" s="1909"/>
      <c r="D68" s="1900"/>
      <c r="E68" s="1904"/>
      <c r="F68" s="1904"/>
      <c r="G68" s="1917">
        <f>+G57+G65</f>
        <v>1362566</v>
      </c>
      <c r="H68" s="1917"/>
      <c r="I68" s="1917">
        <f>+I57+I65</f>
        <v>1729115</v>
      </c>
      <c r="J68" s="1917"/>
      <c r="K68" s="1917">
        <f>+K57+K65</f>
        <v>1463256</v>
      </c>
      <c r="L68" s="1917"/>
      <c r="M68" s="1917">
        <f>+M57+M65</f>
        <v>1730953</v>
      </c>
      <c r="N68" s="1917"/>
      <c r="O68" s="1917"/>
      <c r="P68" s="1917">
        <f>+P57+P65</f>
        <v>67598</v>
      </c>
      <c r="Q68" s="1917"/>
      <c r="R68" s="1917">
        <f>+R57+R65</f>
        <v>3261807</v>
      </c>
      <c r="S68" s="1926"/>
      <c r="T68" s="1926"/>
    </row>
    <row r="69" spans="1:20" ht="9.6" customHeight="1" x14ac:dyDescent="0.35">
      <c r="A69" s="1924"/>
      <c r="B69" s="1900"/>
      <c r="C69" s="1909"/>
      <c r="D69" s="1900"/>
      <c r="E69" s="1904"/>
      <c r="F69" s="1904"/>
      <c r="G69" s="1917"/>
      <c r="H69" s="1917"/>
      <c r="I69" s="1917"/>
      <c r="J69" s="1917"/>
      <c r="K69" s="1917"/>
      <c r="L69" s="1917"/>
      <c r="M69" s="1917"/>
      <c r="N69" s="1917"/>
      <c r="O69" s="1917"/>
      <c r="P69" s="1917"/>
      <c r="Q69" s="1917"/>
      <c r="R69" s="1917"/>
      <c r="S69" s="1926"/>
      <c r="T69" s="1926"/>
    </row>
    <row r="70" spans="1:20" ht="10.9" customHeight="1" x14ac:dyDescent="0.35">
      <c r="A70" s="1924"/>
      <c r="B70" s="1900"/>
      <c r="C70" s="1909"/>
      <c r="D70" s="1900"/>
      <c r="E70" s="1904"/>
      <c r="F70" s="1904"/>
      <c r="G70" s="1917"/>
      <c r="H70" s="1917"/>
      <c r="I70" s="1917"/>
      <c r="J70" s="1917"/>
      <c r="K70" s="1917"/>
      <c r="L70" s="1917"/>
      <c r="M70" s="1917"/>
      <c r="N70" s="1917"/>
      <c r="O70" s="1917"/>
      <c r="P70" s="1917"/>
      <c r="Q70" s="1917"/>
      <c r="R70" s="1917"/>
      <c r="S70" s="1926"/>
      <c r="T70" s="1926"/>
    </row>
    <row r="71" spans="1:20" ht="11.65" customHeight="1" x14ac:dyDescent="0.35">
      <c r="A71" s="1924"/>
      <c r="B71" s="1900"/>
      <c r="C71" s="1909"/>
      <c r="D71" s="1900"/>
      <c r="E71" s="1904"/>
      <c r="F71" s="1904"/>
      <c r="G71" s="1917"/>
      <c r="H71" s="1917"/>
      <c r="I71" s="1917"/>
      <c r="J71" s="1917"/>
      <c r="K71" s="1917"/>
      <c r="L71" s="1917"/>
      <c r="M71" s="1917"/>
      <c r="N71" s="1917"/>
      <c r="O71" s="1917"/>
      <c r="P71" s="1917"/>
      <c r="Q71" s="1917"/>
      <c r="R71" s="1917"/>
      <c r="S71" s="1926"/>
      <c r="T71" s="1926"/>
    </row>
    <row r="72" spans="1:20" ht="16.149999999999999" customHeight="1" x14ac:dyDescent="0.2">
      <c r="A72" s="1925" t="s">
        <v>2083</v>
      </c>
      <c r="B72" s="1924"/>
      <c r="C72" s="1923"/>
      <c r="D72" s="1918"/>
      <c r="E72" s="1922"/>
      <c r="F72" s="1922"/>
      <c r="G72" s="1903">
        <f>+G47</f>
        <v>1287055</v>
      </c>
      <c r="H72" s="1903"/>
      <c r="I72" s="1903">
        <f>+I47</f>
        <v>1632735</v>
      </c>
      <c r="J72" s="1903"/>
      <c r="K72" s="1903">
        <f>+K47</f>
        <v>1362591</v>
      </c>
      <c r="L72" s="1903"/>
      <c r="M72" s="1903">
        <f>+M47</f>
        <v>1632924</v>
      </c>
      <c r="N72" s="1903"/>
      <c r="O72" s="1903"/>
      <c r="P72" s="1903">
        <f>+P47</f>
        <v>67598</v>
      </c>
      <c r="Q72" s="1903"/>
      <c r="R72" s="1903">
        <f>+R47</f>
        <v>3063113</v>
      </c>
      <c r="S72" s="1921"/>
      <c r="T72" s="1920"/>
    </row>
    <row r="73" spans="1:20" ht="16.149999999999999" customHeight="1" x14ac:dyDescent="0.2">
      <c r="A73" s="1900"/>
      <c r="B73" s="1900"/>
      <c r="C73" s="1900"/>
      <c r="D73" s="1900"/>
      <c r="E73" s="1900"/>
      <c r="F73" s="1900"/>
      <c r="G73" s="1900"/>
      <c r="H73" s="1901"/>
      <c r="I73" s="1901"/>
      <c r="J73" s="1902"/>
      <c r="K73" s="1901"/>
      <c r="L73" s="1901"/>
      <c r="M73" s="1901"/>
      <c r="N73" s="1901"/>
      <c r="O73" s="1901"/>
      <c r="P73" s="1901"/>
      <c r="Q73" s="1902"/>
      <c r="R73" s="1901"/>
      <c r="S73" s="1901"/>
      <c r="T73" s="1901"/>
    </row>
    <row r="74" spans="1:20" ht="16.149999999999999" customHeight="1" x14ac:dyDescent="0.35">
      <c r="A74" s="1918" t="s">
        <v>2082</v>
      </c>
      <c r="B74" s="1900"/>
      <c r="C74" s="1900"/>
      <c r="D74" s="1900"/>
      <c r="E74" s="1900"/>
      <c r="F74" s="1900"/>
      <c r="G74" s="1899">
        <f>+G65+G55</f>
        <v>75511</v>
      </c>
      <c r="H74" s="1899"/>
      <c r="I74" s="1899">
        <f>+I65+I55</f>
        <v>96380</v>
      </c>
      <c r="J74" s="1899"/>
      <c r="K74" s="1899">
        <f>+K65+K55</f>
        <v>100665</v>
      </c>
      <c r="L74" s="1899"/>
      <c r="M74" s="1899">
        <f>+M65+M55</f>
        <v>98029</v>
      </c>
      <c r="N74" s="1899"/>
      <c r="O74" s="1899"/>
      <c r="P74" s="1899">
        <f>+P65+P55</f>
        <v>0</v>
      </c>
      <c r="Q74" s="1899"/>
      <c r="R74" s="1899">
        <f>+R65+R55</f>
        <v>198694</v>
      </c>
      <c r="S74" s="1901"/>
      <c r="T74" s="1901"/>
    </row>
    <row r="75" spans="1:20" ht="16.149999999999999" customHeight="1" x14ac:dyDescent="0.2">
      <c r="A75" s="1900"/>
      <c r="B75" s="1900"/>
      <c r="C75" s="1900"/>
      <c r="D75" s="1900"/>
      <c r="E75" s="1900"/>
      <c r="F75" s="1900"/>
      <c r="G75" s="1900"/>
      <c r="H75" s="1901"/>
      <c r="I75" s="1901"/>
      <c r="J75" s="1902"/>
      <c r="K75" s="1901"/>
      <c r="L75" s="1901"/>
      <c r="M75" s="1901"/>
      <c r="N75" s="1901"/>
      <c r="O75" s="1901"/>
      <c r="P75" s="1901"/>
      <c r="Q75" s="1902"/>
      <c r="R75" s="1901"/>
      <c r="S75" s="1901"/>
      <c r="T75" s="1901"/>
    </row>
    <row r="76" spans="1:20" ht="16.149999999999999" customHeight="1" x14ac:dyDescent="0.35">
      <c r="A76" s="1918" t="s">
        <v>2081</v>
      </c>
      <c r="B76" s="1900"/>
      <c r="C76" s="1900"/>
      <c r="D76" s="1900"/>
      <c r="E76" s="1900"/>
      <c r="F76" s="1900"/>
      <c r="G76" s="1917">
        <f>G72+G74</f>
        <v>1362566</v>
      </c>
      <c r="H76" s="1917"/>
      <c r="I76" s="1917">
        <f>I72+I74</f>
        <v>1729115</v>
      </c>
      <c r="J76" s="1917"/>
      <c r="K76" s="1917">
        <f>K72+K74</f>
        <v>1463256</v>
      </c>
      <c r="L76" s="1917"/>
      <c r="M76" s="1917">
        <f>M72+M74</f>
        <v>1730953</v>
      </c>
      <c r="N76" s="1917"/>
      <c r="O76" s="1917"/>
      <c r="P76" s="1917">
        <f>P72+P74</f>
        <v>67598</v>
      </c>
      <c r="Q76" s="1917"/>
      <c r="R76" s="1917">
        <f>R72+R74</f>
        <v>3261807</v>
      </c>
      <c r="S76" s="1901"/>
      <c r="T76" s="1901"/>
    </row>
    <row r="77" spans="1:20" ht="7.9" customHeight="1" x14ac:dyDescent="0.2">
      <c r="A77" s="1900"/>
      <c r="B77" s="1900"/>
      <c r="C77" s="1900"/>
      <c r="D77" s="1900"/>
      <c r="E77" s="1900"/>
      <c r="F77" s="1900"/>
      <c r="G77" s="1900"/>
      <c r="H77" s="1901"/>
      <c r="I77" s="1901" t="s">
        <v>1169</v>
      </c>
      <c r="J77" s="1902"/>
      <c r="K77" s="1901"/>
      <c r="L77" s="1901"/>
      <c r="M77" s="1901"/>
      <c r="N77" s="1901"/>
      <c r="O77" s="1901"/>
      <c r="P77" s="1901"/>
      <c r="Q77" s="1902"/>
      <c r="R77" s="1901"/>
      <c r="S77" s="1901"/>
      <c r="T77" s="1901"/>
    </row>
    <row r="78" spans="1:20" ht="16.149999999999999" customHeight="1" x14ac:dyDescent="0.2">
      <c r="A78" s="1900" t="s">
        <v>2080</v>
      </c>
      <c r="B78" s="1900"/>
      <c r="C78" s="1900"/>
      <c r="D78" s="1900"/>
      <c r="E78" s="1904"/>
      <c r="F78" s="1904"/>
      <c r="G78" s="1901"/>
      <c r="H78" s="1901"/>
      <c r="I78" s="1901" t="s">
        <v>1169</v>
      </c>
      <c r="J78" s="1902"/>
      <c r="K78" s="1901"/>
      <c r="L78" s="1901"/>
      <c r="M78" s="1901"/>
      <c r="N78" s="1901"/>
      <c r="O78" s="1901"/>
      <c r="P78" s="1901"/>
      <c r="Q78" s="1902"/>
      <c r="R78" s="1901"/>
      <c r="S78" s="1901"/>
      <c r="T78" s="1901"/>
    </row>
    <row r="79" spans="1:20" ht="14.25" customHeight="1" x14ac:dyDescent="0.35">
      <c r="A79" s="1916"/>
      <c r="B79" s="1900"/>
      <c r="C79" s="1915"/>
      <c r="D79" s="1900"/>
      <c r="E79" s="1915"/>
      <c r="F79" s="1901"/>
      <c r="G79" s="1915"/>
      <c r="H79" s="1902"/>
      <c r="I79" s="1901"/>
      <c r="J79" s="1901"/>
      <c r="K79" s="1901" t="s">
        <v>1169</v>
      </c>
      <c r="L79" s="1902"/>
      <c r="M79" s="1901"/>
      <c r="N79" s="1902"/>
      <c r="O79" s="1902"/>
      <c r="P79" s="1901"/>
      <c r="Q79" s="1901"/>
      <c r="R79" s="1901"/>
      <c r="S79" s="1912"/>
      <c r="T79" s="1912"/>
    </row>
    <row r="80" spans="1:20" ht="15" hidden="1" customHeight="1" x14ac:dyDescent="0.2">
      <c r="A80" s="1904"/>
      <c r="B80" s="1905"/>
      <c r="C80" s="1900"/>
      <c r="D80" s="1900"/>
      <c r="E80" s="1901"/>
      <c r="F80" s="1901"/>
      <c r="G80" s="1901"/>
      <c r="H80" s="1902"/>
      <c r="I80" s="1901" t="s">
        <v>2079</v>
      </c>
      <c r="J80" s="1877"/>
      <c r="N80" s="1878"/>
      <c r="O80" s="1878"/>
      <c r="Q80" s="1877"/>
      <c r="S80" s="1913"/>
      <c r="T80" s="1913"/>
    </row>
    <row r="81" spans="1:20" ht="21.75" hidden="1" customHeight="1" x14ac:dyDescent="0.35">
      <c r="A81" s="1904"/>
      <c r="B81" s="1900"/>
      <c r="C81" s="1900"/>
      <c r="D81" s="1900"/>
      <c r="E81" s="1914"/>
      <c r="F81" s="1901"/>
      <c r="G81" s="1914"/>
      <c r="H81" s="1902"/>
      <c r="I81" s="1914" t="s">
        <v>2078</v>
      </c>
      <c r="J81" s="1901"/>
      <c r="K81" s="1907"/>
      <c r="N81" s="1878"/>
      <c r="O81" s="1878"/>
      <c r="Q81" s="1877"/>
      <c r="S81" s="1913"/>
      <c r="T81" s="1913"/>
    </row>
    <row r="82" spans="1:20" ht="5.65" hidden="1" customHeight="1" x14ac:dyDescent="0.2">
      <c r="A82" s="1904"/>
      <c r="B82" s="1900"/>
      <c r="C82" s="1900"/>
      <c r="D82" s="1900"/>
      <c r="E82" s="1907"/>
      <c r="F82" s="1901"/>
      <c r="G82" s="1907"/>
      <c r="H82" s="1902"/>
      <c r="I82" s="1907"/>
      <c r="J82" s="1901"/>
      <c r="K82" s="1907"/>
      <c r="N82" s="1878"/>
      <c r="O82" s="1878"/>
      <c r="Q82" s="1877"/>
      <c r="S82" s="1913"/>
      <c r="T82" s="1913"/>
    </row>
    <row r="83" spans="1:20" ht="16.149999999999999" hidden="1" customHeight="1" x14ac:dyDescent="0.2">
      <c r="A83" s="1904"/>
      <c r="B83" s="1900"/>
      <c r="C83" s="1900"/>
      <c r="D83" s="1900"/>
      <c r="E83" s="1901"/>
      <c r="F83" s="1901"/>
      <c r="G83" s="1901"/>
      <c r="H83" s="1902"/>
      <c r="I83" s="1901">
        <v>8037</v>
      </c>
      <c r="J83" s="1901"/>
      <c r="K83" s="1907"/>
      <c r="N83" s="1878"/>
      <c r="O83" s="1878"/>
      <c r="Q83" s="1877"/>
      <c r="S83" s="1912"/>
      <c r="T83" s="1912"/>
    </row>
    <row r="84" spans="1:20" ht="16.149999999999999" hidden="1" customHeight="1" x14ac:dyDescent="0.2">
      <c r="A84" s="1904"/>
      <c r="B84" s="1900"/>
      <c r="C84" s="1900"/>
      <c r="D84" s="1900"/>
      <c r="E84" s="1901"/>
      <c r="F84" s="1901"/>
      <c r="G84" s="1901"/>
      <c r="H84" s="1902"/>
      <c r="I84" s="1901">
        <v>9935</v>
      </c>
      <c r="J84" s="1901"/>
      <c r="K84" s="1907"/>
      <c r="N84" s="1878"/>
      <c r="O84" s="1878"/>
      <c r="Q84" s="1877"/>
      <c r="S84" s="1895"/>
      <c r="T84" s="1895"/>
    </row>
    <row r="85" spans="1:20" s="1911" customFormat="1" ht="16.149999999999999" hidden="1" customHeight="1" x14ac:dyDescent="0.2">
      <c r="A85" s="1904"/>
      <c r="B85" s="1900"/>
      <c r="C85" s="1909"/>
      <c r="D85" s="1900"/>
      <c r="E85" s="1901"/>
      <c r="F85" s="1901"/>
      <c r="G85" s="1901"/>
      <c r="H85" s="1902"/>
      <c r="I85" s="1901"/>
      <c r="J85" s="1901"/>
      <c r="K85" s="1907"/>
      <c r="S85" s="1877"/>
      <c r="T85" s="1877"/>
    </row>
    <row r="86" spans="1:20" ht="16.149999999999999" hidden="1" customHeight="1" x14ac:dyDescent="0.2">
      <c r="A86" s="1904"/>
      <c r="B86" s="1900"/>
      <c r="C86" s="1909"/>
      <c r="D86" s="1900"/>
      <c r="E86" s="1901"/>
      <c r="F86" s="1901"/>
      <c r="G86" s="1901"/>
      <c r="H86" s="1902"/>
      <c r="I86" s="1901">
        <v>4040</v>
      </c>
      <c r="J86" s="1901"/>
      <c r="K86" s="1907"/>
      <c r="N86" s="1878"/>
      <c r="O86" s="1878"/>
      <c r="Q86" s="1877"/>
    </row>
    <row r="87" spans="1:20" ht="16.149999999999999" hidden="1" customHeight="1" x14ac:dyDescent="0.2">
      <c r="A87" s="1904"/>
      <c r="B87" s="1900"/>
      <c r="C87" s="1909"/>
      <c r="D87" s="1900"/>
      <c r="E87" s="1901"/>
      <c r="F87" s="1901"/>
      <c r="G87" s="1901"/>
      <c r="H87" s="1902"/>
      <c r="I87" s="1901">
        <v>2523</v>
      </c>
      <c r="J87" s="1901"/>
      <c r="K87" s="1907"/>
      <c r="N87" s="1878"/>
      <c r="O87" s="1878"/>
      <c r="Q87" s="1877"/>
    </row>
    <row r="88" spans="1:20" ht="16.149999999999999" hidden="1" customHeight="1" x14ac:dyDescent="0.2">
      <c r="A88" s="1904"/>
      <c r="B88" s="1900"/>
      <c r="C88" s="1909"/>
      <c r="D88" s="1900"/>
      <c r="E88" s="1901"/>
      <c r="F88" s="1901"/>
      <c r="G88" s="1901"/>
      <c r="H88" s="1902"/>
      <c r="I88" s="1901">
        <v>3264</v>
      </c>
      <c r="J88" s="1901"/>
      <c r="K88" s="1907"/>
      <c r="N88" s="1878"/>
      <c r="O88" s="1878"/>
      <c r="Q88" s="1877"/>
    </row>
    <row r="89" spans="1:20" ht="16.149999999999999" hidden="1" customHeight="1" x14ac:dyDescent="0.2">
      <c r="A89" s="1904"/>
      <c r="B89" s="1900"/>
      <c r="C89" s="1909"/>
      <c r="D89" s="1900"/>
      <c r="E89" s="1901"/>
      <c r="F89" s="1901"/>
      <c r="G89" s="1901"/>
      <c r="H89" s="1902"/>
      <c r="I89" s="1901"/>
      <c r="J89" s="1901"/>
      <c r="K89" s="1907"/>
      <c r="N89" s="1878"/>
      <c r="O89" s="1878"/>
      <c r="Q89" s="1877"/>
    </row>
    <row r="90" spans="1:20" ht="16.149999999999999" hidden="1" customHeight="1" x14ac:dyDescent="0.35">
      <c r="A90" s="1904"/>
      <c r="B90" s="1900"/>
      <c r="C90" s="1909"/>
      <c r="D90" s="1900"/>
      <c r="E90" s="1910"/>
      <c r="F90" s="1901"/>
      <c r="G90" s="1910"/>
      <c r="H90" s="1902"/>
      <c r="I90" s="1910" t="s">
        <v>1169</v>
      </c>
      <c r="J90" s="1901"/>
      <c r="K90" s="1907"/>
      <c r="N90" s="1878"/>
      <c r="O90" s="1878"/>
      <c r="Q90" s="1877"/>
    </row>
    <row r="91" spans="1:20" ht="16.149999999999999" hidden="1" customHeight="1" x14ac:dyDescent="0.2">
      <c r="A91" s="1904"/>
      <c r="B91" s="1900"/>
      <c r="C91" s="1909"/>
      <c r="D91" s="1900"/>
      <c r="E91" s="1908"/>
      <c r="F91" s="1901"/>
      <c r="G91" s="1908"/>
      <c r="H91" s="1902"/>
      <c r="I91" s="1908">
        <f>SUM(I83:I90)</f>
        <v>27799</v>
      </c>
      <c r="J91" s="1901"/>
      <c r="K91" s="1907"/>
      <c r="N91" s="1878"/>
      <c r="O91" s="1878"/>
      <c r="Q91" s="1877"/>
    </row>
    <row r="92" spans="1:20" ht="16.149999999999999" customHeight="1" x14ac:dyDescent="0.2">
      <c r="A92" s="1904"/>
      <c r="B92" s="1900"/>
      <c r="C92" s="1903"/>
      <c r="D92" s="1900"/>
      <c r="E92" s="1901"/>
      <c r="F92" s="1901"/>
      <c r="G92" s="1901"/>
      <c r="H92" s="1902"/>
      <c r="I92" s="1900"/>
      <c r="J92" s="1900"/>
      <c r="K92" s="1900"/>
      <c r="L92" s="1901"/>
      <c r="M92" s="1901"/>
      <c r="N92" s="1902"/>
      <c r="O92" s="1902"/>
      <c r="P92" s="1901"/>
      <c r="Q92" s="1901"/>
      <c r="R92" s="1901"/>
    </row>
    <row r="93" spans="1:20" ht="16.149999999999999" customHeight="1" x14ac:dyDescent="0.2">
      <c r="A93" s="1906"/>
      <c r="B93" s="1900"/>
      <c r="C93" s="1903"/>
      <c r="D93" s="1900"/>
      <c r="E93" s="1901"/>
      <c r="F93" s="1901"/>
      <c r="G93" s="1901"/>
      <c r="H93" s="1902"/>
      <c r="I93" s="1901" t="s">
        <v>1169</v>
      </c>
      <c r="J93" s="1901"/>
      <c r="K93" s="1901" t="s">
        <v>1169</v>
      </c>
      <c r="L93" s="1901"/>
      <c r="M93" s="1901"/>
      <c r="N93" s="1902"/>
      <c r="O93" s="1902"/>
      <c r="P93" s="1901"/>
      <c r="Q93" s="1901"/>
      <c r="R93" s="1901"/>
    </row>
    <row r="94" spans="1:20" ht="16.149999999999999" customHeight="1" x14ac:dyDescent="0.2">
      <c r="A94" s="1906"/>
      <c r="B94" s="1905"/>
      <c r="C94" s="1903"/>
      <c r="D94" s="1900"/>
      <c r="E94" s="1901"/>
      <c r="F94" s="1901"/>
      <c r="G94" s="1901"/>
      <c r="H94" s="1902"/>
      <c r="I94" s="1901"/>
      <c r="J94" s="1901"/>
      <c r="K94" s="1901"/>
      <c r="L94" s="1901"/>
      <c r="M94" s="1901"/>
      <c r="N94" s="1902"/>
      <c r="O94" s="1902"/>
      <c r="P94" s="1901"/>
      <c r="Q94" s="1901"/>
      <c r="R94" s="1901"/>
    </row>
    <row r="95" spans="1:20" ht="16.149999999999999" customHeight="1" x14ac:dyDescent="0.2">
      <c r="A95" s="1906"/>
      <c r="B95" s="1900"/>
      <c r="C95" s="1903"/>
      <c r="D95" s="1900"/>
      <c r="E95" s="1901"/>
      <c r="F95" s="1901"/>
      <c r="G95" s="1901"/>
      <c r="H95" s="1902"/>
      <c r="I95" s="1901"/>
      <c r="J95" s="1901"/>
      <c r="K95" s="1901"/>
      <c r="L95" s="1901"/>
      <c r="M95" s="1901"/>
      <c r="N95" s="1902"/>
      <c r="O95" s="1902"/>
      <c r="P95" s="1901"/>
      <c r="Q95" s="1901"/>
      <c r="R95" s="1901"/>
    </row>
    <row r="96" spans="1:20" ht="16.149999999999999" customHeight="1" x14ac:dyDescent="0.2">
      <c r="A96" s="1906"/>
      <c r="B96" s="1898"/>
      <c r="C96" s="1903"/>
      <c r="D96" s="1900"/>
      <c r="E96" s="1901"/>
      <c r="F96" s="1901"/>
      <c r="G96" s="1901"/>
      <c r="H96" s="1902"/>
      <c r="I96" s="1901"/>
      <c r="J96" s="1901"/>
      <c r="K96" s="1901"/>
      <c r="L96" s="1901"/>
      <c r="M96" s="1901"/>
      <c r="N96" s="1902"/>
      <c r="O96" s="1902"/>
      <c r="P96" s="1901"/>
      <c r="Q96" s="1901"/>
      <c r="R96" s="1901"/>
    </row>
    <row r="97" spans="1:85" ht="16.149999999999999" customHeight="1" x14ac:dyDescent="0.2">
      <c r="A97" s="1904"/>
      <c r="B97" s="1905"/>
      <c r="C97" s="1903"/>
      <c r="D97" s="1900"/>
      <c r="E97" s="1901"/>
      <c r="F97" s="1901"/>
      <c r="G97" s="1901"/>
      <c r="H97" s="1902"/>
      <c r="I97" s="1901" t="s">
        <v>1169</v>
      </c>
      <c r="J97" s="1901"/>
      <c r="K97" s="1901"/>
      <c r="L97" s="1901"/>
      <c r="M97" s="1901"/>
      <c r="N97" s="1902"/>
      <c r="O97" s="1902"/>
      <c r="P97" s="1901"/>
      <c r="Q97" s="1901"/>
      <c r="R97" s="1901"/>
    </row>
    <row r="98" spans="1:85" ht="16.149999999999999" customHeight="1" x14ac:dyDescent="0.2">
      <c r="A98" s="1904"/>
      <c r="B98" s="1900"/>
      <c r="C98" s="1903"/>
      <c r="D98" s="1900"/>
      <c r="E98" s="1901"/>
      <c r="F98" s="1901"/>
      <c r="G98" s="1901"/>
      <c r="H98" s="1902"/>
      <c r="I98" s="1901"/>
      <c r="J98" s="1901"/>
      <c r="K98" s="1901"/>
      <c r="L98" s="1901"/>
      <c r="M98" s="1901"/>
      <c r="N98" s="1902"/>
      <c r="O98" s="1902"/>
      <c r="P98" s="1901"/>
      <c r="Q98" s="1901"/>
      <c r="R98" s="1901"/>
    </row>
    <row r="99" spans="1:85" ht="16.149999999999999" customHeight="1" x14ac:dyDescent="0.35">
      <c r="B99" s="1898"/>
      <c r="C99" s="1899"/>
      <c r="E99" s="1899"/>
      <c r="F99" s="1894"/>
      <c r="G99" s="1899"/>
      <c r="H99" s="1895"/>
      <c r="I99" s="1894"/>
      <c r="J99" s="1894"/>
      <c r="K99" s="1894"/>
      <c r="L99" s="1894"/>
      <c r="M99" s="1894"/>
      <c r="N99" s="1895"/>
      <c r="O99" s="1895"/>
      <c r="P99" s="1894"/>
      <c r="Q99" s="1894"/>
      <c r="R99" s="1894"/>
    </row>
    <row r="100" spans="1:85" ht="16.149999999999999" customHeight="1" x14ac:dyDescent="0.2">
      <c r="B100" s="1898"/>
      <c r="C100" s="1897"/>
      <c r="E100" s="1897"/>
      <c r="F100" s="1894"/>
      <c r="G100" s="1897"/>
      <c r="H100" s="1895"/>
      <c r="I100" s="1894"/>
      <c r="J100" s="1894"/>
      <c r="K100" s="1894"/>
      <c r="L100" s="1894"/>
      <c r="M100" s="1894"/>
      <c r="N100" s="1895"/>
      <c r="O100" s="1895"/>
      <c r="P100" s="1894"/>
      <c r="Q100" s="1894"/>
      <c r="R100" s="1894"/>
    </row>
    <row r="101" spans="1:85" ht="16.149999999999999" customHeight="1" x14ac:dyDescent="0.2">
      <c r="C101" s="1896"/>
      <c r="E101" s="1894"/>
      <c r="F101" s="1894"/>
      <c r="G101" s="1894"/>
      <c r="H101" s="1895"/>
      <c r="I101" s="1894"/>
      <c r="J101" s="1894"/>
      <c r="K101" s="1894"/>
      <c r="L101" s="1894"/>
      <c r="M101" s="1894"/>
      <c r="N101" s="1895"/>
      <c r="O101" s="1895"/>
      <c r="P101" s="1894"/>
      <c r="Q101" s="1894"/>
      <c r="R101" s="1894"/>
    </row>
    <row r="102" spans="1:85" s="1893" customFormat="1" ht="16.149999999999999" customHeight="1" x14ac:dyDescent="0.2">
      <c r="A102" s="1879"/>
      <c r="B102" s="1877"/>
      <c r="C102" s="1896"/>
      <c r="D102" s="1877"/>
      <c r="E102" s="1877"/>
      <c r="F102" s="1878"/>
      <c r="G102" s="1894"/>
      <c r="H102" s="1894"/>
      <c r="I102" s="1894"/>
      <c r="J102" s="1895"/>
      <c r="K102" s="1894"/>
      <c r="L102" s="1894"/>
      <c r="M102" s="1894"/>
      <c r="N102" s="1894"/>
      <c r="O102" s="1894"/>
      <c r="P102" s="1894"/>
      <c r="Q102" s="1895"/>
      <c r="R102" s="1894"/>
      <c r="S102" s="1894"/>
      <c r="T102" s="1894"/>
      <c r="U102" s="1877"/>
      <c r="V102" s="1877"/>
      <c r="W102" s="1877"/>
      <c r="X102" s="1877"/>
      <c r="Y102" s="1877"/>
      <c r="Z102" s="1877"/>
      <c r="AA102" s="1877"/>
      <c r="AB102" s="1877"/>
      <c r="AC102" s="1877"/>
      <c r="AD102" s="1877"/>
      <c r="AE102" s="1877"/>
      <c r="AF102" s="1877"/>
      <c r="AG102" s="1877"/>
      <c r="AH102" s="1877"/>
      <c r="AI102" s="1877"/>
      <c r="AJ102" s="1877"/>
      <c r="AK102" s="1877"/>
      <c r="AL102" s="1877"/>
      <c r="AM102" s="1877"/>
      <c r="AN102" s="1877"/>
      <c r="AO102" s="1877"/>
      <c r="AP102" s="1877"/>
      <c r="AQ102" s="1877"/>
      <c r="AR102" s="1877"/>
      <c r="AS102" s="1877"/>
      <c r="AT102" s="1877"/>
      <c r="AU102" s="1877"/>
      <c r="AV102" s="1877"/>
      <c r="AW102" s="1877"/>
      <c r="AX102" s="1877"/>
      <c r="AY102" s="1877"/>
      <c r="AZ102" s="1877"/>
      <c r="BA102" s="1877"/>
      <c r="BB102" s="1877"/>
      <c r="BC102" s="1877"/>
      <c r="BD102" s="1877"/>
      <c r="BE102" s="1877"/>
      <c r="BF102" s="1877"/>
      <c r="BG102" s="1877"/>
      <c r="BH102" s="1877"/>
      <c r="BI102" s="1877"/>
      <c r="BJ102" s="1877"/>
      <c r="BK102" s="1877"/>
      <c r="BL102" s="1877"/>
      <c r="BM102" s="1877"/>
      <c r="BN102" s="1877"/>
      <c r="BO102" s="1877"/>
      <c r="BP102" s="1877"/>
      <c r="BQ102" s="1877"/>
      <c r="BR102" s="1877"/>
      <c r="BS102" s="1877"/>
      <c r="BT102" s="1877"/>
      <c r="BU102" s="1877"/>
      <c r="BV102" s="1877"/>
      <c r="BW102" s="1877"/>
      <c r="BX102" s="1877"/>
      <c r="BY102" s="1877"/>
      <c r="BZ102" s="1877"/>
      <c r="CA102" s="1877"/>
      <c r="CB102" s="1877"/>
      <c r="CC102" s="1877"/>
      <c r="CD102" s="1877"/>
      <c r="CE102" s="1877"/>
      <c r="CF102" s="1877"/>
      <c r="CG102" s="1877"/>
    </row>
    <row r="103" spans="1:85" s="1885" customFormat="1" ht="16.149999999999999" customHeight="1" x14ac:dyDescent="0.2">
      <c r="A103" s="2545"/>
      <c r="B103" s="2545"/>
      <c r="C103" s="2545"/>
      <c r="D103" s="2545"/>
      <c r="E103" s="2545"/>
      <c r="F103" s="2545"/>
      <c r="G103" s="2545"/>
      <c r="H103" s="2545"/>
      <c r="I103" s="2545"/>
      <c r="J103" s="2545"/>
      <c r="K103" s="2545"/>
      <c r="L103" s="2545"/>
      <c r="M103" s="2545"/>
    </row>
    <row r="104" spans="1:85" s="1885" customFormat="1" ht="16.149999999999999" customHeight="1" x14ac:dyDescent="0.2">
      <c r="A104" s="2546"/>
      <c r="B104" s="2546"/>
      <c r="C104" s="2546"/>
      <c r="D104" s="2546"/>
      <c r="E104" s="2546"/>
      <c r="F104" s="2546"/>
      <c r="G104" s="2546"/>
      <c r="H104" s="2546"/>
      <c r="I104" s="2546"/>
      <c r="J104" s="2546"/>
      <c r="K104" s="2546"/>
      <c r="L104" s="2546"/>
      <c r="M104" s="2546"/>
    </row>
    <row r="105" spans="1:85" s="1885" customFormat="1" ht="16.149999999999999" customHeight="1" x14ac:dyDescent="0.2">
      <c r="A105" s="2545"/>
      <c r="B105" s="2545"/>
      <c r="C105" s="2545"/>
      <c r="D105" s="2545"/>
      <c r="E105" s="2545"/>
      <c r="F105" s="2545"/>
      <c r="G105" s="2545"/>
      <c r="H105" s="2545"/>
      <c r="I105" s="2545"/>
      <c r="J105" s="2545"/>
      <c r="K105" s="2545"/>
      <c r="L105" s="2545"/>
      <c r="M105" s="2545"/>
    </row>
    <row r="106" spans="1:85" s="1885" customFormat="1" ht="16.149999999999999" customHeight="1" x14ac:dyDescent="0.2">
      <c r="A106" s="1892"/>
      <c r="B106" s="1892"/>
      <c r="C106" s="1892"/>
      <c r="D106" s="1892"/>
      <c r="E106" s="1892"/>
      <c r="F106" s="1892"/>
      <c r="G106" s="1892"/>
      <c r="H106" s="1892"/>
      <c r="I106" s="1892"/>
      <c r="J106" s="1892"/>
      <c r="K106" s="1892"/>
      <c r="L106" s="1892"/>
      <c r="M106" s="1892"/>
    </row>
    <row r="107" spans="1:85" s="1885" customFormat="1" ht="16.149999999999999" customHeight="1" x14ac:dyDescent="0.2">
      <c r="A107" s="1891"/>
      <c r="B107" s="1890"/>
      <c r="C107" s="1889"/>
      <c r="D107" s="1888"/>
      <c r="E107" s="1888"/>
      <c r="F107" s="1888"/>
      <c r="G107" s="1888"/>
      <c r="H107" s="1888"/>
      <c r="I107" s="1888"/>
      <c r="J107" s="1888"/>
    </row>
    <row r="108" spans="1:85" s="1885" customFormat="1" ht="16.149999999999999" customHeight="1" x14ac:dyDescent="0.2">
      <c r="A108" s="1891"/>
      <c r="B108" s="1890"/>
      <c r="C108" s="1889"/>
      <c r="D108" s="1888"/>
      <c r="E108" s="1888"/>
      <c r="F108" s="1888"/>
      <c r="G108" s="1888"/>
      <c r="H108" s="1888"/>
      <c r="I108" s="1888"/>
      <c r="J108" s="1888"/>
    </row>
    <row r="109" spans="1:85" s="1885" customFormat="1" ht="16.149999999999999" customHeight="1" x14ac:dyDescent="0.2">
      <c r="A109" s="1888"/>
      <c r="B109" s="1887"/>
      <c r="C109" s="1886"/>
    </row>
    <row r="110" spans="1:85" s="1885" customFormat="1" ht="16.149999999999999" customHeight="1" x14ac:dyDescent="0.2">
      <c r="A110" s="1888"/>
      <c r="B110" s="1887"/>
      <c r="C110" s="1886"/>
    </row>
    <row r="111" spans="1:85" s="1885" customFormat="1" ht="16.149999999999999" customHeight="1" x14ac:dyDescent="0.2">
      <c r="A111" s="1888"/>
      <c r="B111" s="1887"/>
      <c r="C111" s="1886"/>
    </row>
    <row r="112" spans="1:85" s="1880" customFormat="1" ht="16.149999999999999" customHeight="1" x14ac:dyDescent="0.15">
      <c r="B112" s="1884"/>
      <c r="C112" s="1883"/>
      <c r="F112" s="1882"/>
      <c r="G112" s="1882"/>
      <c r="H112" s="1882"/>
      <c r="I112" s="1882"/>
      <c r="J112" s="1881"/>
    </row>
  </sheetData>
  <mergeCells count="9">
    <mergeCell ref="A103:M103"/>
    <mergeCell ref="A104:M104"/>
    <mergeCell ref="A105:M105"/>
    <mergeCell ref="K8:N8"/>
    <mergeCell ref="A1:T1"/>
    <mergeCell ref="A2:T2"/>
    <mergeCell ref="A3:T3"/>
    <mergeCell ref="A4:T4"/>
    <mergeCell ref="A5:T5"/>
  </mergeCells>
  <printOptions gridLinesSet="0"/>
  <pageMargins left="0.25" right="0.25" top="0.5" bottom="0" header="0.2" footer="0"/>
  <pageSetup scale="65" fitToWidth="2" fitToHeight="3" orientation="landscape" r:id="rId1"/>
  <headerFooter alignWithMargins="0">
    <oddFooter>&amp;L&amp;"Garamond,Regular"&amp;11See the accompanying notes to the Schedule of Expenditures of Federal Awards.</oddFooter>
  </headerFooter>
  <rowBreaks count="1" manualBreakCount="1">
    <brk id="58" max="1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62" t="s">
        <v>1168</v>
      </c>
      <c r="B2" s="2162"/>
      <c r="C2" s="2162"/>
      <c r="D2" s="2162"/>
      <c r="E2" s="2162"/>
      <c r="F2" s="2162"/>
      <c r="G2" s="2162"/>
      <c r="H2" s="2162"/>
      <c r="I2" s="2162"/>
      <c r="J2" s="2162"/>
    </row>
    <row r="3" spans="1:11" s="181" customFormat="1" ht="17.25" customHeight="1" x14ac:dyDescent="0.2">
      <c r="A3" s="207"/>
      <c r="B3" s="207"/>
      <c r="C3" s="208"/>
      <c r="D3" s="209"/>
      <c r="E3" s="210"/>
    </row>
    <row r="4" spans="1:11" x14ac:dyDescent="0.2">
      <c r="A4" s="344" t="s">
        <v>1635</v>
      </c>
      <c r="B4" s="344"/>
      <c r="C4" s="344"/>
      <c r="D4" s="344"/>
      <c r="E4" s="344"/>
      <c r="F4" s="344"/>
      <c r="G4" s="344"/>
      <c r="H4" s="344"/>
      <c r="I4" s="344"/>
      <c r="J4" s="344"/>
      <c r="K4" s="344"/>
    </row>
    <row r="5" spans="1:11" x14ac:dyDescent="0.2">
      <c r="A5" s="237" t="s">
        <v>1636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1622</v>
      </c>
    </row>
    <row r="11" spans="1:11" s="181" customFormat="1" x14ac:dyDescent="0.2">
      <c r="A11" s="219"/>
      <c r="B11" s="226" t="s">
        <v>2064</v>
      </c>
      <c r="C11" s="227">
        <v>2</v>
      </c>
      <c r="D11" s="228" t="s">
        <v>1623</v>
      </c>
    </row>
    <row r="12" spans="1:11" s="181" customFormat="1" hidden="1" x14ac:dyDescent="0.2">
      <c r="A12" s="219"/>
      <c r="B12" s="229"/>
      <c r="C12" s="227"/>
      <c r="D12" s="230"/>
    </row>
    <row r="13" spans="1:11" s="181" customFormat="1" x14ac:dyDescent="0.2">
      <c r="A13" s="219"/>
      <c r="B13" s="226"/>
      <c r="C13" s="227">
        <v>3</v>
      </c>
      <c r="D13" s="228" t="s">
        <v>1624</v>
      </c>
    </row>
    <row r="14" spans="1:11" s="181" customFormat="1" x14ac:dyDescent="0.2">
      <c r="A14" s="219"/>
      <c r="B14" s="226"/>
      <c r="C14" s="227">
        <v>4</v>
      </c>
      <c r="D14" s="228" t="s">
        <v>1625</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1626</v>
      </c>
    </row>
    <row r="21" spans="1:4" s="181" customFormat="1" x14ac:dyDescent="0.2">
      <c r="A21" s="219"/>
      <c r="B21" s="229"/>
      <c r="C21" s="227"/>
      <c r="D21" s="233" t="s">
        <v>1553</v>
      </c>
    </row>
    <row r="22" spans="1:4" s="181" customFormat="1" x14ac:dyDescent="0.2">
      <c r="A22" s="219"/>
      <c r="B22" s="226"/>
      <c r="C22" s="227">
        <v>9</v>
      </c>
      <c r="D22" s="231" t="s">
        <v>1627</v>
      </c>
    </row>
    <row r="23" spans="1:4" s="181" customFormat="1" x14ac:dyDescent="0.2">
      <c r="A23" s="219"/>
      <c r="B23" s="234"/>
      <c r="C23" s="227"/>
      <c r="D23" s="235" t="s">
        <v>1554</v>
      </c>
    </row>
    <row r="24" spans="1:4" s="181" customFormat="1" x14ac:dyDescent="0.2">
      <c r="A24" s="219"/>
      <c r="B24" s="226"/>
      <c r="C24" s="227">
        <v>10</v>
      </c>
      <c r="D24" s="231" t="s">
        <v>1628</v>
      </c>
    </row>
    <row r="25" spans="1:4" s="181" customFormat="1" x14ac:dyDescent="0.2">
      <c r="A25" s="219"/>
      <c r="B25" s="226"/>
      <c r="C25" s="227">
        <v>11</v>
      </c>
      <c r="D25" s="231" t="s">
        <v>1629</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1630</v>
      </c>
    </row>
    <row r="31" spans="1:4" s="181" customFormat="1" x14ac:dyDescent="0.2">
      <c r="A31" s="219"/>
      <c r="B31" s="226"/>
      <c r="C31" s="227">
        <v>14</v>
      </c>
      <c r="D31" s="231" t="s">
        <v>1940</v>
      </c>
    </row>
    <row r="32" spans="1:4" s="181" customFormat="1" x14ac:dyDescent="0.2">
      <c r="A32" s="219"/>
      <c r="B32" s="236"/>
      <c r="C32" s="227"/>
      <c r="D32" s="237" t="s">
        <v>1788</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76" t="s">
        <v>1631</v>
      </c>
      <c r="B35" s="2177"/>
      <c r="C35" s="2177"/>
      <c r="D35" s="2177"/>
      <c r="E35" s="2178"/>
      <c r="F35" s="2178"/>
      <c r="G35" s="2178"/>
      <c r="H35" s="2178"/>
      <c r="I35" s="217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1632</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1633</v>
      </c>
    </row>
    <row r="43" spans="1:9" s="181" customFormat="1" x14ac:dyDescent="0.2">
      <c r="A43" s="219"/>
      <c r="B43" s="229"/>
      <c r="C43" s="227"/>
      <c r="D43" s="240" t="s">
        <v>1634</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76" t="s">
        <v>313</v>
      </c>
      <c r="B47" s="2179"/>
      <c r="C47" s="2179"/>
      <c r="D47" s="2179"/>
      <c r="E47" s="2180"/>
      <c r="F47" s="2180"/>
      <c r="G47" s="2180"/>
      <c r="H47" s="2180"/>
      <c r="I47" s="218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1637</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83"/>
      <c r="C57" s="2184"/>
      <c r="D57" s="2184"/>
      <c r="E57" s="2184"/>
      <c r="F57" s="2184"/>
      <c r="G57" s="2184"/>
      <c r="H57" s="2184"/>
      <c r="I57" s="2184"/>
      <c r="J57" s="2185"/>
    </row>
    <row r="58" spans="1:10" s="181" customFormat="1" x14ac:dyDescent="0.2">
      <c r="A58" s="253"/>
      <c r="B58" s="2186"/>
      <c r="C58" s="2187"/>
      <c r="D58" s="2187"/>
      <c r="E58" s="2187"/>
      <c r="F58" s="2187"/>
      <c r="G58" s="2187"/>
      <c r="H58" s="2187"/>
      <c r="I58" s="2187"/>
      <c r="J58" s="2188"/>
    </row>
    <row r="59" spans="1:10" s="181" customFormat="1" x14ac:dyDescent="0.2">
      <c r="A59" s="253"/>
      <c r="B59" s="2186"/>
      <c r="C59" s="2187"/>
      <c r="D59" s="2187"/>
      <c r="E59" s="2187"/>
      <c r="F59" s="2187"/>
      <c r="G59" s="2187"/>
      <c r="H59" s="2187"/>
      <c r="I59" s="2187"/>
      <c r="J59" s="2188"/>
    </row>
    <row r="60" spans="1:10" s="181" customFormat="1" x14ac:dyDescent="0.2">
      <c r="A60" s="253"/>
      <c r="B60" s="2186"/>
      <c r="C60" s="2187"/>
      <c r="D60" s="2187"/>
      <c r="E60" s="2187"/>
      <c r="F60" s="2187"/>
      <c r="G60" s="2187"/>
      <c r="H60" s="2187"/>
      <c r="I60" s="2187"/>
      <c r="J60" s="2188"/>
    </row>
    <row r="61" spans="1:10" s="181" customFormat="1" x14ac:dyDescent="0.2">
      <c r="A61" s="253"/>
      <c r="B61" s="2186"/>
      <c r="C61" s="2187"/>
      <c r="D61" s="2187"/>
      <c r="E61" s="2187"/>
      <c r="F61" s="2187"/>
      <c r="G61" s="2187"/>
      <c r="H61" s="2187"/>
      <c r="I61" s="2187"/>
      <c r="J61" s="2188"/>
    </row>
    <row r="62" spans="1:10" s="181" customFormat="1" x14ac:dyDescent="0.2">
      <c r="A62" s="253"/>
      <c r="B62" s="2186"/>
      <c r="C62" s="2187"/>
      <c r="D62" s="2187"/>
      <c r="E62" s="2187"/>
      <c r="F62" s="2187"/>
      <c r="G62" s="2187"/>
      <c r="H62" s="2187"/>
      <c r="I62" s="2187"/>
      <c r="J62" s="2188"/>
    </row>
    <row r="63" spans="1:10" s="181" customFormat="1" x14ac:dyDescent="0.2">
      <c r="A63" s="253"/>
      <c r="B63" s="2186"/>
      <c r="C63" s="2187"/>
      <c r="D63" s="2187"/>
      <c r="E63" s="2187"/>
      <c r="F63" s="2187"/>
      <c r="G63" s="2187"/>
      <c r="H63" s="2187"/>
      <c r="I63" s="2187"/>
      <c r="J63" s="2188"/>
    </row>
    <row r="64" spans="1:10" s="181" customFormat="1" x14ac:dyDescent="0.2">
      <c r="A64" s="253"/>
      <c r="B64" s="2186"/>
      <c r="C64" s="2187"/>
      <c r="D64" s="2187"/>
      <c r="E64" s="2187"/>
      <c r="F64" s="2187"/>
      <c r="G64" s="2187"/>
      <c r="H64" s="2187"/>
      <c r="I64" s="2187"/>
      <c r="J64" s="2188"/>
    </row>
    <row r="65" spans="1:10" s="181" customFormat="1" x14ac:dyDescent="0.2">
      <c r="A65" s="253"/>
      <c r="B65" s="2186"/>
      <c r="C65" s="2187"/>
      <c r="D65" s="2187"/>
      <c r="E65" s="2187"/>
      <c r="F65" s="2187"/>
      <c r="G65" s="2187"/>
      <c r="H65" s="2187"/>
      <c r="I65" s="2187"/>
      <c r="J65" s="2188"/>
    </row>
    <row r="66" spans="1:10" s="181" customFormat="1" x14ac:dyDescent="0.2">
      <c r="A66" s="253"/>
      <c r="B66" s="2186"/>
      <c r="C66" s="2187"/>
      <c r="D66" s="2187"/>
      <c r="E66" s="2187"/>
      <c r="F66" s="2187"/>
      <c r="G66" s="2187"/>
      <c r="H66" s="2187"/>
      <c r="I66" s="2187"/>
      <c r="J66" s="2188"/>
    </row>
    <row r="67" spans="1:10" s="181" customFormat="1" ht="9" customHeight="1" x14ac:dyDescent="0.2">
      <c r="A67" s="254"/>
      <c r="B67" s="2189"/>
      <c r="C67" s="2190"/>
      <c r="D67" s="2190"/>
      <c r="E67" s="2190"/>
      <c r="F67" s="2190"/>
      <c r="G67" s="2190"/>
      <c r="H67" s="2190"/>
      <c r="I67" s="2190"/>
      <c r="J67" s="21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76" t="s">
        <v>1323</v>
      </c>
      <c r="B70" s="2179"/>
      <c r="C70" s="2179"/>
      <c r="D70" s="2179"/>
      <c r="E70" s="2180"/>
      <c r="F70" s="2180"/>
      <c r="G70" s="2180"/>
      <c r="H70" s="2180"/>
      <c r="I70" s="218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1924</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1645</v>
      </c>
      <c r="G77" s="297" t="s">
        <v>1899</v>
      </c>
      <c r="I77" s="176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1643</v>
      </c>
      <c r="E79" s="248"/>
      <c r="F79" s="249"/>
    </row>
    <row r="80" spans="1:10" s="181" customFormat="1" x14ac:dyDescent="0.2">
      <c r="A80" s="219"/>
      <c r="B80" s="262"/>
      <c r="C80" s="179"/>
      <c r="D80" s="247" t="s">
        <v>1644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81" t="s">
        <v>1320</v>
      </c>
      <c r="B83" s="2181"/>
      <c r="C83" s="2181"/>
      <c r="D83" s="218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1922</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1638</v>
      </c>
      <c r="C92" s="179"/>
      <c r="E92" s="260"/>
      <c r="F92" s="296"/>
      <c r="H92" s="297"/>
    </row>
    <row r="93" spans="1:10" s="181" customFormat="1" ht="16.5" customHeight="1" x14ac:dyDescent="0.2">
      <c r="A93" s="219"/>
      <c r="B93" s="298" t="s">
        <v>1923</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1639</v>
      </c>
      <c r="C95" s="309"/>
      <c r="D95" s="310"/>
      <c r="E95" s="304"/>
      <c r="F95" s="304"/>
      <c r="G95" s="304"/>
      <c r="H95" s="304"/>
      <c r="I95" s="304"/>
    </row>
    <row r="96" spans="1:10" s="181" customFormat="1" x14ac:dyDescent="0.2">
      <c r="A96" s="307" t="s">
        <v>1169</v>
      </c>
      <c r="B96" s="345" t="s">
        <v>1641</v>
      </c>
      <c r="C96" s="309"/>
      <c r="D96" s="311"/>
      <c r="E96" s="311"/>
      <c r="F96" s="311"/>
      <c r="G96" s="311"/>
      <c r="H96" s="311"/>
      <c r="I96" s="304"/>
    </row>
    <row r="97" spans="1:9" s="181" customFormat="1" x14ac:dyDescent="0.2">
      <c r="A97" s="307"/>
      <c r="B97" s="308" t="s">
        <v>1640</v>
      </c>
      <c r="C97" s="309"/>
      <c r="D97" s="311"/>
      <c r="E97" s="311"/>
      <c r="F97" s="311"/>
      <c r="G97" s="311"/>
      <c r="H97" s="311"/>
      <c r="I97" s="304"/>
    </row>
    <row r="98" spans="1:9" s="181" customFormat="1" x14ac:dyDescent="0.2">
      <c r="A98" s="308"/>
      <c r="B98" s="312" t="s">
        <v>1642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63" t="s">
        <v>2188</v>
      </c>
      <c r="C102" s="2164"/>
      <c r="D102" s="2164"/>
      <c r="E102" s="2164"/>
      <c r="F102" s="2164"/>
      <c r="G102" s="2164"/>
      <c r="H102" s="2164"/>
      <c r="I102" s="2165"/>
    </row>
    <row r="103" spans="1:9" s="181" customFormat="1" ht="11.25" customHeight="1" x14ac:dyDescent="0.2">
      <c r="A103" s="316"/>
      <c r="B103" s="2166"/>
      <c r="C103" s="2167"/>
      <c r="D103" s="2167"/>
      <c r="E103" s="2167"/>
      <c r="F103" s="2167"/>
      <c r="G103" s="2167"/>
      <c r="H103" s="2167"/>
      <c r="I103" s="2168"/>
    </row>
    <row r="104" spans="1:9" s="181" customFormat="1" ht="11.25" customHeight="1" x14ac:dyDescent="0.2">
      <c r="A104" s="316"/>
      <c r="B104" s="2166"/>
      <c r="C104" s="2167"/>
      <c r="D104" s="2167"/>
      <c r="E104" s="2167"/>
      <c r="F104" s="2167"/>
      <c r="G104" s="2167"/>
      <c r="H104" s="2167"/>
      <c r="I104" s="2168"/>
    </row>
    <row r="105" spans="1:9" s="181" customFormat="1" x14ac:dyDescent="0.2">
      <c r="A105" s="316"/>
      <c r="B105" s="2166"/>
      <c r="C105" s="2167"/>
      <c r="D105" s="2167"/>
      <c r="E105" s="2167"/>
      <c r="F105" s="2167"/>
      <c r="G105" s="2167"/>
      <c r="H105" s="2167"/>
      <c r="I105" s="2168"/>
    </row>
    <row r="106" spans="1:9" s="181" customFormat="1" ht="11.25" customHeight="1" x14ac:dyDescent="0.2">
      <c r="A106" s="316"/>
      <c r="B106" s="2166"/>
      <c r="C106" s="2167"/>
      <c r="D106" s="2167"/>
      <c r="E106" s="2167"/>
      <c r="F106" s="2167"/>
      <c r="G106" s="2167"/>
      <c r="H106" s="2167"/>
      <c r="I106" s="2168"/>
    </row>
    <row r="107" spans="1:9" s="181" customFormat="1" ht="11.25" customHeight="1" x14ac:dyDescent="0.2">
      <c r="A107" s="316"/>
      <c r="B107" s="2166"/>
      <c r="C107" s="2167"/>
      <c r="D107" s="2167"/>
      <c r="E107" s="2167"/>
      <c r="F107" s="2167"/>
      <c r="G107" s="2167"/>
      <c r="H107" s="2167"/>
      <c r="I107" s="2168"/>
    </row>
    <row r="108" spans="1:9" s="181" customFormat="1" ht="11.25" customHeight="1" x14ac:dyDescent="0.2">
      <c r="A108" s="316"/>
      <c r="B108" s="2166"/>
      <c r="C108" s="2167"/>
      <c r="D108" s="2167"/>
      <c r="E108" s="2167"/>
      <c r="F108" s="2167"/>
      <c r="G108" s="2167"/>
      <c r="H108" s="2167"/>
      <c r="I108" s="2168"/>
    </row>
    <row r="109" spans="1:9" s="181" customFormat="1" ht="11.25" customHeight="1" x14ac:dyDescent="0.2">
      <c r="A109" s="316"/>
      <c r="B109" s="2166"/>
      <c r="C109" s="2167"/>
      <c r="D109" s="2167"/>
      <c r="E109" s="2167"/>
      <c r="F109" s="2167"/>
      <c r="G109" s="2167"/>
      <c r="H109" s="2167"/>
      <c r="I109" s="2168"/>
    </row>
    <row r="110" spans="1:9" s="181" customFormat="1" ht="11.25" customHeight="1" x14ac:dyDescent="0.2">
      <c r="A110" s="316"/>
      <c r="B110" s="2166"/>
      <c r="C110" s="2167"/>
      <c r="D110" s="2167"/>
      <c r="E110" s="2167"/>
      <c r="F110" s="2167"/>
      <c r="G110" s="2167"/>
      <c r="H110" s="2167"/>
      <c r="I110" s="2168"/>
    </row>
    <row r="111" spans="1:9" s="181" customFormat="1" ht="11.25" customHeight="1" x14ac:dyDescent="0.2">
      <c r="A111" s="316"/>
      <c r="B111" s="2166"/>
      <c r="C111" s="2167"/>
      <c r="D111" s="2167"/>
      <c r="E111" s="2167"/>
      <c r="F111" s="2167"/>
      <c r="G111" s="2167"/>
      <c r="H111" s="2167"/>
      <c r="I111" s="2168"/>
    </row>
    <row r="112" spans="1:9" s="181" customFormat="1" ht="11.25" customHeight="1" x14ac:dyDescent="0.2">
      <c r="A112" s="316"/>
      <c r="B112" s="2169"/>
      <c r="C112" s="2170"/>
      <c r="D112" s="2170"/>
      <c r="E112" s="2170"/>
      <c r="F112" s="2170"/>
      <c r="G112" s="2170"/>
      <c r="H112" s="2170"/>
      <c r="I112" s="21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72" t="s">
        <v>2192</v>
      </c>
      <c r="D114" s="217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73" t="s">
        <v>1330</v>
      </c>
      <c r="D117" s="2174"/>
      <c r="E117" s="2175"/>
      <c r="F117" s="2175"/>
      <c r="G117" s="2175"/>
      <c r="H117" s="2175"/>
      <c r="I117" s="304"/>
    </row>
    <row r="118" spans="1:9" s="181" customFormat="1" ht="24" customHeight="1" x14ac:dyDescent="0.2">
      <c r="A118" s="316"/>
      <c r="B118" s="316"/>
      <c r="C118" s="316"/>
      <c r="D118" s="323" t="s">
        <v>2193</v>
      </c>
      <c r="E118" s="322"/>
      <c r="F118" s="324"/>
      <c r="G118" s="1762"/>
      <c r="H118" s="322"/>
      <c r="I118" s="304"/>
    </row>
    <row r="119" spans="1:9" s="181" customFormat="1" ht="11.25" customHeight="1" x14ac:dyDescent="0.2">
      <c r="A119" s="325"/>
      <c r="B119" s="325"/>
      <c r="C119" s="326"/>
      <c r="D119" s="327" t="s">
        <v>361</v>
      </c>
      <c r="E119" s="310"/>
      <c r="F119" s="1761" t="s">
        <v>1900</v>
      </c>
      <c r="G119" s="328"/>
      <c r="H119" s="328"/>
      <c r="I119" s="304"/>
    </row>
    <row r="120" spans="1:9" x14ac:dyDescent="0.2">
      <c r="A120" s="329"/>
      <c r="B120" s="180"/>
      <c r="C120" s="330"/>
      <c r="D120" s="256"/>
      <c r="E120" s="256"/>
      <c r="F120" s="256"/>
      <c r="G120" s="256"/>
      <c r="H120" s="256"/>
      <c r="I120" s="304"/>
    </row>
    <row r="121" spans="1:9" x14ac:dyDescent="0.2">
      <c r="A121" s="329"/>
      <c r="B121" s="1410" t="s">
        <v>1599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9C98E-FF8A-42EA-8E70-07E55B75454E}">
  <sheetPr>
    <pageSetUpPr fitToPage="1"/>
  </sheetPr>
  <dimension ref="A1:G49"/>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7.140625" style="1854" customWidth="1"/>
    <col min="4" max="4" width="16.7109375" style="1854" customWidth="1"/>
    <col min="5" max="5" width="7.5703125" style="316" customWidth="1"/>
    <col min="6" max="6" width="2.7109375" style="316" customWidth="1"/>
    <col min="7" max="7" width="3.28515625" style="316" customWidth="1"/>
    <col min="8" max="16384" width="8" style="316"/>
  </cols>
  <sheetData>
    <row r="1" spans="1:7" ht="13.5" customHeight="1" x14ac:dyDescent="0.2">
      <c r="A1" s="2562" t="s">
        <v>2068</v>
      </c>
      <c r="B1" s="2562"/>
      <c r="C1" s="2562"/>
      <c r="D1" s="2562"/>
      <c r="E1" s="2562"/>
      <c r="F1" s="2562"/>
    </row>
    <row r="2" spans="1:7" ht="13.5" customHeight="1" x14ac:dyDescent="0.2">
      <c r="A2" s="2563" t="s">
        <v>2075</v>
      </c>
      <c r="B2" s="2563"/>
      <c r="C2" s="2563"/>
      <c r="D2" s="2563"/>
      <c r="E2" s="2563"/>
      <c r="F2" s="2563"/>
      <c r="G2" s="1979"/>
    </row>
    <row r="3" spans="1:7" ht="15.75" customHeight="1" x14ac:dyDescent="0.2">
      <c r="A3" s="2564" t="s">
        <v>1271</v>
      </c>
      <c r="B3" s="2564"/>
      <c r="C3" s="2564"/>
      <c r="D3" s="2564"/>
      <c r="E3" s="2564"/>
      <c r="F3" s="2564"/>
    </row>
    <row r="4" spans="1:7" ht="13.5" customHeight="1" x14ac:dyDescent="0.2">
      <c r="A4" s="2533" t="s">
        <v>1983</v>
      </c>
      <c r="B4" s="2533"/>
      <c r="C4" s="2533"/>
      <c r="D4" s="2533"/>
      <c r="E4" s="2533"/>
      <c r="F4" s="2533"/>
    </row>
    <row r="5" spans="1:7" ht="8.25" customHeight="1" x14ac:dyDescent="0.2">
      <c r="C5" s="316"/>
      <c r="D5" s="316"/>
    </row>
    <row r="6" spans="1:7" ht="13.5" customHeight="1" x14ac:dyDescent="0.2">
      <c r="A6" s="1968" t="s">
        <v>1726</v>
      </c>
      <c r="C6" s="316"/>
      <c r="D6" s="316"/>
    </row>
    <row r="7" spans="1:7" ht="60.95" customHeight="1" x14ac:dyDescent="0.2">
      <c r="A7" s="2557" t="s">
        <v>2158</v>
      </c>
      <c r="B7" s="2557"/>
      <c r="C7" s="2557"/>
      <c r="D7" s="2557"/>
      <c r="E7" s="2557"/>
      <c r="F7" s="2557"/>
    </row>
    <row r="8" spans="1:7" ht="12" customHeight="1" x14ac:dyDescent="0.2">
      <c r="A8" s="1968"/>
      <c r="B8" s="1209"/>
      <c r="C8" s="1209"/>
      <c r="D8" s="1209"/>
    </row>
    <row r="9" spans="1:7" ht="15" customHeight="1" x14ac:dyDescent="0.2">
      <c r="A9" s="1968" t="s">
        <v>1727</v>
      </c>
      <c r="B9" s="1209"/>
      <c r="C9" s="1209"/>
      <c r="D9" s="1209"/>
    </row>
    <row r="10" spans="1:7" ht="15" customHeight="1" x14ac:dyDescent="0.2">
      <c r="A10" s="1977" t="s">
        <v>1547</v>
      </c>
      <c r="B10" s="1209"/>
      <c r="C10" s="1369"/>
      <c r="D10" s="1209" t="s">
        <v>1548</v>
      </c>
      <c r="E10" s="1369" t="s">
        <v>2157</v>
      </c>
      <c r="F10" s="1209" t="s">
        <v>99</v>
      </c>
    </row>
    <row r="11" spans="1:7" ht="12" customHeight="1" x14ac:dyDescent="0.2">
      <c r="A11" s="1977"/>
      <c r="B11" s="1209"/>
      <c r="C11" s="1853"/>
      <c r="D11" s="1209"/>
      <c r="E11" s="1853"/>
      <c r="F11" s="1209"/>
    </row>
    <row r="12" spans="1:7" x14ac:dyDescent="0.2">
      <c r="A12" s="1968" t="s">
        <v>1585</v>
      </c>
      <c r="C12" s="1868"/>
      <c r="D12" s="1868"/>
    </row>
    <row r="13" spans="1:7" ht="23.25" customHeight="1" x14ac:dyDescent="0.2">
      <c r="A13" s="2557" t="s">
        <v>2156</v>
      </c>
      <c r="B13" s="2557"/>
      <c r="C13" s="2557"/>
      <c r="D13" s="2557"/>
      <c r="E13" s="2557"/>
      <c r="F13" s="2557"/>
    </row>
    <row r="14" spans="1:7" ht="9.75" customHeight="1" x14ac:dyDescent="0.2">
      <c r="C14" s="1868"/>
      <c r="D14" s="1868"/>
    </row>
    <row r="15" spans="1:7" ht="13.5" customHeight="1" x14ac:dyDescent="0.2">
      <c r="C15" s="1978" t="s">
        <v>1270</v>
      </c>
      <c r="D15" s="2559" t="s">
        <v>1269</v>
      </c>
      <c r="E15" s="2559"/>
      <c r="F15" s="2559"/>
    </row>
    <row r="16" spans="1:7" ht="13.5" customHeight="1" x14ac:dyDescent="0.2">
      <c r="A16" s="1209"/>
      <c r="B16" s="1968" t="s">
        <v>1268</v>
      </c>
      <c r="C16" s="1978" t="s">
        <v>1267</v>
      </c>
      <c r="D16" s="2559" t="s">
        <v>1586</v>
      </c>
      <c r="E16" s="2559"/>
      <c r="F16" s="2559"/>
    </row>
    <row r="17" spans="1:6" ht="20.45" customHeight="1" x14ac:dyDescent="0.2">
      <c r="A17" s="1977"/>
      <c r="B17" s="1976" t="s">
        <v>2155</v>
      </c>
      <c r="C17" s="1975">
        <v>84.027000000000001</v>
      </c>
      <c r="D17" s="2560">
        <v>1410696</v>
      </c>
      <c r="E17" s="2560"/>
      <c r="F17" s="2560"/>
    </row>
    <row r="18" spans="1:6" ht="17.25" customHeight="1" x14ac:dyDescent="0.2">
      <c r="A18" s="1209"/>
      <c r="B18" s="1974"/>
      <c r="C18" s="1973"/>
      <c r="D18" s="2558"/>
      <c r="E18" s="2558"/>
      <c r="F18" s="2558"/>
    </row>
    <row r="19" spans="1:6" ht="20.65" customHeight="1" x14ac:dyDescent="0.2">
      <c r="A19" s="1968" t="s">
        <v>2154</v>
      </c>
      <c r="B19" s="1974"/>
      <c r="C19" s="1973"/>
      <c r="D19" s="2558"/>
      <c r="E19" s="2558"/>
      <c r="F19" s="2558"/>
    </row>
    <row r="20" spans="1:6" ht="40.5" customHeight="1" x14ac:dyDescent="0.2">
      <c r="A20" s="2561" t="s">
        <v>2162</v>
      </c>
      <c r="B20" s="2561"/>
      <c r="C20" s="2561"/>
      <c r="D20" s="2561"/>
      <c r="E20" s="2561"/>
      <c r="F20" s="2561"/>
    </row>
    <row r="21" spans="1:6" ht="20.65" hidden="1" customHeight="1" x14ac:dyDescent="0.2">
      <c r="A21" s="1209"/>
      <c r="B21" s="1974"/>
      <c r="C21" s="1973"/>
      <c r="D21" s="2558"/>
      <c r="E21" s="2558"/>
      <c r="F21" s="2558"/>
    </row>
    <row r="22" spans="1:6" ht="20.65" hidden="1" customHeight="1" x14ac:dyDescent="0.2">
      <c r="A22" s="1209"/>
      <c r="B22" s="1974"/>
      <c r="C22" s="1973"/>
      <c r="D22" s="2558"/>
      <c r="E22" s="2558"/>
      <c r="F22" s="2558"/>
    </row>
    <row r="23" spans="1:6" ht="20.65" hidden="1" customHeight="1" x14ac:dyDescent="0.2">
      <c r="A23" s="1209"/>
      <c r="B23" s="1974"/>
      <c r="C23" s="1973"/>
      <c r="D23" s="2558"/>
      <c r="E23" s="2558"/>
      <c r="F23" s="2558"/>
    </row>
    <row r="24" spans="1:6" ht="20.65" hidden="1" customHeight="1" x14ac:dyDescent="0.2">
      <c r="A24" s="1209"/>
      <c r="B24" s="1974"/>
      <c r="C24" s="1973"/>
      <c r="D24" s="2558"/>
      <c r="E24" s="2558"/>
      <c r="F24" s="2558"/>
    </row>
    <row r="25" spans="1:6" ht="20.65" hidden="1" customHeight="1" x14ac:dyDescent="0.2">
      <c r="A25" s="1209"/>
      <c r="B25" s="1974"/>
      <c r="C25" s="1973"/>
      <c r="D25" s="2558"/>
      <c r="E25" s="2558"/>
      <c r="F25" s="2558"/>
    </row>
    <row r="26" spans="1:6" ht="20.65" hidden="1" customHeight="1" x14ac:dyDescent="0.2">
      <c r="A26" s="1209"/>
      <c r="B26" s="1974"/>
      <c r="C26" s="1973"/>
      <c r="D26" s="2558"/>
      <c r="E26" s="2558"/>
      <c r="F26" s="2558"/>
    </row>
    <row r="27" spans="1:6" ht="12" customHeight="1" x14ac:dyDescent="0.2">
      <c r="A27" s="1209"/>
      <c r="B27" s="1209"/>
      <c r="C27" s="1967"/>
      <c r="D27" s="1965"/>
      <c r="E27" s="1964"/>
    </row>
    <row r="28" spans="1:6" ht="12" customHeight="1" x14ac:dyDescent="0.2">
      <c r="A28" s="1968" t="s">
        <v>2153</v>
      </c>
      <c r="B28" s="1209"/>
      <c r="C28" s="1967"/>
      <c r="D28" s="1965"/>
      <c r="E28" s="1964"/>
    </row>
    <row r="29" spans="1:6" ht="30" customHeight="1" x14ac:dyDescent="0.2">
      <c r="A29" s="2552" t="s">
        <v>2152</v>
      </c>
      <c r="B29" s="2552"/>
      <c r="C29" s="2552"/>
      <c r="D29" s="2552"/>
      <c r="E29" s="2552"/>
      <c r="F29" s="2552"/>
    </row>
    <row r="30" spans="1:6" ht="13.5" customHeight="1" x14ac:dyDescent="0.2">
      <c r="A30" s="1209" t="s">
        <v>1434</v>
      </c>
      <c r="B30" s="1209"/>
      <c r="C30" s="1972">
        <v>0</v>
      </c>
      <c r="D30" s="1965"/>
      <c r="E30" s="1964"/>
    </row>
    <row r="31" spans="1:6" ht="13.5" customHeight="1" x14ac:dyDescent="0.2">
      <c r="A31" s="1209" t="s">
        <v>1833</v>
      </c>
      <c r="B31" s="1209"/>
      <c r="C31" s="1971">
        <v>0</v>
      </c>
      <c r="D31" s="1965" t="s">
        <v>1587</v>
      </c>
      <c r="E31" s="2553">
        <f>+C30+C31</f>
        <v>0</v>
      </c>
      <c r="F31" s="2554"/>
    </row>
    <row r="32" spans="1:6" ht="12" customHeight="1" x14ac:dyDescent="0.2">
      <c r="A32" s="1209"/>
      <c r="B32" s="1209"/>
      <c r="C32" s="1970"/>
      <c r="D32" s="1965"/>
      <c r="E32" s="1969"/>
      <c r="F32" s="1868"/>
    </row>
    <row r="33" spans="1:6" ht="13.5" customHeight="1" x14ac:dyDescent="0.2">
      <c r="A33" s="1968" t="s">
        <v>2151</v>
      </c>
      <c r="B33" s="1209"/>
      <c r="C33" s="1967"/>
      <c r="D33" s="1965"/>
      <c r="E33" s="1964"/>
    </row>
    <row r="34" spans="1:6" ht="14.25" customHeight="1" x14ac:dyDescent="0.2">
      <c r="A34" s="1209" t="s">
        <v>1484</v>
      </c>
      <c r="B34" s="1209"/>
      <c r="C34" s="1966"/>
      <c r="D34" s="1965"/>
      <c r="E34" s="1964"/>
    </row>
    <row r="35" spans="1:6" ht="14.25" customHeight="1" x14ac:dyDescent="0.2">
      <c r="A35" s="1209"/>
      <c r="B35" s="1209" t="s">
        <v>1435</v>
      </c>
      <c r="C35" s="1275" t="s">
        <v>383</v>
      </c>
      <c r="D35" s="1965"/>
      <c r="E35" s="1964"/>
    </row>
    <row r="36" spans="1:6" ht="14.25" customHeight="1" x14ac:dyDescent="0.2">
      <c r="A36" s="1209"/>
      <c r="B36" s="1209" t="s">
        <v>1436</v>
      </c>
      <c r="C36" s="1275" t="s">
        <v>383</v>
      </c>
      <c r="D36" s="1965"/>
      <c r="E36" s="1964"/>
    </row>
    <row r="37" spans="1:6" ht="14.25" customHeight="1" x14ac:dyDescent="0.2">
      <c r="A37" s="1209"/>
      <c r="B37" s="1209" t="s">
        <v>1437</v>
      </c>
      <c r="C37" s="1275" t="s">
        <v>383</v>
      </c>
      <c r="D37" s="1965"/>
      <c r="E37" s="1964"/>
    </row>
    <row r="38" spans="1:6" ht="14.25" customHeight="1" x14ac:dyDescent="0.2">
      <c r="A38" s="1209"/>
      <c r="B38" s="1209" t="s">
        <v>1438</v>
      </c>
      <c r="C38" s="1275" t="s">
        <v>383</v>
      </c>
      <c r="D38" s="1965"/>
      <c r="E38" s="1964"/>
    </row>
    <row r="39" spans="1:6" ht="14.25" customHeight="1" x14ac:dyDescent="0.2">
      <c r="A39" s="1209" t="s">
        <v>1439</v>
      </c>
      <c r="B39" s="1209"/>
      <c r="C39" s="1275" t="s">
        <v>383</v>
      </c>
      <c r="D39" s="1965"/>
      <c r="E39" s="1964"/>
    </row>
    <row r="40" spans="1:6" ht="14.25" customHeight="1" x14ac:dyDescent="0.2">
      <c r="A40" s="1209" t="s">
        <v>1440</v>
      </c>
      <c r="B40" s="1209"/>
      <c r="C40" s="1276" t="s">
        <v>572</v>
      </c>
      <c r="D40" s="1965"/>
      <c r="E40" s="1964"/>
    </row>
    <row r="41" spans="1:6" ht="14.25" customHeight="1" x14ac:dyDescent="0.2">
      <c r="A41" s="1209"/>
      <c r="B41" s="1209" t="s">
        <v>2163</v>
      </c>
      <c r="C41" s="1966" t="s">
        <v>1441</v>
      </c>
      <c r="D41" s="1965"/>
      <c r="E41" s="1964"/>
    </row>
    <row r="42" spans="1:6" ht="13.5" customHeight="1" x14ac:dyDescent="0.2">
      <c r="C42" s="1868"/>
      <c r="D42" s="1868"/>
    </row>
    <row r="43" spans="1:6" x14ac:dyDescent="0.2">
      <c r="A43" s="1962" t="s">
        <v>1728</v>
      </c>
      <c r="C43" s="316"/>
      <c r="D43" s="316"/>
    </row>
    <row r="44" spans="1:6" ht="11.25" customHeight="1" x14ac:dyDescent="0.2">
      <c r="A44" s="1963"/>
      <c r="B44" s="1857"/>
      <c r="C44" s="1857"/>
      <c r="D44" s="1857"/>
      <c r="E44" s="1857"/>
      <c r="F44" s="1857"/>
    </row>
    <row r="45" spans="1:6" ht="6" customHeight="1" x14ac:dyDescent="0.2">
      <c r="A45" s="1962"/>
      <c r="C45" s="316"/>
      <c r="D45" s="316"/>
    </row>
    <row r="46" spans="1:6" s="1216" customFormat="1" ht="23.25" customHeight="1" x14ac:dyDescent="0.2">
      <c r="A46" s="1961">
        <v>5</v>
      </c>
      <c r="B46" s="2555" t="s">
        <v>1588</v>
      </c>
      <c r="C46" s="2555"/>
      <c r="D46" s="2555"/>
      <c r="E46" s="316"/>
    </row>
    <row r="47" spans="1:6" s="1216" customFormat="1" ht="3.75" customHeight="1" x14ac:dyDescent="0.2">
      <c r="A47" s="1961"/>
      <c r="B47" s="1960"/>
      <c r="C47" s="1960"/>
      <c r="D47" s="1960"/>
      <c r="E47" s="316"/>
    </row>
    <row r="48" spans="1:6" s="1216" customFormat="1" ht="20.25" customHeight="1" x14ac:dyDescent="0.2">
      <c r="A48" s="1959">
        <v>6</v>
      </c>
      <c r="B48" s="2556" t="s">
        <v>1549</v>
      </c>
      <c r="C48" s="2556"/>
      <c r="D48" s="2556"/>
    </row>
    <row r="49" spans="1:4" ht="14.25" customHeight="1" x14ac:dyDescent="0.2">
      <c r="A49" s="1959"/>
      <c r="B49" s="2556"/>
      <c r="C49" s="2556"/>
      <c r="D49" s="2556"/>
    </row>
  </sheetData>
  <mergeCells count="23">
    <mergeCell ref="A1:F1"/>
    <mergeCell ref="A2:F2"/>
    <mergeCell ref="A3:F3"/>
    <mergeCell ref="A4:F4"/>
    <mergeCell ref="A7:F7"/>
    <mergeCell ref="A13:F13"/>
    <mergeCell ref="D26:F26"/>
    <mergeCell ref="D15:F15"/>
    <mergeCell ref="D16:F16"/>
    <mergeCell ref="D17:F17"/>
    <mergeCell ref="D18:F18"/>
    <mergeCell ref="D19:F19"/>
    <mergeCell ref="A20:F20"/>
    <mergeCell ref="D21:F21"/>
    <mergeCell ref="D22:F22"/>
    <mergeCell ref="D23:F23"/>
    <mergeCell ref="D24:F24"/>
    <mergeCell ref="D25:F25"/>
    <mergeCell ref="A29:F29"/>
    <mergeCell ref="E31:F31"/>
    <mergeCell ref="B46:D46"/>
    <mergeCell ref="B48:D48"/>
    <mergeCell ref="B49:D49"/>
  </mergeCells>
  <pageMargins left="0.9" right="0.27" top="0.43" bottom="0" header="0.26" footer="0.5"/>
  <pageSetup scale="96" firstPageNumber="39" fitToHeight="0"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FDE3A-AB74-41B4-AD87-487347328A4F}">
  <sheetPr>
    <pageSetUpPr fitToPage="1"/>
  </sheetPr>
  <dimension ref="A1:L62"/>
  <sheetViews>
    <sheetView showGridLines="0" zoomScale="110" zoomScaleNormal="110" zoomScaleSheetLayoutView="90" workbookViewId="0"/>
  </sheetViews>
  <sheetFormatPr defaultColWidth="9.140625" defaultRowHeight="12.75" x14ac:dyDescent="0.2"/>
  <cols>
    <col min="1" max="1" width="1.42578125" style="1216" customWidth="1"/>
    <col min="2" max="2" width="24.42578125" style="1980" customWidth="1"/>
    <col min="3" max="3" width="29.5703125" style="316" customWidth="1"/>
    <col min="4" max="4" width="9.28515625" style="316" customWidth="1"/>
    <col min="5" max="5" width="5.28515625" style="18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565" t="s">
        <v>2068</v>
      </c>
      <c r="C1" s="2566"/>
      <c r="D1" s="2566"/>
      <c r="E1" s="2566"/>
      <c r="F1" s="2566"/>
      <c r="G1" s="2566"/>
      <c r="H1" s="2566"/>
      <c r="I1" s="2566"/>
      <c r="J1" s="2012"/>
    </row>
    <row r="2" spans="2:10" s="316" customFormat="1" ht="12.75" customHeight="1" x14ac:dyDescent="0.2">
      <c r="B2" s="2567" t="s">
        <v>2075</v>
      </c>
      <c r="C2" s="2566"/>
      <c r="D2" s="2566"/>
      <c r="E2" s="2566"/>
      <c r="F2" s="2566"/>
      <c r="G2" s="2566"/>
      <c r="H2" s="2566"/>
      <c r="I2" s="2566"/>
      <c r="J2" s="2012"/>
    </row>
    <row r="3" spans="2:10" s="316" customFormat="1" ht="12.75" customHeight="1" x14ac:dyDescent="0.2">
      <c r="B3" s="2568" t="s">
        <v>1285</v>
      </c>
      <c r="C3" s="2569"/>
      <c r="D3" s="2569"/>
      <c r="E3" s="2569"/>
      <c r="F3" s="2569"/>
      <c r="G3" s="2569"/>
      <c r="H3" s="2569"/>
      <c r="I3" s="2569"/>
      <c r="J3" s="2011"/>
    </row>
    <row r="4" spans="2:10" s="316" customFormat="1" ht="12.75" customHeight="1" x14ac:dyDescent="0.2">
      <c r="B4" s="2568" t="s">
        <v>1983</v>
      </c>
      <c r="C4" s="2569"/>
      <c r="D4" s="2569"/>
      <c r="E4" s="2569"/>
      <c r="F4" s="2569"/>
      <c r="G4" s="2569"/>
      <c r="H4" s="2569"/>
      <c r="I4" s="2569"/>
    </row>
    <row r="5" spans="2:10" s="316" customFormat="1" ht="6.2" customHeight="1" x14ac:dyDescent="0.2">
      <c r="B5" s="2010" t="s">
        <v>1169</v>
      </c>
      <c r="C5" s="1868"/>
      <c r="D5" s="1868"/>
      <c r="E5" s="1854"/>
    </row>
    <row r="6" spans="2:10" s="316" customFormat="1" ht="6.2" customHeight="1" x14ac:dyDescent="0.2">
      <c r="B6" s="2009"/>
      <c r="C6" s="1859"/>
      <c r="D6" s="1859"/>
      <c r="E6" s="1860"/>
      <c r="F6" s="1859"/>
      <c r="G6" s="1859"/>
      <c r="H6" s="1859"/>
      <c r="I6" s="1859"/>
    </row>
    <row r="7" spans="2:10" s="316" customFormat="1" ht="13.5" customHeight="1" x14ac:dyDescent="0.2">
      <c r="B7" s="2568" t="s">
        <v>1284</v>
      </c>
      <c r="C7" s="2569"/>
      <c r="D7" s="2569"/>
      <c r="E7" s="2569"/>
      <c r="F7" s="2569"/>
      <c r="G7" s="2569"/>
      <c r="H7" s="2569"/>
      <c r="I7" s="2569"/>
    </row>
    <row r="8" spans="2:10" s="316" customFormat="1" ht="6.2" customHeight="1" x14ac:dyDescent="0.2">
      <c r="B8" s="2008" t="s">
        <v>1169</v>
      </c>
      <c r="C8" s="2006"/>
      <c r="D8" s="2006"/>
      <c r="E8" s="2007"/>
      <c r="F8" s="2006"/>
      <c r="G8" s="2006"/>
      <c r="H8" s="2006"/>
      <c r="I8" s="2006"/>
    </row>
    <row r="9" spans="2:10" s="316" customFormat="1" ht="9" customHeight="1" x14ac:dyDescent="0.2">
      <c r="B9" s="1980"/>
      <c r="E9" s="1854"/>
    </row>
    <row r="10" spans="2:10" s="316" customFormat="1" ht="12.75" customHeight="1" x14ac:dyDescent="0.2">
      <c r="B10" s="2005" t="s">
        <v>1283</v>
      </c>
      <c r="C10" s="2003"/>
      <c r="D10" s="2003"/>
      <c r="E10" s="1854"/>
    </row>
    <row r="11" spans="2:10" s="316" customFormat="1" ht="13.5" customHeight="1" x14ac:dyDescent="0.2">
      <c r="B11" s="1992" t="s">
        <v>1282</v>
      </c>
      <c r="C11" s="2570" t="s">
        <v>1164</v>
      </c>
      <c r="D11" s="2570"/>
    </row>
    <row r="12" spans="2:10" s="316" customFormat="1" ht="11.45" customHeight="1" x14ac:dyDescent="0.2">
      <c r="B12" s="1980"/>
      <c r="C12" s="1999" t="s">
        <v>1442</v>
      </c>
      <c r="D12" s="1998"/>
      <c r="E12" s="1854"/>
    </row>
    <row r="13" spans="2:10" s="316" customFormat="1" ht="12.75" customHeight="1" x14ac:dyDescent="0.2">
      <c r="B13" s="1994"/>
      <c r="C13" s="1213"/>
      <c r="D13" s="1213"/>
      <c r="E13" s="1854"/>
    </row>
    <row r="14" spans="2:10" s="316" customFormat="1" ht="12.75" customHeight="1" x14ac:dyDescent="0.2">
      <c r="B14" s="1992" t="s">
        <v>1281</v>
      </c>
      <c r="C14" s="1209"/>
      <c r="E14" s="1854"/>
    </row>
    <row r="15" spans="2:10" s="316" customFormat="1" ht="13.5" customHeight="1" x14ac:dyDescent="0.2">
      <c r="B15" s="2001" t="s">
        <v>1278</v>
      </c>
      <c r="C15" s="2000"/>
      <c r="D15" s="1083"/>
      <c r="E15" s="1369"/>
      <c r="F15" s="1216" t="s">
        <v>885</v>
      </c>
      <c r="G15" s="1369" t="s">
        <v>2064</v>
      </c>
      <c r="H15" s="1216" t="s">
        <v>1276</v>
      </c>
      <c r="I15" s="1216"/>
    </row>
    <row r="16" spans="2:10" s="316" customFormat="1" ht="8.4499999999999993" customHeight="1" x14ac:dyDescent="0.2">
      <c r="B16" s="1992"/>
      <c r="C16" s="1209"/>
      <c r="E16" s="1854"/>
      <c r="F16" s="1216"/>
      <c r="H16" s="1216"/>
      <c r="I16" s="1216"/>
    </row>
    <row r="17" spans="2:9" s="316" customFormat="1" ht="13.5" customHeight="1" x14ac:dyDescent="0.2">
      <c r="B17" s="2001" t="s">
        <v>1277</v>
      </c>
      <c r="C17" s="2000"/>
      <c r="D17" s="1083"/>
      <c r="E17" s="2002"/>
      <c r="F17" s="1216"/>
      <c r="G17" s="2002"/>
      <c r="H17" s="1216"/>
      <c r="I17" s="1216"/>
    </row>
    <row r="18" spans="2:9" s="316" customFormat="1" ht="12.75" customHeight="1" x14ac:dyDescent="0.2">
      <c r="B18" s="2001" t="s">
        <v>1443</v>
      </c>
      <c r="C18" s="2000"/>
      <c r="D18" s="1083"/>
      <c r="E18" s="1369"/>
      <c r="F18" s="1216" t="s">
        <v>885</v>
      </c>
      <c r="G18" s="1369" t="s">
        <v>2064</v>
      </c>
      <c r="H18" s="1216" t="s">
        <v>1276</v>
      </c>
      <c r="I18" s="1216"/>
    </row>
    <row r="19" spans="2:9" s="316" customFormat="1" ht="8.4499999999999993" customHeight="1" x14ac:dyDescent="0.2">
      <c r="B19" s="1992"/>
      <c r="C19" s="1209"/>
      <c r="E19" s="1854"/>
      <c r="F19" s="1216"/>
      <c r="H19" s="1216"/>
      <c r="I19" s="1216"/>
    </row>
    <row r="20" spans="2:9" s="316" customFormat="1" ht="13.5" customHeight="1" x14ac:dyDescent="0.2">
      <c r="B20" s="2001" t="s">
        <v>1589</v>
      </c>
      <c r="C20" s="2000"/>
      <c r="D20" s="1083"/>
      <c r="E20" s="1369"/>
      <c r="F20" s="1216" t="s">
        <v>885</v>
      </c>
      <c r="G20" s="1369" t="s">
        <v>2064</v>
      </c>
      <c r="H20" s="1216" t="s">
        <v>99</v>
      </c>
      <c r="I20" s="1216"/>
    </row>
    <row r="21" spans="2:9" s="316" customFormat="1" ht="12.75" customHeight="1" x14ac:dyDescent="0.2">
      <c r="B21" s="1992"/>
      <c r="C21" s="1209"/>
      <c r="E21" s="1854"/>
      <c r="F21" s="1216"/>
      <c r="H21" s="1216"/>
      <c r="I21" s="1216"/>
    </row>
    <row r="22" spans="2:9" s="316" customFormat="1" ht="12.75" customHeight="1" x14ac:dyDescent="0.2">
      <c r="B22" s="2005" t="s">
        <v>1280</v>
      </c>
      <c r="C22" s="2004"/>
      <c r="D22" s="2003"/>
      <c r="E22" s="1854"/>
      <c r="F22" s="1216"/>
      <c r="H22" s="1216"/>
      <c r="I22" s="1216"/>
    </row>
    <row r="23" spans="2:9" s="316" customFormat="1" ht="12.75" customHeight="1" x14ac:dyDescent="0.2">
      <c r="B23" s="1992" t="s">
        <v>1279</v>
      </c>
      <c r="C23" s="1209"/>
      <c r="E23" s="1854"/>
      <c r="F23" s="1216"/>
      <c r="H23" s="1216"/>
      <c r="I23" s="1216"/>
    </row>
    <row r="24" spans="2:9" s="316" customFormat="1" ht="13.5" customHeight="1" x14ac:dyDescent="0.2">
      <c r="B24" s="2001" t="s">
        <v>1278</v>
      </c>
      <c r="C24" s="2000"/>
      <c r="D24" s="1083"/>
      <c r="E24" s="1369"/>
      <c r="F24" s="1216" t="s">
        <v>885</v>
      </c>
      <c r="G24" s="1369" t="s">
        <v>2064</v>
      </c>
      <c r="H24" s="1216" t="s">
        <v>1276</v>
      </c>
      <c r="I24" s="1216"/>
    </row>
    <row r="25" spans="2:9" s="316" customFormat="1" ht="8.4499999999999993" customHeight="1" x14ac:dyDescent="0.2">
      <c r="B25" s="1992"/>
      <c r="C25" s="1209"/>
      <c r="E25" s="1854"/>
      <c r="F25" s="1216"/>
      <c r="H25" s="1216"/>
      <c r="I25" s="1216"/>
    </row>
    <row r="26" spans="2:9" s="316" customFormat="1" ht="13.5" customHeight="1" x14ac:dyDescent="0.2">
      <c r="B26" s="2001" t="s">
        <v>1277</v>
      </c>
      <c r="C26" s="2000"/>
      <c r="D26" s="1083"/>
      <c r="E26" s="2002"/>
      <c r="F26" s="1216"/>
      <c r="G26" s="2002"/>
      <c r="H26" s="1216"/>
      <c r="I26" s="1216"/>
    </row>
    <row r="27" spans="2:9" s="316" customFormat="1" ht="12.75" customHeight="1" x14ac:dyDescent="0.2">
      <c r="B27" s="2001" t="s">
        <v>1443</v>
      </c>
      <c r="C27" s="2000"/>
      <c r="D27" s="1083"/>
      <c r="E27" s="1369"/>
      <c r="F27" s="1216" t="s">
        <v>885</v>
      </c>
      <c r="G27" s="1369" t="s">
        <v>2064</v>
      </c>
      <c r="H27" s="1216" t="s">
        <v>1276</v>
      </c>
      <c r="I27" s="1216"/>
    </row>
    <row r="28" spans="2:9" s="316" customFormat="1" ht="12.75" customHeight="1" x14ac:dyDescent="0.2">
      <c r="B28" s="1992"/>
      <c r="C28" s="1209"/>
      <c r="E28" s="1854"/>
    </row>
    <row r="29" spans="2:9" s="316" customFormat="1" ht="12.75" customHeight="1" x14ac:dyDescent="0.2">
      <c r="B29" s="1992" t="s">
        <v>1275</v>
      </c>
      <c r="C29" s="1209"/>
      <c r="D29" s="2571" t="s">
        <v>2159</v>
      </c>
      <c r="E29" s="2571"/>
      <c r="F29" s="2571"/>
      <c r="G29" s="2571"/>
      <c r="H29" s="2571"/>
      <c r="I29" s="2571"/>
    </row>
    <row r="30" spans="2:9" s="316" customFormat="1" x14ac:dyDescent="0.2">
      <c r="B30" s="1992"/>
      <c r="D30" s="1999" t="s">
        <v>1743</v>
      </c>
      <c r="E30" s="1998"/>
      <c r="F30" s="1998"/>
      <c r="G30" s="1998"/>
      <c r="H30" s="1998"/>
      <c r="I30" s="1998"/>
    </row>
    <row r="31" spans="2:9" s="316" customFormat="1" ht="9.9499999999999993" customHeight="1" x14ac:dyDescent="0.2">
      <c r="B31" s="1992"/>
      <c r="E31" s="1854"/>
    </row>
    <row r="32" spans="2:9" s="316" customFormat="1" x14ac:dyDescent="0.2">
      <c r="B32" s="1992" t="s">
        <v>1274</v>
      </c>
      <c r="C32" s="1209"/>
      <c r="E32" s="1854"/>
    </row>
    <row r="33" spans="2:12" ht="13.5" customHeight="1" x14ac:dyDescent="0.2">
      <c r="B33" s="1992" t="s">
        <v>1550</v>
      </c>
      <c r="C33" s="1209"/>
      <c r="E33" s="1369"/>
      <c r="F33" s="1216" t="s">
        <v>885</v>
      </c>
      <c r="G33" s="1369" t="s">
        <v>2064</v>
      </c>
      <c r="H33" s="1216" t="s">
        <v>99</v>
      </c>
    </row>
    <row r="35" spans="2:12" x14ac:dyDescent="0.2">
      <c r="B35" s="1997" t="s">
        <v>1744</v>
      </c>
      <c r="C35" s="1996"/>
      <c r="D35" s="1985"/>
    </row>
    <row r="36" spans="2:12" ht="6" customHeight="1" x14ac:dyDescent="0.2">
      <c r="B36" s="1997"/>
      <c r="C36" s="1996"/>
      <c r="D36" s="1985"/>
    </row>
    <row r="37" spans="2:12" ht="17.25" customHeight="1" x14ac:dyDescent="0.2">
      <c r="B37" s="1995" t="s">
        <v>1745</v>
      </c>
      <c r="C37" s="2572" t="s">
        <v>1746</v>
      </c>
      <c r="D37" s="2573"/>
      <c r="E37" s="2573"/>
      <c r="F37" s="2574"/>
      <c r="G37" s="2572" t="s">
        <v>1590</v>
      </c>
      <c r="H37" s="2573"/>
      <c r="I37" s="2574"/>
    </row>
    <row r="38" spans="2:12" ht="16.5" customHeight="1" x14ac:dyDescent="0.2">
      <c r="B38" s="1370" t="s">
        <v>2160</v>
      </c>
      <c r="C38" s="2575" t="s">
        <v>2161</v>
      </c>
      <c r="D38" s="2576"/>
      <c r="E38" s="2576"/>
      <c r="F38" s="2577"/>
      <c r="G38" s="2578">
        <f>'SEFA 19'!M47</f>
        <v>1632924</v>
      </c>
      <c r="H38" s="2579"/>
      <c r="I38" s="2580"/>
      <c r="L38" s="2013"/>
    </row>
    <row r="39" spans="2:12" ht="16.5" customHeight="1" x14ac:dyDescent="0.2">
      <c r="B39" s="1370"/>
      <c r="C39" s="2575"/>
      <c r="D39" s="2576"/>
      <c r="E39" s="2576"/>
      <c r="F39" s="2577"/>
      <c r="G39" s="2581"/>
      <c r="H39" s="2581"/>
      <c r="I39" s="2581"/>
    </row>
    <row r="40" spans="2:12" ht="16.5" customHeight="1" x14ac:dyDescent="0.2">
      <c r="B40" s="1370"/>
      <c r="C40" s="2575"/>
      <c r="D40" s="2576"/>
      <c r="E40" s="2576"/>
      <c r="F40" s="2577"/>
      <c r="G40" s="2581"/>
      <c r="H40" s="2581"/>
      <c r="I40" s="2581"/>
    </row>
    <row r="41" spans="2:12" ht="16.5" customHeight="1" x14ac:dyDescent="0.2">
      <c r="B41" s="1370"/>
      <c r="C41" s="2575"/>
      <c r="D41" s="2576"/>
      <c r="E41" s="2576"/>
      <c r="F41" s="2577"/>
      <c r="G41" s="2581"/>
      <c r="H41" s="2581"/>
      <c r="I41" s="2581"/>
    </row>
    <row r="42" spans="2:12" ht="16.5" customHeight="1" x14ac:dyDescent="0.2">
      <c r="B42" s="1370"/>
      <c r="C42" s="2582" t="s">
        <v>1591</v>
      </c>
      <c r="D42" s="2583"/>
      <c r="E42" s="2583"/>
      <c r="F42" s="2584"/>
      <c r="G42" s="2585">
        <f>SUM(G38:I41)</f>
        <v>1632924</v>
      </c>
      <c r="H42" s="2585"/>
      <c r="I42" s="2585"/>
    </row>
    <row r="43" spans="2:12" ht="12.75" customHeight="1" x14ac:dyDescent="0.2">
      <c r="C43" s="2014"/>
      <c r="D43" s="2014"/>
      <c r="E43" s="2015"/>
      <c r="F43" s="2014"/>
      <c r="G43" s="2014"/>
      <c r="H43" s="2014"/>
      <c r="I43" s="2014"/>
    </row>
    <row r="44" spans="2:12" ht="12.75" customHeight="1" x14ac:dyDescent="0.2">
      <c r="B44" s="1994" t="s">
        <v>2164</v>
      </c>
      <c r="C44" s="2014"/>
      <c r="D44" s="2586">
        <f>'SEFA 19'!M76</f>
        <v>1730953</v>
      </c>
      <c r="E44" s="2587"/>
      <c r="F44" s="2014"/>
      <c r="G44" s="2014"/>
      <c r="H44" s="2014"/>
      <c r="I44" s="2014"/>
    </row>
    <row r="45" spans="2:12" ht="5.25" customHeight="1" x14ac:dyDescent="0.2">
      <c r="B45" s="1993"/>
      <c r="C45" s="2014"/>
      <c r="D45" s="2016"/>
      <c r="E45" s="2017"/>
      <c r="F45" s="2014"/>
      <c r="G45" s="2014"/>
      <c r="H45" s="2014"/>
      <c r="I45" s="2014"/>
    </row>
    <row r="46" spans="2:12" ht="12.75" customHeight="1" x14ac:dyDescent="0.2">
      <c r="B46" s="1216" t="s">
        <v>1592</v>
      </c>
      <c r="C46" s="2018"/>
      <c r="D46" s="2019">
        <f>+G42/D44</f>
        <v>0.94336703538455402</v>
      </c>
      <c r="E46" s="2020"/>
      <c r="F46" s="2021"/>
      <c r="G46" s="2014"/>
      <c r="H46" s="2014"/>
      <c r="I46" s="2022"/>
    </row>
    <row r="47" spans="2:12" ht="9.9499999999999993" customHeight="1" x14ac:dyDescent="0.2"/>
    <row r="48" spans="2:12" x14ac:dyDescent="0.2">
      <c r="B48" s="1992" t="s">
        <v>1273</v>
      </c>
      <c r="C48" s="1209"/>
      <c r="D48" s="1209"/>
      <c r="E48" s="2588">
        <v>750000</v>
      </c>
      <c r="F48" s="2588"/>
      <c r="G48" s="2588"/>
    </row>
    <row r="50" spans="1:9" ht="13.5" customHeight="1" x14ac:dyDescent="0.2">
      <c r="B50" s="1992" t="s">
        <v>1272</v>
      </c>
      <c r="C50" s="1209"/>
      <c r="E50" s="1369"/>
      <c r="F50" s="1216" t="s">
        <v>885</v>
      </c>
      <c r="G50" s="1369" t="s">
        <v>2064</v>
      </c>
      <c r="H50" s="1216" t="s">
        <v>99</v>
      </c>
    </row>
    <row r="51" spans="1:9" x14ac:dyDescent="0.2">
      <c r="B51" s="1991"/>
      <c r="C51" s="1857"/>
      <c r="D51" s="1990"/>
      <c r="E51" s="1989"/>
      <c r="F51" s="1988"/>
      <c r="G51" s="1988"/>
      <c r="H51" s="1988"/>
      <c r="I51" s="1988"/>
    </row>
    <row r="52" spans="1:9" ht="6" customHeight="1" x14ac:dyDescent="0.2">
      <c r="D52" s="1987"/>
      <c r="E52" s="1986"/>
      <c r="F52" s="1985"/>
      <c r="G52" s="1985"/>
      <c r="H52" s="1985"/>
      <c r="I52" s="1985"/>
    </row>
    <row r="53" spans="1:9" s="1076" customFormat="1" ht="14.25" x14ac:dyDescent="0.2">
      <c r="A53" s="1981"/>
      <c r="B53" s="1984" t="s">
        <v>1747</v>
      </c>
      <c r="C53" s="1983"/>
      <c r="D53" s="1983"/>
    </row>
    <row r="54" spans="1:9" s="1076" customFormat="1" ht="12.75" customHeight="1" x14ac:dyDescent="0.2">
      <c r="A54" s="1981"/>
      <c r="B54" s="1982" t="s">
        <v>1593</v>
      </c>
      <c r="C54" s="1981"/>
      <c r="D54" s="1981"/>
    </row>
    <row r="55" spans="1:9" s="1076" customFormat="1" ht="12.75" customHeight="1" x14ac:dyDescent="0.2">
      <c r="A55" s="1981"/>
      <c r="B55" s="1982" t="s">
        <v>1594</v>
      </c>
      <c r="C55" s="1981"/>
      <c r="D55" s="1981"/>
    </row>
    <row r="56" spans="1:9" s="1076" customFormat="1" ht="3.95" customHeight="1" x14ac:dyDescent="0.2">
      <c r="A56" s="1981"/>
      <c r="B56" s="1982"/>
      <c r="C56" s="1981"/>
      <c r="D56" s="1981"/>
    </row>
    <row r="57" spans="1:9" s="1076" customFormat="1" ht="13.5" customHeight="1" x14ac:dyDescent="0.2">
      <c r="A57" s="1981"/>
      <c r="B57" s="1984" t="s">
        <v>1748</v>
      </c>
      <c r="C57" s="1983"/>
      <c r="D57" s="1983"/>
    </row>
    <row r="58" spans="1:9" s="1076" customFormat="1" ht="3.95" customHeight="1" x14ac:dyDescent="0.2">
      <c r="A58" s="1981"/>
      <c r="B58" s="1984"/>
      <c r="C58" s="1983"/>
      <c r="D58" s="1983"/>
    </row>
    <row r="59" spans="1:9" s="1076" customFormat="1" ht="13.5" customHeight="1" x14ac:dyDescent="0.2">
      <c r="A59" s="1981"/>
      <c r="B59" s="1984" t="s">
        <v>1749</v>
      </c>
      <c r="C59" s="1983"/>
      <c r="D59" s="1983"/>
    </row>
    <row r="60" spans="1:9" s="1076" customFormat="1" ht="3.95" customHeight="1" x14ac:dyDescent="0.2">
      <c r="A60" s="1981"/>
      <c r="B60" s="1984"/>
      <c r="C60" s="1983"/>
      <c r="D60" s="1983"/>
    </row>
    <row r="61" spans="1:9" s="1076" customFormat="1" ht="12.75" customHeight="1" x14ac:dyDescent="0.2">
      <c r="A61" s="1981"/>
      <c r="B61" s="1984" t="s">
        <v>1750</v>
      </c>
      <c r="C61" s="1983"/>
      <c r="D61" s="1983"/>
    </row>
    <row r="62" spans="1:9" s="1076" customFormat="1" ht="13.5" customHeight="1" x14ac:dyDescent="0.2">
      <c r="A62" s="1981"/>
      <c r="B62" s="1982" t="s">
        <v>1595</v>
      </c>
      <c r="C62" s="1981"/>
      <c r="D62" s="1981"/>
    </row>
  </sheetData>
  <mergeCells count="21">
    <mergeCell ref="E48:G48"/>
    <mergeCell ref="C40:F40"/>
    <mergeCell ref="G40:I40"/>
    <mergeCell ref="C41:F41"/>
    <mergeCell ref="G41:I41"/>
    <mergeCell ref="C39:F39"/>
    <mergeCell ref="G39:I39"/>
    <mergeCell ref="C42:F42"/>
    <mergeCell ref="G42:I42"/>
    <mergeCell ref="D44:E44"/>
    <mergeCell ref="C11:D11"/>
    <mergeCell ref="D29:I29"/>
    <mergeCell ref="C37:F37"/>
    <mergeCell ref="G37:I37"/>
    <mergeCell ref="C38:F38"/>
    <mergeCell ref="G38:I38"/>
    <mergeCell ref="B1:I1"/>
    <mergeCell ref="B2:I2"/>
    <mergeCell ref="B3:I3"/>
    <mergeCell ref="B4:I4"/>
    <mergeCell ref="B7:I7"/>
  </mergeCells>
  <pageMargins left="0.25" right="0.27" top="0.46" bottom="0.49" header="0.26" footer="0.28999999999999998"/>
  <pageSetup firstPageNumber="40" fitToHeight="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CA8C-D860-44A4-8446-3775AFE2C377}">
  <sheetPr>
    <pageSetUpPr fitToPage="1"/>
  </sheetPr>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5.28515625" style="316" bestFit="1" customWidth="1"/>
    <col min="5" max="5" width="3.5703125" style="316" customWidth="1"/>
    <col min="6" max="6" width="20.140625" style="316" customWidth="1"/>
    <col min="7" max="7" width="3.5703125" style="1854" customWidth="1"/>
    <col min="8" max="8" width="10.5703125" style="316" customWidth="1"/>
    <col min="9" max="9" width="3.42578125" style="18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65" t="s">
        <v>2068</v>
      </c>
      <c r="C1" s="2565"/>
      <c r="D1" s="2565"/>
      <c r="E1" s="2565"/>
      <c r="F1" s="2565"/>
      <c r="G1" s="2565"/>
      <c r="H1" s="2565"/>
      <c r="I1" s="2565"/>
      <c r="J1" s="2565"/>
      <c r="K1" s="2565"/>
      <c r="L1" s="1876"/>
      <c r="M1" s="1876"/>
    </row>
    <row r="2" spans="1:13" ht="12" customHeight="1" x14ac:dyDescent="0.2">
      <c r="B2" s="2567" t="s">
        <v>2075</v>
      </c>
      <c r="C2" s="2567"/>
      <c r="D2" s="2567"/>
      <c r="E2" s="2567"/>
      <c r="F2" s="2567"/>
      <c r="G2" s="2567"/>
      <c r="H2" s="2567"/>
      <c r="I2" s="2567"/>
      <c r="J2" s="2567"/>
      <c r="K2" s="2567"/>
      <c r="L2" s="1875"/>
      <c r="M2" s="1874"/>
    </row>
    <row r="3" spans="1:13" ht="10.35" customHeight="1" x14ac:dyDescent="0.2">
      <c r="B3" s="2590" t="s">
        <v>1285</v>
      </c>
      <c r="C3" s="2590"/>
      <c r="D3" s="2590"/>
      <c r="E3" s="2590"/>
      <c r="F3" s="2590"/>
      <c r="G3" s="2590"/>
      <c r="H3" s="2590"/>
      <c r="I3" s="2590"/>
      <c r="J3" s="2590"/>
      <c r="K3" s="2590"/>
      <c r="L3" s="1852"/>
      <c r="M3" s="1852"/>
    </row>
    <row r="4" spans="1:13" ht="14.25" customHeight="1" x14ac:dyDescent="0.2">
      <c r="B4" s="2590" t="s">
        <v>1983</v>
      </c>
      <c r="C4" s="2590"/>
      <c r="D4" s="2590"/>
      <c r="E4" s="2590"/>
      <c r="F4" s="2590"/>
      <c r="G4" s="2590"/>
      <c r="H4" s="2590"/>
      <c r="I4" s="2590"/>
      <c r="J4" s="2590"/>
      <c r="K4" s="2590"/>
      <c r="L4" s="1852"/>
      <c r="M4" s="1852"/>
    </row>
    <row r="5" spans="1:13" ht="7.5" customHeight="1" x14ac:dyDescent="0.2">
      <c r="B5" s="1868" t="s">
        <v>1169</v>
      </c>
      <c r="C5" s="1868"/>
    </row>
    <row r="6" spans="1:13" ht="7.5" customHeight="1" x14ac:dyDescent="0.2">
      <c r="B6" s="1861"/>
      <c r="C6" s="1861"/>
      <c r="D6" s="1859"/>
      <c r="E6" s="1859"/>
      <c r="F6" s="1859"/>
      <c r="G6" s="1860"/>
      <c r="H6" s="1859"/>
      <c r="I6" s="1860"/>
      <c r="J6" s="1859"/>
      <c r="K6" s="1859"/>
    </row>
    <row r="7" spans="1:13" ht="12.75" customHeight="1" x14ac:dyDescent="0.2">
      <c r="A7" s="1209"/>
      <c r="B7" s="2590" t="s">
        <v>1296</v>
      </c>
      <c r="C7" s="2590"/>
      <c r="D7" s="2566"/>
      <c r="E7" s="2566"/>
      <c r="F7" s="2566"/>
      <c r="G7" s="2566"/>
      <c r="H7" s="2566"/>
      <c r="I7" s="2566"/>
      <c r="J7" s="2566"/>
      <c r="K7" s="2566"/>
      <c r="L7" s="1873"/>
    </row>
    <row r="8" spans="1:13" ht="7.5" customHeight="1" x14ac:dyDescent="0.2"/>
    <row r="9" spans="1:13" ht="9.6" customHeight="1" x14ac:dyDescent="0.2">
      <c r="B9" s="1859"/>
      <c r="C9" s="1859"/>
      <c r="D9" s="1859"/>
      <c r="E9" s="1859"/>
      <c r="F9" s="1859"/>
      <c r="G9" s="1860"/>
      <c r="H9" s="1859"/>
      <c r="I9" s="1860"/>
      <c r="J9" s="1859"/>
      <c r="K9" s="1859"/>
    </row>
    <row r="10" spans="1:13" ht="16.5" customHeight="1" x14ac:dyDescent="0.2">
      <c r="B10" s="1213" t="s">
        <v>1737</v>
      </c>
      <c r="C10" s="1872" t="s">
        <v>1985</v>
      </c>
      <c r="D10" s="1358">
        <v>1</v>
      </c>
      <c r="F10" s="1213" t="s">
        <v>1295</v>
      </c>
      <c r="G10" s="1360" t="s">
        <v>2064</v>
      </c>
      <c r="H10" s="1871" t="s">
        <v>1294</v>
      </c>
      <c r="I10" s="1360"/>
      <c r="J10" s="1870" t="s">
        <v>1293</v>
      </c>
    </row>
    <row r="11" spans="1:13" ht="13.5" customHeight="1" x14ac:dyDescent="0.2">
      <c r="I11" s="1869" t="s">
        <v>1292</v>
      </c>
      <c r="K11" s="1361"/>
    </row>
    <row r="12" spans="1:13" ht="13.5" customHeight="1" x14ac:dyDescent="0.2">
      <c r="B12" s="1868"/>
      <c r="C12" s="1868"/>
    </row>
    <row r="13" spans="1:13" s="1209" customFormat="1" ht="13.5" customHeight="1" x14ac:dyDescent="0.2">
      <c r="B13" s="1864" t="s">
        <v>1291</v>
      </c>
      <c r="C13" s="1864"/>
      <c r="D13" s="1866"/>
      <c r="E13" s="1866"/>
      <c r="F13" s="1866"/>
      <c r="G13" s="1867"/>
      <c r="H13" s="1866"/>
      <c r="I13" s="1867"/>
      <c r="J13" s="1866"/>
      <c r="K13" s="1866"/>
    </row>
    <row r="14" spans="1:13" ht="54" customHeight="1" x14ac:dyDescent="0.2">
      <c r="B14" s="2591" t="s">
        <v>2165</v>
      </c>
      <c r="C14" s="2591"/>
      <c r="D14" s="2591"/>
      <c r="E14" s="2591"/>
      <c r="F14" s="2591"/>
      <c r="G14" s="2591"/>
      <c r="H14" s="2591"/>
      <c r="I14" s="2591"/>
      <c r="J14" s="2591"/>
      <c r="K14" s="2591"/>
    </row>
    <row r="15" spans="1:13" ht="4.5" customHeight="1" x14ac:dyDescent="0.2">
      <c r="B15" s="1083"/>
      <c r="C15" s="1083"/>
    </row>
    <row r="16" spans="1:13" s="1209" customFormat="1" ht="13.5" customHeight="1" x14ac:dyDescent="0.2">
      <c r="B16" s="1864" t="s">
        <v>1290</v>
      </c>
      <c r="C16" s="1864"/>
      <c r="D16" s="1866"/>
      <c r="E16" s="1866"/>
      <c r="F16" s="1866"/>
      <c r="G16" s="1867"/>
      <c r="H16" s="1866"/>
      <c r="I16" s="1867"/>
      <c r="J16" s="1866"/>
      <c r="K16" s="1866"/>
    </row>
    <row r="17" spans="2:11" ht="45.75" customHeight="1" x14ac:dyDescent="0.2">
      <c r="B17" s="2591" t="s">
        <v>2166</v>
      </c>
      <c r="C17" s="2591"/>
      <c r="D17" s="2591"/>
      <c r="E17" s="2591"/>
      <c r="F17" s="2591"/>
      <c r="G17" s="2591"/>
      <c r="H17" s="2591"/>
      <c r="I17" s="2591"/>
      <c r="J17" s="2591"/>
      <c r="K17" s="2591"/>
    </row>
    <row r="18" spans="2:11" ht="4.5" customHeight="1" x14ac:dyDescent="0.2">
      <c r="B18" s="1083"/>
      <c r="C18" s="1083"/>
    </row>
    <row r="19" spans="2:11" s="1209" customFormat="1" ht="13.5" customHeight="1" x14ac:dyDescent="0.2">
      <c r="B19" s="1864" t="s">
        <v>1738</v>
      </c>
      <c r="C19" s="1864"/>
      <c r="D19" s="1866"/>
      <c r="E19" s="1866"/>
      <c r="F19" s="1866"/>
      <c r="G19" s="1867"/>
      <c r="H19" s="1866"/>
      <c r="I19" s="1867"/>
      <c r="J19" s="1866"/>
      <c r="K19" s="1866"/>
    </row>
    <row r="20" spans="2:11" ht="45.75" customHeight="1" x14ac:dyDescent="0.2">
      <c r="B20" s="2592" t="s">
        <v>2167</v>
      </c>
      <c r="C20" s="2592"/>
      <c r="D20" s="2591"/>
      <c r="E20" s="2591"/>
      <c r="F20" s="2591"/>
      <c r="G20" s="2591"/>
      <c r="H20" s="2591"/>
      <c r="I20" s="2591"/>
      <c r="J20" s="2591"/>
      <c r="K20" s="2591"/>
    </row>
    <row r="21" spans="2:11" ht="4.5" customHeight="1" x14ac:dyDescent="0.2">
      <c r="B21" s="1865"/>
      <c r="C21" s="1865"/>
    </row>
    <row r="22" spans="2:11" ht="13.5" customHeight="1" x14ac:dyDescent="0.2">
      <c r="B22" s="1864" t="s">
        <v>1289</v>
      </c>
      <c r="C22" s="1864"/>
      <c r="D22" s="1859"/>
      <c r="E22" s="1859"/>
      <c r="F22" s="1859"/>
      <c r="G22" s="1860"/>
      <c r="H22" s="1859"/>
      <c r="I22" s="1860"/>
      <c r="J22" s="1859"/>
      <c r="K22" s="1859"/>
    </row>
    <row r="23" spans="2:11" ht="45" customHeight="1" x14ac:dyDescent="0.2">
      <c r="B23" s="2589" t="s">
        <v>2168</v>
      </c>
      <c r="C23" s="2589"/>
      <c r="D23" s="2589"/>
      <c r="E23" s="2589"/>
      <c r="F23" s="2589"/>
      <c r="G23" s="2589"/>
      <c r="H23" s="2589"/>
      <c r="I23" s="2589"/>
      <c r="J23" s="2589"/>
      <c r="K23" s="2589"/>
    </row>
    <row r="24" spans="2:11" ht="4.5" customHeight="1" x14ac:dyDescent="0.2">
      <c r="B24" s="1083"/>
      <c r="C24" s="1083"/>
    </row>
    <row r="25" spans="2:11" ht="13.5" customHeight="1" x14ac:dyDescent="0.2">
      <c r="B25" s="1864" t="s">
        <v>1288</v>
      </c>
      <c r="C25" s="1864"/>
      <c r="D25" s="1859"/>
      <c r="E25" s="1859"/>
      <c r="F25" s="1859"/>
      <c r="G25" s="1860"/>
      <c r="H25" s="1859"/>
      <c r="I25" s="1860"/>
      <c r="J25" s="1859"/>
      <c r="K25" s="1859"/>
    </row>
    <row r="26" spans="2:11" ht="45.75" customHeight="1" x14ac:dyDescent="0.2">
      <c r="B26" s="2589" t="s">
        <v>2169</v>
      </c>
      <c r="C26" s="2589"/>
      <c r="D26" s="2589"/>
      <c r="E26" s="2589"/>
      <c r="F26" s="2589"/>
      <c r="G26" s="2589"/>
      <c r="H26" s="2589"/>
      <c r="I26" s="2589"/>
      <c r="J26" s="2589"/>
      <c r="K26" s="2589"/>
    </row>
    <row r="27" spans="2:11" ht="4.5" customHeight="1" x14ac:dyDescent="0.2">
      <c r="B27" s="1083"/>
      <c r="C27" s="1083"/>
    </row>
    <row r="28" spans="2:11" ht="13.5" customHeight="1" x14ac:dyDescent="0.2">
      <c r="B28" s="1863" t="s">
        <v>1287</v>
      </c>
      <c r="C28" s="1863"/>
      <c r="D28" s="1859"/>
      <c r="E28" s="1859"/>
      <c r="F28" s="1859"/>
      <c r="G28" s="1860"/>
      <c r="H28" s="1859"/>
      <c r="I28" s="1860"/>
      <c r="J28" s="1859"/>
      <c r="K28" s="1859"/>
    </row>
    <row r="29" spans="2:11" ht="45.75" customHeight="1" x14ac:dyDescent="0.2">
      <c r="B29" s="2589" t="s">
        <v>2170</v>
      </c>
      <c r="C29" s="2589"/>
      <c r="D29" s="2589"/>
      <c r="E29" s="2589"/>
      <c r="F29" s="2589"/>
      <c r="G29" s="2589"/>
      <c r="H29" s="2589"/>
      <c r="I29" s="2589"/>
      <c r="J29" s="2589"/>
      <c r="K29" s="2589"/>
    </row>
    <row r="30" spans="2:11" ht="4.5" customHeight="1" x14ac:dyDescent="0.2">
      <c r="B30" s="1083"/>
      <c r="C30" s="1083"/>
    </row>
    <row r="31" spans="2:11" ht="13.5" customHeight="1" x14ac:dyDescent="0.2">
      <c r="B31" s="1862" t="s">
        <v>1739</v>
      </c>
      <c r="C31" s="1862"/>
      <c r="D31" s="1861"/>
      <c r="E31" s="1859"/>
      <c r="F31" s="1859"/>
      <c r="G31" s="1860"/>
      <c r="H31" s="1859"/>
      <c r="I31" s="1860"/>
      <c r="J31" s="1859"/>
      <c r="K31" s="1859"/>
    </row>
    <row r="32" spans="2:11" ht="44.25" customHeight="1" x14ac:dyDescent="0.2">
      <c r="B32" s="2589" t="s">
        <v>2171</v>
      </c>
      <c r="C32" s="2589"/>
      <c r="D32" s="2589"/>
      <c r="E32" s="2589"/>
      <c r="F32" s="2589"/>
      <c r="G32" s="2589"/>
      <c r="H32" s="2589"/>
      <c r="I32" s="2589"/>
      <c r="J32" s="2589"/>
      <c r="K32" s="2589"/>
    </row>
    <row r="33" spans="1:13" ht="4.5" customHeight="1" x14ac:dyDescent="0.2">
      <c r="B33" s="1083"/>
      <c r="C33" s="1083"/>
    </row>
    <row r="34" spans="1:13" x14ac:dyDescent="0.2">
      <c r="A34" s="1857"/>
      <c r="B34" s="1857"/>
      <c r="C34" s="1857"/>
      <c r="D34" s="1857"/>
      <c r="E34" s="1857"/>
      <c r="F34" s="1857"/>
      <c r="G34" s="1858"/>
      <c r="H34" s="1857"/>
      <c r="I34" s="1858"/>
      <c r="J34" s="1857"/>
      <c r="K34" s="1857"/>
    </row>
    <row r="35" spans="1:13" ht="11.85" customHeight="1" x14ac:dyDescent="0.2">
      <c r="B35" s="1856" t="s">
        <v>1740</v>
      </c>
      <c r="C35" s="1856"/>
    </row>
    <row r="36" spans="1:13" ht="9.6" customHeight="1" x14ac:dyDescent="0.2">
      <c r="B36" s="1216" t="s">
        <v>1836</v>
      </c>
      <c r="C36" s="1216"/>
    </row>
    <row r="37" spans="1:13" ht="9.6" customHeight="1" x14ac:dyDescent="0.2">
      <c r="B37" s="1216" t="s">
        <v>1837</v>
      </c>
      <c r="C37" s="1216"/>
    </row>
    <row r="38" spans="1:13" ht="11.85" customHeight="1" x14ac:dyDescent="0.2">
      <c r="B38" s="1856" t="s">
        <v>1741</v>
      </c>
      <c r="C38" s="1856"/>
    </row>
    <row r="39" spans="1:13" ht="9.6" customHeight="1" x14ac:dyDescent="0.2">
      <c r="B39" s="1216" t="s">
        <v>1286</v>
      </c>
      <c r="C39" s="1216"/>
      <c r="M39" s="1855"/>
    </row>
    <row r="40" spans="1:13" ht="12.6" customHeight="1" x14ac:dyDescent="0.2">
      <c r="B40" s="1856" t="s">
        <v>1742</v>
      </c>
      <c r="C40" s="1856"/>
      <c r="M40" s="1855"/>
    </row>
    <row r="41" spans="1:13" ht="9.6" customHeight="1" x14ac:dyDescent="0.2">
      <c r="B41" s="1216"/>
      <c r="C41" s="1216"/>
      <c r="M41" s="1855"/>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fitToHeight="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96" t="str">
        <f>'Single Audit Cover'!A7</f>
        <v>Woodford County Spec Educ Assn</v>
      </c>
      <c r="C1" s="2596"/>
      <c r="D1" s="2596"/>
      <c r="E1" s="2596"/>
      <c r="F1" s="2596"/>
      <c r="G1" s="2596"/>
      <c r="H1" s="2596"/>
      <c r="I1" s="2596"/>
      <c r="J1" s="2596"/>
      <c r="K1" s="2596"/>
      <c r="L1" s="1371"/>
    </row>
    <row r="2" spans="1:12" ht="12.75" customHeight="1" x14ac:dyDescent="0.2">
      <c r="B2" s="2597">
        <f>'Single Audit Cover'!E7</f>
        <v>53102069061</v>
      </c>
      <c r="C2" s="2597"/>
      <c r="D2" s="2597"/>
      <c r="E2" s="2597"/>
      <c r="F2" s="2597"/>
      <c r="G2" s="2597"/>
      <c r="H2" s="2597"/>
      <c r="I2" s="2597"/>
      <c r="J2" s="2597"/>
      <c r="K2" s="2597"/>
      <c r="L2" s="1372"/>
    </row>
    <row r="3" spans="1:12" ht="12.75" customHeight="1" x14ac:dyDescent="0.2">
      <c r="B3" s="2598" t="s">
        <v>1285</v>
      </c>
      <c r="C3" s="2598"/>
      <c r="D3" s="2598"/>
      <c r="E3" s="2598"/>
      <c r="F3" s="2598"/>
      <c r="G3" s="2598"/>
      <c r="H3" s="2598"/>
      <c r="I3" s="2598"/>
      <c r="J3" s="2598"/>
      <c r="K3" s="2598"/>
      <c r="L3" s="1352"/>
    </row>
    <row r="4" spans="1:12" ht="12.75" customHeight="1" x14ac:dyDescent="0.2">
      <c r="B4" s="2598" t="str">
        <f>'Single Audit Cover'!A4</f>
        <v>Year Ending June 30, 2019</v>
      </c>
      <c r="C4" s="2598"/>
      <c r="D4" s="2598"/>
      <c r="E4" s="2598"/>
      <c r="F4" s="2598"/>
      <c r="G4" s="2598"/>
      <c r="H4" s="2598"/>
      <c r="I4" s="2598"/>
      <c r="J4" s="2598"/>
      <c r="K4" s="2598"/>
      <c r="L4" s="1352"/>
    </row>
    <row r="5" spans="1:12" ht="5.25" customHeight="1" x14ac:dyDescent="0.2">
      <c r="B5" s="1254" t="s">
        <v>1169</v>
      </c>
      <c r="C5" s="1254"/>
      <c r="L5" s="322"/>
    </row>
    <row r="6" spans="1:12" ht="30.75" customHeight="1" x14ac:dyDescent="0.2">
      <c r="A6" s="322"/>
      <c r="B6" s="2599" t="s">
        <v>1308</v>
      </c>
      <c r="C6" s="2599"/>
      <c r="D6" s="2599"/>
      <c r="E6" s="2599"/>
      <c r="F6" s="2599"/>
      <c r="G6" s="2599"/>
      <c r="H6" s="2599"/>
      <c r="I6" s="2599"/>
      <c r="J6" s="2599"/>
      <c r="K6" s="2599"/>
      <c r="L6" s="322"/>
    </row>
    <row r="7" spans="1:12" ht="4.5" customHeight="1" x14ac:dyDescent="0.2">
      <c r="B7" s="1354"/>
      <c r="C7" s="1354"/>
      <c r="D7" s="1354"/>
      <c r="E7" s="1354"/>
      <c r="F7" s="1354"/>
      <c r="G7" s="1355"/>
      <c r="H7" s="1354"/>
      <c r="I7" s="1355"/>
      <c r="J7" s="1354"/>
      <c r="K7" s="1354"/>
      <c r="L7" s="322"/>
    </row>
    <row r="8" spans="1:12" ht="13.5" customHeight="1" x14ac:dyDescent="0.2">
      <c r="B8" s="1359" t="s">
        <v>1751</v>
      </c>
      <c r="C8" s="1373" t="s">
        <v>1985</v>
      </c>
      <c r="D8" s="1374" t="s">
        <v>2076</v>
      </c>
      <c r="E8" s="322"/>
      <c r="F8" s="1357" t="s">
        <v>1295</v>
      </c>
      <c r="G8" s="1375"/>
      <c r="H8" s="1376" t="s">
        <v>1307</v>
      </c>
      <c r="I8" s="1375"/>
      <c r="J8" s="1377" t="s">
        <v>1306</v>
      </c>
      <c r="L8" s="322"/>
    </row>
    <row r="9" spans="1:12" ht="13.5" customHeight="1" x14ac:dyDescent="0.2">
      <c r="D9" s="322"/>
      <c r="E9" s="322"/>
      <c r="F9" s="322"/>
      <c r="G9" s="1356"/>
      <c r="H9" s="322"/>
      <c r="I9" s="1378" t="s">
        <v>1292</v>
      </c>
      <c r="J9" s="322"/>
      <c r="K9" s="1379"/>
      <c r="L9" s="322"/>
    </row>
    <row r="10" spans="1:12" ht="4.5" customHeight="1" x14ac:dyDescent="0.2">
      <c r="B10" s="1380"/>
      <c r="C10" s="1380"/>
      <c r="D10" s="1366"/>
      <c r="E10" s="1366"/>
      <c r="F10" s="1366"/>
      <c r="G10" s="1367"/>
      <c r="H10" s="1366"/>
      <c r="I10" s="1367"/>
      <c r="J10" s="1366"/>
      <c r="K10" s="1366"/>
      <c r="L10" s="322"/>
    </row>
    <row r="11" spans="1:12" ht="5.25" customHeight="1" x14ac:dyDescent="0.2">
      <c r="B11" s="322"/>
      <c r="C11" s="322"/>
      <c r="D11" s="304"/>
      <c r="E11" s="322"/>
      <c r="F11" s="322"/>
      <c r="G11" s="1356"/>
      <c r="H11" s="322"/>
      <c r="I11" s="1356"/>
      <c r="J11" s="322"/>
      <c r="K11" s="1368"/>
      <c r="L11" s="322"/>
    </row>
    <row r="12" spans="1:12" ht="13.5" customHeight="1" x14ac:dyDescent="0.2">
      <c r="B12" s="1357" t="s">
        <v>1305</v>
      </c>
      <c r="C12" s="1357"/>
      <c r="D12" s="304"/>
      <c r="E12" s="322"/>
      <c r="F12" s="2571"/>
      <c r="G12" s="2571"/>
      <c r="H12" s="2571"/>
      <c r="I12" s="2571"/>
      <c r="J12" s="2571"/>
      <c r="K12" s="2571"/>
      <c r="L12" s="322"/>
    </row>
    <row r="13" spans="1:12" ht="9.6" customHeight="1" x14ac:dyDescent="0.2">
      <c r="B13" s="1251"/>
      <c r="C13" s="1251"/>
      <c r="D13" s="304"/>
      <c r="E13" s="322"/>
      <c r="F13" s="322"/>
      <c r="G13" s="1356"/>
      <c r="H13" s="322"/>
      <c r="I13" s="1356"/>
      <c r="J13" s="322"/>
      <c r="K13" s="1368"/>
      <c r="L13" s="322"/>
    </row>
    <row r="14" spans="1:12" ht="13.5" customHeight="1" x14ac:dyDescent="0.2">
      <c r="B14" s="1359" t="s">
        <v>1304</v>
      </c>
      <c r="C14" s="1359"/>
      <c r="D14" s="2593"/>
      <c r="E14" s="2593"/>
      <c r="F14" s="2593"/>
      <c r="H14" s="1381" t="s">
        <v>1303</v>
      </c>
      <c r="I14" s="2594"/>
      <c r="J14" s="2594"/>
      <c r="K14" s="2594"/>
      <c r="L14" s="322"/>
    </row>
    <row r="15" spans="1:12" ht="9.4" customHeight="1" x14ac:dyDescent="0.2">
      <c r="B15" s="1359"/>
      <c r="C15" s="1359"/>
      <c r="D15" s="1351"/>
      <c r="E15" s="1254"/>
      <c r="F15" s="1254"/>
      <c r="G15" s="1273"/>
      <c r="H15" s="1254"/>
      <c r="I15" s="1382"/>
      <c r="J15" s="1277"/>
      <c r="K15" s="1274"/>
      <c r="L15" s="322"/>
    </row>
    <row r="16" spans="1:12" ht="13.5" customHeight="1" x14ac:dyDescent="0.2">
      <c r="B16" s="1359" t="s">
        <v>1302</v>
      </c>
      <c r="C16" s="1359"/>
      <c r="D16" s="2594"/>
      <c r="E16" s="2594"/>
      <c r="F16" s="2594"/>
      <c r="G16" s="2594"/>
      <c r="H16" s="2594"/>
      <c r="I16" s="2594"/>
      <c r="J16" s="2594"/>
      <c r="K16" s="2594"/>
      <c r="L16" s="322"/>
    </row>
    <row r="17" spans="2:12" ht="13.5" customHeight="1" x14ac:dyDescent="0.2">
      <c r="B17" s="1359" t="s">
        <v>1301</v>
      </c>
      <c r="C17" s="1359"/>
      <c r="D17" s="2595"/>
      <c r="E17" s="2595"/>
      <c r="F17" s="2595"/>
      <c r="G17" s="2595"/>
      <c r="H17" s="2595"/>
      <c r="I17" s="2595"/>
      <c r="J17" s="2595"/>
      <c r="K17" s="2595"/>
      <c r="L17" s="322"/>
    </row>
    <row r="18" spans="2:12" ht="9.4" customHeight="1" x14ac:dyDescent="0.2">
      <c r="B18" s="1366"/>
      <c r="C18" s="1366"/>
      <c r="D18" s="1366"/>
      <c r="E18" s="1366"/>
      <c r="F18" s="1366"/>
      <c r="G18" s="1367"/>
      <c r="H18" s="1366"/>
      <c r="I18" s="1367"/>
      <c r="J18" s="1366"/>
      <c r="K18" s="1366"/>
      <c r="L18" s="322"/>
    </row>
    <row r="19" spans="2:12" ht="13.5" customHeight="1" x14ac:dyDescent="0.2">
      <c r="B19" s="1383" t="s">
        <v>1300</v>
      </c>
      <c r="C19" s="1383"/>
      <c r="D19" s="328"/>
      <c r="E19" s="328"/>
      <c r="F19" s="328"/>
      <c r="G19" s="1384"/>
      <c r="H19" s="328"/>
      <c r="I19" s="1384"/>
      <c r="J19" s="322"/>
      <c r="K19" s="322"/>
      <c r="L19" s="322"/>
    </row>
    <row r="20" spans="2:12" ht="35.25" customHeight="1" x14ac:dyDescent="0.2">
      <c r="B20" s="2591"/>
      <c r="C20" s="2591"/>
      <c r="D20" s="2591"/>
      <c r="E20" s="2591"/>
      <c r="F20" s="2591"/>
      <c r="G20" s="2591"/>
      <c r="H20" s="2591"/>
      <c r="I20" s="2591"/>
      <c r="J20" s="2591"/>
      <c r="K20" s="2591"/>
      <c r="L20" s="1368"/>
    </row>
    <row r="21" spans="2:12" ht="4.5" customHeight="1" x14ac:dyDescent="0.2">
      <c r="B21" s="1385"/>
      <c r="C21" s="1385"/>
      <c r="D21" s="1386"/>
      <c r="E21" s="1386"/>
      <c r="F21" s="1386"/>
      <c r="G21" s="1367"/>
      <c r="H21" s="1386"/>
      <c r="I21" s="1367"/>
      <c r="J21" s="1386"/>
      <c r="K21" s="1386"/>
      <c r="L21" s="1368"/>
    </row>
    <row r="22" spans="2:12" ht="13.35" customHeight="1" x14ac:dyDescent="0.2">
      <c r="B22" s="1383" t="s">
        <v>1752</v>
      </c>
      <c r="C22" s="1383"/>
      <c r="D22" s="322"/>
      <c r="E22" s="322"/>
      <c r="F22" s="322"/>
      <c r="G22" s="1356"/>
      <c r="H22" s="322"/>
      <c r="I22" s="1356"/>
      <c r="J22" s="322"/>
      <c r="K22" s="322"/>
      <c r="L22" s="322"/>
    </row>
    <row r="23" spans="2:12" ht="37.5" customHeight="1" x14ac:dyDescent="0.2">
      <c r="B23" s="2591"/>
      <c r="C23" s="2591"/>
      <c r="D23" s="2591"/>
      <c r="E23" s="2591"/>
      <c r="F23" s="2591"/>
      <c r="G23" s="2591"/>
      <c r="H23" s="2591"/>
      <c r="I23" s="2591"/>
      <c r="J23" s="2591"/>
      <c r="K23" s="2591"/>
      <c r="L23" s="322"/>
    </row>
    <row r="24" spans="2:12" ht="4.5" customHeight="1" x14ac:dyDescent="0.2">
      <c r="B24" s="1385"/>
      <c r="C24" s="1385"/>
      <c r="D24" s="1366"/>
      <c r="E24" s="1366"/>
      <c r="F24" s="1366"/>
      <c r="G24" s="1367"/>
      <c r="H24" s="1366"/>
      <c r="I24" s="1367"/>
      <c r="J24" s="1366"/>
      <c r="K24" s="1366"/>
      <c r="L24" s="322"/>
    </row>
    <row r="25" spans="2:12" ht="13.5" customHeight="1" x14ac:dyDescent="0.2">
      <c r="B25" s="1383" t="s">
        <v>1753</v>
      </c>
      <c r="C25" s="1383"/>
      <c r="D25" s="322"/>
      <c r="E25" s="322"/>
      <c r="F25" s="322"/>
      <c r="G25" s="1356"/>
      <c r="H25" s="322"/>
      <c r="I25" s="1356"/>
      <c r="J25" s="322"/>
      <c r="K25" s="322"/>
      <c r="L25" s="322"/>
    </row>
    <row r="26" spans="2:12" ht="37.5" customHeight="1" x14ac:dyDescent="0.2">
      <c r="B26" s="2591"/>
      <c r="C26" s="2591"/>
      <c r="D26" s="2591"/>
      <c r="E26" s="2591"/>
      <c r="F26" s="2591"/>
      <c r="G26" s="2591"/>
      <c r="H26" s="2591"/>
      <c r="I26" s="2591"/>
      <c r="J26" s="2591"/>
      <c r="K26" s="2591"/>
      <c r="L26" s="322"/>
    </row>
    <row r="27" spans="2:12" ht="4.5" customHeight="1" x14ac:dyDescent="0.2">
      <c r="B27" s="1387"/>
      <c r="C27" s="1387"/>
      <c r="D27" s="1387"/>
      <c r="E27" s="1366"/>
      <c r="F27" s="1366"/>
      <c r="G27" s="1367"/>
      <c r="H27" s="1366"/>
      <c r="I27" s="1367"/>
      <c r="J27" s="1366"/>
      <c r="K27" s="1366"/>
      <c r="L27" s="322"/>
    </row>
    <row r="28" spans="2:12" ht="13.5" customHeight="1" x14ac:dyDescent="0.2">
      <c r="B28" s="1383" t="s">
        <v>1754</v>
      </c>
      <c r="C28" s="1383"/>
      <c r="D28" s="322"/>
      <c r="E28" s="322"/>
      <c r="F28" s="322"/>
      <c r="G28" s="1356"/>
      <c r="H28" s="322"/>
      <c r="I28" s="1356"/>
      <c r="J28" s="322"/>
      <c r="K28" s="322"/>
      <c r="L28" s="322"/>
    </row>
    <row r="29" spans="2:12" ht="37.5" customHeight="1" x14ac:dyDescent="0.2">
      <c r="B29" s="2591"/>
      <c r="C29" s="2591"/>
      <c r="D29" s="2591"/>
      <c r="E29" s="2591"/>
      <c r="F29" s="2591"/>
      <c r="G29" s="2591"/>
      <c r="H29" s="2591"/>
      <c r="I29" s="2591"/>
      <c r="J29" s="2591"/>
      <c r="K29" s="2591"/>
      <c r="L29" s="322"/>
    </row>
    <row r="30" spans="2:12" ht="4.5" customHeight="1" x14ac:dyDescent="0.2">
      <c r="B30" s="1385"/>
      <c r="C30" s="1385"/>
      <c r="D30" s="1366"/>
      <c r="E30" s="1366"/>
      <c r="F30" s="1366"/>
      <c r="G30" s="1367"/>
      <c r="H30" s="1366"/>
      <c r="I30" s="1367"/>
      <c r="J30" s="1366"/>
      <c r="K30" s="1366"/>
      <c r="L30" s="322"/>
    </row>
    <row r="31" spans="2:12" ht="13.5" customHeight="1" x14ac:dyDescent="0.2">
      <c r="B31" s="1383" t="s">
        <v>1299</v>
      </c>
      <c r="C31" s="1383"/>
      <c r="D31" s="322"/>
      <c r="E31" s="322"/>
      <c r="F31" s="322"/>
      <c r="G31" s="1356"/>
      <c r="H31" s="322"/>
      <c r="I31" s="1356"/>
      <c r="J31" s="322"/>
      <c r="K31" s="322"/>
      <c r="L31" s="322"/>
    </row>
    <row r="32" spans="2:12" ht="37.5" customHeight="1" x14ac:dyDescent="0.2">
      <c r="B32" s="2591"/>
      <c r="C32" s="2591"/>
      <c r="D32" s="2591"/>
      <c r="E32" s="2591"/>
      <c r="F32" s="2591"/>
      <c r="G32" s="2591"/>
      <c r="H32" s="2591"/>
      <c r="I32" s="2591"/>
      <c r="J32" s="2591"/>
      <c r="K32" s="2591"/>
      <c r="L32" s="322"/>
    </row>
    <row r="33" spans="2:12" ht="4.5" customHeight="1" x14ac:dyDescent="0.2">
      <c r="B33" s="1385"/>
      <c r="C33" s="1385"/>
      <c r="D33" s="1366"/>
      <c r="E33" s="1366"/>
      <c r="F33" s="1366"/>
      <c r="G33" s="1367"/>
      <c r="H33" s="1366"/>
      <c r="I33" s="1367"/>
      <c r="J33" s="1366"/>
      <c r="K33" s="1366"/>
      <c r="L33" s="322"/>
    </row>
    <row r="34" spans="2:12" ht="13.5" customHeight="1" x14ac:dyDescent="0.2">
      <c r="B34" s="1357" t="s">
        <v>1298</v>
      </c>
      <c r="C34" s="1357"/>
      <c r="D34" s="322"/>
      <c r="E34" s="322"/>
      <c r="F34" s="322"/>
      <c r="G34" s="1356"/>
      <c r="H34" s="322"/>
      <c r="I34" s="1356"/>
      <c r="J34" s="322"/>
      <c r="K34" s="322"/>
      <c r="L34" s="322"/>
    </row>
    <row r="35" spans="2:12" ht="37.5" customHeight="1" x14ac:dyDescent="0.2">
      <c r="B35" s="2591"/>
      <c r="C35" s="2591"/>
      <c r="D35" s="2591"/>
      <c r="E35" s="2591"/>
      <c r="F35" s="2591"/>
      <c r="G35" s="2591"/>
      <c r="H35" s="2591"/>
      <c r="I35" s="2591"/>
      <c r="J35" s="2591"/>
      <c r="K35" s="2591"/>
      <c r="L35" s="322"/>
    </row>
    <row r="36" spans="2:12" ht="4.5" customHeight="1" x14ac:dyDescent="0.2">
      <c r="B36" s="1385"/>
      <c r="C36" s="1385"/>
      <c r="D36" s="1366"/>
      <c r="E36" s="1366"/>
      <c r="F36" s="1366"/>
      <c r="G36" s="1367"/>
      <c r="H36" s="1366"/>
      <c r="I36" s="1367"/>
      <c r="J36" s="1366"/>
      <c r="K36" s="1366"/>
      <c r="L36" s="322"/>
    </row>
    <row r="37" spans="2:12" ht="13.5" customHeight="1" x14ac:dyDescent="0.2">
      <c r="B37" s="1357" t="s">
        <v>1297</v>
      </c>
      <c r="C37" s="1357"/>
      <c r="D37" s="322"/>
      <c r="E37" s="322"/>
      <c r="F37" s="322"/>
      <c r="G37" s="1356"/>
      <c r="H37" s="322"/>
      <c r="I37" s="1356"/>
      <c r="J37" s="322"/>
      <c r="K37" s="322"/>
      <c r="L37" s="322"/>
    </row>
    <row r="38" spans="2:12" ht="35.25" customHeight="1" x14ac:dyDescent="0.2">
      <c r="B38" s="2591"/>
      <c r="C38" s="2591"/>
      <c r="D38" s="2591"/>
      <c r="E38" s="2591"/>
      <c r="F38" s="2591"/>
      <c r="G38" s="2591"/>
      <c r="H38" s="2591"/>
      <c r="I38" s="2591"/>
      <c r="J38" s="2591"/>
      <c r="K38" s="2591"/>
      <c r="L38" s="322"/>
    </row>
    <row r="39" spans="2:12" ht="4.5" customHeight="1" x14ac:dyDescent="0.2">
      <c r="B39" s="1362"/>
      <c r="C39" s="1362"/>
      <c r="D39" s="322"/>
      <c r="E39" s="322"/>
      <c r="F39" s="322"/>
      <c r="G39" s="1356"/>
      <c r="H39" s="322"/>
      <c r="I39" s="1356"/>
      <c r="J39" s="322"/>
      <c r="K39" s="322"/>
      <c r="L39" s="322"/>
    </row>
    <row r="40" spans="2:12" s="322" customFormat="1" ht="13.5" customHeight="1" x14ac:dyDescent="0.2">
      <c r="B40" s="1363" t="s">
        <v>1755</v>
      </c>
      <c r="C40" s="1363"/>
      <c r="D40" s="1353"/>
      <c r="E40" s="1354"/>
      <c r="F40" s="1354"/>
      <c r="G40" s="1355"/>
      <c r="H40" s="1354"/>
      <c r="I40" s="1355"/>
      <c r="J40" s="1354"/>
      <c r="K40" s="1354"/>
    </row>
    <row r="41" spans="2:12" s="322" customFormat="1" ht="33.75" customHeight="1" x14ac:dyDescent="0.2">
      <c r="B41" s="2591"/>
      <c r="C41" s="2591"/>
      <c r="D41" s="2591"/>
      <c r="E41" s="2591"/>
      <c r="F41" s="2591"/>
      <c r="G41" s="2591"/>
      <c r="H41" s="2591"/>
      <c r="I41" s="2591"/>
      <c r="J41" s="2591"/>
      <c r="K41" s="2591"/>
    </row>
    <row r="42" spans="2:12" s="322" customFormat="1" ht="4.5" customHeight="1" x14ac:dyDescent="0.2">
      <c r="B42" s="1362"/>
      <c r="C42" s="1362"/>
      <c r="G42" s="1356"/>
      <c r="I42" s="1356"/>
    </row>
    <row r="43" spans="2:12" ht="7.5" customHeight="1" x14ac:dyDescent="0.25">
      <c r="B43" s="1388"/>
      <c r="C43" s="1388"/>
      <c r="D43" s="1389"/>
      <c r="E43" s="1389"/>
      <c r="F43" s="1389"/>
      <c r="G43" s="1390"/>
      <c r="H43" s="1389"/>
      <c r="I43" s="1390"/>
      <c r="J43" s="1389"/>
      <c r="K43" s="1389"/>
    </row>
    <row r="44" spans="2:12" ht="13.5" customHeight="1" x14ac:dyDescent="0.2">
      <c r="B44" s="1364" t="s">
        <v>1756</v>
      </c>
      <c r="C44" s="1364"/>
      <c r="D44" s="322"/>
      <c r="E44" s="322"/>
      <c r="F44" s="322"/>
    </row>
    <row r="45" spans="2:12" ht="10.5" customHeight="1" x14ac:dyDescent="0.2">
      <c r="B45" s="1365" t="s">
        <v>1757</v>
      </c>
      <c r="C45" s="1365"/>
      <c r="G45" s="317"/>
      <c r="I45" s="317"/>
    </row>
    <row r="46" spans="2:12" ht="11.1" customHeight="1" x14ac:dyDescent="0.2">
      <c r="B46" s="1365" t="s">
        <v>1758</v>
      </c>
      <c r="C46" s="1365"/>
      <c r="G46" s="317"/>
      <c r="I46" s="317"/>
    </row>
    <row r="47" spans="2:12" ht="11.1" customHeight="1" x14ac:dyDescent="0.2">
      <c r="B47" s="1365" t="s">
        <v>1759</v>
      </c>
      <c r="C47" s="1365"/>
      <c r="G47" s="317"/>
      <c r="I47" s="317"/>
    </row>
    <row r="48" spans="2:12" ht="11.1" customHeight="1" x14ac:dyDescent="0.2">
      <c r="B48" s="1365" t="s">
        <v>1760</v>
      </c>
      <c r="C48" s="1365"/>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fitToHeight="0"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2" customFormat="1" ht="12.75" customHeight="1" x14ac:dyDescent="0.2">
      <c r="B1" s="2600" t="str">
        <f>'Single Audit Cover'!A7</f>
        <v>Woodford County Spec Educ Assn</v>
      </c>
      <c r="C1" s="2600"/>
      <c r="D1" s="2600"/>
      <c r="E1" s="1391"/>
    </row>
    <row r="2" spans="2:5" s="1272" customFormat="1" ht="12.75" customHeight="1" x14ac:dyDescent="0.2">
      <c r="B2" s="2601">
        <f>'Single Audit Cover'!E7</f>
        <v>53102069061</v>
      </c>
      <c r="C2" s="2601"/>
      <c r="D2" s="2601"/>
      <c r="E2" s="1392"/>
    </row>
    <row r="3" spans="2:5" ht="12.75" customHeight="1" x14ac:dyDescent="0.2">
      <c r="B3" s="2598" t="s">
        <v>1761</v>
      </c>
      <c r="C3" s="2598"/>
      <c r="D3" s="2598"/>
      <c r="E3" s="1268"/>
    </row>
    <row r="4" spans="2:5" s="1272" customFormat="1" ht="12.75" customHeight="1" x14ac:dyDescent="0.2">
      <c r="B4" s="2602" t="str">
        <f>'Single Audit Cover'!A4</f>
        <v>Year Ending June 30, 2019</v>
      </c>
      <c r="C4" s="2602"/>
      <c r="D4" s="2602"/>
      <c r="E4" s="1393"/>
    </row>
    <row r="5" spans="2:5" s="1272" customFormat="1" ht="40.15" customHeight="1" x14ac:dyDescent="0.2">
      <c r="B5" s="1394" t="s">
        <v>1762</v>
      </c>
      <c r="C5" s="328"/>
      <c r="D5" s="328"/>
      <c r="E5" s="328"/>
    </row>
    <row r="6" spans="2:5" s="1272" customFormat="1" ht="13.5" customHeight="1" x14ac:dyDescent="0.2">
      <c r="B6" s="1395" t="s">
        <v>1315</v>
      </c>
      <c r="C6" s="1395" t="s">
        <v>1314</v>
      </c>
      <c r="D6" s="1395" t="s">
        <v>1763</v>
      </c>
    </row>
    <row r="7" spans="2:5" ht="13.5" customHeight="1" x14ac:dyDescent="0.2">
      <c r="B7" s="1396" t="s">
        <v>2077</v>
      </c>
      <c r="C7" s="324"/>
      <c r="D7" s="324"/>
      <c r="E7" s="324"/>
    </row>
    <row r="8" spans="2:5" ht="13.5" customHeight="1" x14ac:dyDescent="0.2">
      <c r="B8" s="1396"/>
      <c r="C8" s="324"/>
      <c r="D8" s="324"/>
      <c r="E8" s="324"/>
    </row>
    <row r="9" spans="2:5" ht="13.5" customHeight="1" x14ac:dyDescent="0.2">
      <c r="B9" s="1397"/>
      <c r="C9" s="323"/>
      <c r="D9" s="323"/>
      <c r="E9" s="323"/>
    </row>
    <row r="10" spans="2:5" ht="13.5" customHeight="1" x14ac:dyDescent="0.2">
      <c r="B10" s="1396"/>
      <c r="C10" s="323"/>
      <c r="D10" s="323"/>
      <c r="E10" s="323"/>
    </row>
    <row r="11" spans="2:5" ht="13.5" customHeight="1" x14ac:dyDescent="0.2">
      <c r="B11" s="1396"/>
      <c r="C11" s="323"/>
      <c r="D11" s="323"/>
      <c r="E11" s="323"/>
    </row>
    <row r="12" spans="2:5" ht="13.5" customHeight="1" x14ac:dyDescent="0.2">
      <c r="B12" s="1396"/>
      <c r="C12" s="323"/>
      <c r="D12" s="323"/>
      <c r="E12" s="323"/>
    </row>
    <row r="13" spans="2:5" ht="13.5" customHeight="1" x14ac:dyDescent="0.2">
      <c r="B13" s="1396"/>
      <c r="C13" s="323"/>
      <c r="D13" s="323"/>
      <c r="E13" s="323"/>
    </row>
    <row r="14" spans="2:5" ht="13.5" customHeight="1" x14ac:dyDescent="0.2">
      <c r="B14" s="1396"/>
      <c r="C14" s="323"/>
      <c r="D14" s="323"/>
      <c r="E14" s="323"/>
    </row>
    <row r="15" spans="2:5" ht="13.5" customHeight="1" x14ac:dyDescent="0.2">
      <c r="B15" s="1396"/>
      <c r="C15" s="323"/>
      <c r="D15" s="323"/>
      <c r="E15" s="323"/>
    </row>
    <row r="16" spans="2:5" ht="13.5" customHeight="1" x14ac:dyDescent="0.2">
      <c r="B16" s="1396"/>
      <c r="C16" s="323"/>
      <c r="D16" s="323"/>
      <c r="E16" s="323"/>
    </row>
    <row r="17" spans="2:5" ht="13.5" customHeight="1" x14ac:dyDescent="0.2">
      <c r="B17" s="1396"/>
      <c r="C17" s="323"/>
      <c r="D17" s="323"/>
      <c r="E17" s="323"/>
    </row>
    <row r="18" spans="2:5" ht="13.5" customHeight="1" x14ac:dyDescent="0.2">
      <c r="B18" s="1396"/>
      <c r="C18" s="323"/>
      <c r="D18" s="323"/>
      <c r="E18" s="323"/>
    </row>
    <row r="19" spans="2:5" ht="13.5" customHeight="1" x14ac:dyDescent="0.2">
      <c r="B19" s="1396"/>
      <c r="C19" s="323"/>
      <c r="D19" s="323"/>
      <c r="E19" s="323"/>
    </row>
    <row r="20" spans="2:5" ht="13.5" customHeight="1" x14ac:dyDescent="0.2">
      <c r="B20" s="1396"/>
      <c r="C20" s="323"/>
      <c r="D20" s="323"/>
      <c r="E20" s="323"/>
    </row>
    <row r="21" spans="2:5" ht="13.5" customHeight="1" x14ac:dyDescent="0.2">
      <c r="B21" s="1396"/>
      <c r="C21" s="323"/>
      <c r="D21" s="323"/>
      <c r="E21" s="323"/>
    </row>
    <row r="22" spans="2:5" ht="13.5" customHeight="1" x14ac:dyDescent="0.2">
      <c r="B22" s="1396"/>
      <c r="C22" s="323"/>
      <c r="D22" s="323"/>
      <c r="E22" s="323"/>
    </row>
    <row r="23" spans="2:5" ht="13.5" customHeight="1" x14ac:dyDescent="0.2">
      <c r="B23" s="1396"/>
      <c r="C23" s="323"/>
      <c r="D23" s="323"/>
      <c r="E23" s="323"/>
    </row>
    <row r="24" spans="2:5" ht="13.5" customHeight="1" x14ac:dyDescent="0.2">
      <c r="B24" s="1396"/>
      <c r="C24" s="323"/>
      <c r="D24" s="323"/>
      <c r="E24" s="323"/>
    </row>
    <row r="25" spans="2:5" ht="13.5" customHeight="1" x14ac:dyDescent="0.2">
      <c r="B25" s="1396"/>
      <c r="C25" s="323"/>
      <c r="D25" s="323"/>
      <c r="E25" s="323"/>
    </row>
    <row r="26" spans="2:5" ht="13.5" customHeight="1" x14ac:dyDescent="0.2">
      <c r="B26" s="1396"/>
      <c r="C26" s="323"/>
      <c r="D26" s="323"/>
      <c r="E26" s="323"/>
    </row>
    <row r="27" spans="2:5" ht="13.5" customHeight="1" x14ac:dyDescent="0.2">
      <c r="B27" s="1396"/>
      <c r="C27" s="323"/>
      <c r="D27" s="323"/>
      <c r="E27" s="323"/>
    </row>
    <row r="28" spans="2:5" ht="13.5" customHeight="1" x14ac:dyDescent="0.2">
      <c r="B28" s="1396"/>
      <c r="C28" s="323"/>
      <c r="D28" s="323"/>
      <c r="E28" s="323"/>
    </row>
    <row r="29" spans="2:5" ht="13.5" customHeight="1" x14ac:dyDescent="0.2">
      <c r="B29" s="1396"/>
      <c r="C29" s="323"/>
      <c r="D29" s="323"/>
      <c r="E29" s="323"/>
    </row>
    <row r="30" spans="2:5" ht="13.5" customHeight="1" x14ac:dyDescent="0.2">
      <c r="B30" s="1396"/>
      <c r="C30" s="323"/>
      <c r="D30" s="323"/>
      <c r="E30" s="323"/>
    </row>
    <row r="31" spans="2:5" ht="13.5" customHeight="1" x14ac:dyDescent="0.2">
      <c r="B31" s="1396"/>
      <c r="C31" s="323"/>
      <c r="D31" s="323"/>
      <c r="E31" s="323"/>
    </row>
    <row r="32" spans="2:5" ht="13.5" customHeight="1" x14ac:dyDescent="0.2">
      <c r="B32" s="1398"/>
      <c r="C32" s="323"/>
      <c r="D32" s="323"/>
      <c r="E32" s="323"/>
    </row>
    <row r="33" spans="2:5" ht="13.5" customHeight="1" x14ac:dyDescent="0.2">
      <c r="B33" s="1399"/>
      <c r="C33" s="323"/>
      <c r="D33" s="323"/>
      <c r="E33" s="323"/>
    </row>
    <row r="34" spans="2:5" ht="13.5" customHeight="1" x14ac:dyDescent="0.2">
      <c r="B34" s="1400"/>
      <c r="C34" s="323"/>
      <c r="D34" s="323"/>
      <c r="E34" s="323"/>
    </row>
    <row r="35" spans="2:5" ht="13.5" customHeight="1" x14ac:dyDescent="0.2">
      <c r="B35" s="1399"/>
      <c r="C35" s="323"/>
      <c r="D35" s="323"/>
      <c r="E35" s="323"/>
    </row>
    <row r="36" spans="2:5" ht="13.5" customHeight="1" x14ac:dyDescent="0.2">
      <c r="B36" s="1400"/>
      <c r="C36" s="323"/>
      <c r="D36" s="323"/>
      <c r="E36" s="323"/>
    </row>
    <row r="37" spans="2:5" ht="13.5" customHeight="1" x14ac:dyDescent="0.2">
      <c r="B37" s="1400"/>
      <c r="C37" s="323"/>
      <c r="D37" s="323"/>
      <c r="E37" s="323"/>
    </row>
    <row r="38" spans="2:5" ht="13.5" customHeight="1" x14ac:dyDescent="0.2">
      <c r="B38" s="1399"/>
      <c r="C38" s="323"/>
      <c r="D38" s="323"/>
      <c r="E38" s="323"/>
    </row>
    <row r="39" spans="2:5" ht="13.5" customHeight="1" x14ac:dyDescent="0.2">
      <c r="B39" s="1400"/>
      <c r="C39" s="323"/>
      <c r="D39" s="323"/>
      <c r="E39" s="323"/>
    </row>
    <row r="40" spans="2:5" ht="13.5" customHeight="1" x14ac:dyDescent="0.2">
      <c r="B40" s="1399"/>
      <c r="C40" s="323"/>
      <c r="D40" s="323"/>
      <c r="E40" s="323"/>
    </row>
    <row r="41" spans="2:5" ht="13.5" customHeight="1" x14ac:dyDescent="0.2">
      <c r="B41" s="1401"/>
      <c r="C41" s="323"/>
      <c r="D41" s="323"/>
      <c r="E41" s="323"/>
    </row>
    <row r="42" spans="2:5" ht="13.5" customHeight="1" x14ac:dyDescent="0.2">
      <c r="B42" s="1402"/>
      <c r="C42" s="323"/>
      <c r="D42" s="323"/>
      <c r="E42" s="323"/>
    </row>
    <row r="43" spans="2:5" ht="12.75" customHeight="1" x14ac:dyDescent="0.2">
      <c r="B43" s="1403"/>
      <c r="C43" s="1404"/>
      <c r="D43" s="1404"/>
      <c r="E43" s="323"/>
    </row>
    <row r="44" spans="2:5" ht="12.2" customHeight="1" x14ac:dyDescent="0.2">
      <c r="B44" s="1251" t="s">
        <v>1313</v>
      </c>
      <c r="C44" s="322"/>
    </row>
    <row r="45" spans="2:5" ht="12.2" customHeight="1" x14ac:dyDescent="0.2">
      <c r="B45" s="1405" t="s">
        <v>1764</v>
      </c>
    </row>
    <row r="46" spans="2:5" ht="12.2" customHeight="1" x14ac:dyDescent="0.2">
      <c r="B46" s="1405" t="s">
        <v>1765</v>
      </c>
    </row>
    <row r="47" spans="2:5" ht="12.2" customHeight="1" x14ac:dyDescent="0.2">
      <c r="B47" s="1406" t="s">
        <v>1312</v>
      </c>
    </row>
    <row r="48" spans="2:5" ht="12.2" customHeight="1" x14ac:dyDescent="0.2">
      <c r="B48" s="1406" t="s">
        <v>1311</v>
      </c>
    </row>
    <row r="49" spans="2:5" ht="12.2" customHeight="1" x14ac:dyDescent="0.2">
      <c r="B49" s="1406" t="s">
        <v>1310</v>
      </c>
    </row>
    <row r="50" spans="2:5" ht="12.2" customHeight="1" x14ac:dyDescent="0.2">
      <c r="B50" s="1406"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4"/>
    </row>
    <row r="68" spans="2:2" x14ac:dyDescent="0.2">
      <c r="B68" s="1279"/>
    </row>
    <row r="69" spans="2:2" x14ac:dyDescent="0.2">
      <c r="B69" s="1279"/>
    </row>
    <row r="70" spans="2:2" x14ac:dyDescent="0.2">
      <c r="B70" s="1365"/>
    </row>
    <row r="71" spans="2:2" x14ac:dyDescent="0.2">
      <c r="B71" s="1365"/>
    </row>
    <row r="72" spans="2:2" x14ac:dyDescent="0.2">
      <c r="B72" s="1365"/>
    </row>
    <row r="73" spans="2:2" x14ac:dyDescent="0.2">
      <c r="B73" s="1279"/>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0021E-A627-4946-86F7-4EC57DC8C9DC}">
  <sheetPr>
    <pageSetUpPr fitToPage="1"/>
  </sheetPr>
  <dimension ref="B1:L70"/>
  <sheetViews>
    <sheetView showGridLines="0" zoomScale="110" zoomScaleNormal="110" zoomScaleSheetLayoutView="100" workbookViewId="0"/>
  </sheetViews>
  <sheetFormatPr defaultColWidth="9.140625" defaultRowHeight="12.75" x14ac:dyDescent="0.2"/>
  <cols>
    <col min="1" max="1" width="1.5703125" style="2024" customWidth="1"/>
    <col min="2" max="2" width="11.28515625" style="2024" customWidth="1"/>
    <col min="3" max="3" width="6.42578125" style="2024" customWidth="1"/>
    <col min="4" max="4" width="5.42578125" style="2024" customWidth="1"/>
    <col min="5" max="5" width="74.7109375" style="2024" customWidth="1"/>
    <col min="6" max="6" width="1.5703125" style="2024" customWidth="1"/>
    <col min="7" max="8" width="2.42578125" style="2024" customWidth="1"/>
    <col min="9" max="9" width="9.28515625" style="2024" customWidth="1"/>
    <col min="10" max="10" width="14.42578125" style="2024" customWidth="1"/>
    <col min="11" max="11" width="7.28515625" style="2024" customWidth="1"/>
    <col min="12" max="12" width="3.140625" style="2024" customWidth="1"/>
    <col min="13" max="16384" width="9.140625" style="2024"/>
  </cols>
  <sheetData>
    <row r="1" spans="2:12" ht="13.5" customHeight="1" x14ac:dyDescent="0.2">
      <c r="B1" s="2604" t="s">
        <v>2068</v>
      </c>
      <c r="C1" s="2604"/>
      <c r="D1" s="2604"/>
      <c r="E1" s="2604"/>
      <c r="F1" s="2045"/>
      <c r="G1" s="2045"/>
      <c r="H1" s="2045"/>
      <c r="I1" s="2045"/>
      <c r="J1" s="2045"/>
      <c r="K1" s="2045"/>
      <c r="L1" s="2045"/>
    </row>
    <row r="2" spans="2:12" ht="13.5" customHeight="1" x14ac:dyDescent="0.2">
      <c r="B2" s="2605" t="s">
        <v>2075</v>
      </c>
      <c r="C2" s="2605"/>
      <c r="D2" s="2605"/>
      <c r="E2" s="2605"/>
      <c r="F2" s="2044"/>
      <c r="G2" s="2044"/>
      <c r="H2" s="2044"/>
      <c r="I2" s="2044"/>
      <c r="J2" s="2044"/>
      <c r="K2" s="2044"/>
      <c r="L2" s="2044"/>
    </row>
    <row r="3" spans="2:12" ht="13.5" customHeight="1" x14ac:dyDescent="0.2">
      <c r="B3" s="2606" t="s">
        <v>2184</v>
      </c>
      <c r="C3" s="2606"/>
      <c r="D3" s="2606"/>
      <c r="E3" s="2606"/>
      <c r="F3" s="2043"/>
      <c r="G3" s="2043"/>
      <c r="H3" s="2043"/>
      <c r="I3" s="2043"/>
      <c r="J3" s="2043"/>
      <c r="K3" s="2043"/>
      <c r="L3" s="2043"/>
    </row>
    <row r="4" spans="2:12" ht="13.5" customHeight="1" x14ac:dyDescent="0.2">
      <c r="B4" s="2607" t="s">
        <v>1983</v>
      </c>
      <c r="C4" s="2607"/>
      <c r="D4" s="2607"/>
      <c r="E4" s="2607"/>
      <c r="F4" s="2042"/>
      <c r="G4" s="2042"/>
      <c r="H4" s="2042"/>
      <c r="I4" s="2042"/>
      <c r="J4" s="2042"/>
      <c r="K4" s="2042"/>
      <c r="L4" s="2042"/>
    </row>
    <row r="5" spans="2:12" ht="29.85" customHeight="1" x14ac:dyDescent="0.2"/>
    <row r="6" spans="2:12" ht="13.5" customHeight="1" x14ac:dyDescent="0.2">
      <c r="B6" s="2041" t="s">
        <v>2183</v>
      </c>
      <c r="C6" s="2041"/>
      <c r="D6" s="2040"/>
      <c r="E6" s="2039"/>
      <c r="F6" s="2039"/>
      <c r="G6" s="2038"/>
      <c r="H6" s="2038"/>
      <c r="I6" s="2038"/>
    </row>
    <row r="7" spans="2:12" ht="13.5" customHeight="1" x14ac:dyDescent="0.2">
      <c r="B7" s="2024" t="s">
        <v>1169</v>
      </c>
    </row>
    <row r="8" spans="2:12" ht="13.5" customHeight="1" x14ac:dyDescent="0.2">
      <c r="B8" s="2025" t="s">
        <v>2182</v>
      </c>
      <c r="C8" s="2037" t="s">
        <v>1985</v>
      </c>
      <c r="D8" s="2036">
        <v>1</v>
      </c>
    </row>
    <row r="9" spans="2:12" ht="13.5" customHeight="1" x14ac:dyDescent="0.2">
      <c r="B9" s="2035"/>
      <c r="C9" s="2035"/>
      <c r="D9" s="2035"/>
    </row>
    <row r="10" spans="2:12" ht="13.5" customHeight="1" x14ac:dyDescent="0.2">
      <c r="B10" s="2025" t="s">
        <v>2181</v>
      </c>
      <c r="C10" s="2025"/>
    </row>
    <row r="11" spans="2:12" ht="66.75" customHeight="1" x14ac:dyDescent="0.2">
      <c r="B11" s="2603" t="s">
        <v>2166</v>
      </c>
      <c r="C11" s="2603"/>
      <c r="D11" s="2603"/>
      <c r="E11" s="2603"/>
    </row>
    <row r="12" spans="2:12" ht="13.5" customHeight="1" x14ac:dyDescent="0.2"/>
    <row r="13" spans="2:12" ht="13.5" customHeight="1" x14ac:dyDescent="0.2">
      <c r="B13" s="2025" t="s">
        <v>2180</v>
      </c>
      <c r="C13" s="2025"/>
    </row>
    <row r="14" spans="2:12" ht="76.5" customHeight="1" x14ac:dyDescent="0.2">
      <c r="B14" s="2603" t="s">
        <v>2179</v>
      </c>
      <c r="C14" s="2603"/>
      <c r="D14" s="2603"/>
      <c r="E14" s="2603"/>
    </row>
    <row r="15" spans="2:12" ht="13.5" customHeight="1" x14ac:dyDescent="0.2"/>
    <row r="16" spans="2:12" ht="13.5" customHeight="1" x14ac:dyDescent="0.2">
      <c r="B16" s="2025" t="s">
        <v>2178</v>
      </c>
      <c r="C16" s="2025"/>
      <c r="E16" s="2034" t="s">
        <v>2177</v>
      </c>
    </row>
    <row r="17" spans="2:5" ht="13.5" customHeight="1" x14ac:dyDescent="0.2"/>
    <row r="18" spans="2:5" ht="13.5" customHeight="1" x14ac:dyDescent="0.2">
      <c r="B18" s="2025" t="s">
        <v>2176</v>
      </c>
      <c r="C18" s="2025"/>
      <c r="E18" s="2033" t="s">
        <v>2175</v>
      </c>
    </row>
    <row r="19" spans="2:5" ht="13.5" customHeight="1" x14ac:dyDescent="0.2"/>
    <row r="20" spans="2:5" ht="13.5" customHeight="1" x14ac:dyDescent="0.2">
      <c r="B20" s="2025" t="s">
        <v>2174</v>
      </c>
      <c r="C20" s="2025"/>
      <c r="E20" s="2033" t="s">
        <v>2173</v>
      </c>
    </row>
    <row r="21" spans="2:5" ht="13.5" customHeight="1" x14ac:dyDescent="0.2">
      <c r="E21" s="2033"/>
    </row>
    <row r="22" spans="2:5" ht="13.5" customHeight="1" x14ac:dyDescent="0.2">
      <c r="E22" s="2033"/>
    </row>
    <row r="23" spans="2:5" ht="13.5" customHeight="1" x14ac:dyDescent="0.2"/>
    <row r="24" spans="2:5" ht="13.5" customHeight="1" x14ac:dyDescent="0.2"/>
    <row r="25" spans="2:5" ht="13.5" customHeight="1" x14ac:dyDescent="0.2">
      <c r="B25" s="2032"/>
      <c r="C25" s="2032"/>
      <c r="D25" s="2032"/>
    </row>
    <row r="26" spans="2:5" ht="13.5" customHeight="1" x14ac:dyDescent="0.2">
      <c r="B26" s="2032"/>
      <c r="C26" s="2032"/>
      <c r="D26" s="2032"/>
    </row>
    <row r="27" spans="2:5" ht="13.5" customHeight="1" x14ac:dyDescent="0.2">
      <c r="B27" s="2032"/>
      <c r="C27" s="2032"/>
      <c r="D27" s="203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31"/>
      <c r="C35" s="2031"/>
      <c r="D35" s="2031"/>
    </row>
    <row r="36" spans="2:5" ht="13.5" customHeight="1" x14ac:dyDescent="0.2"/>
    <row r="37" spans="2:5" ht="13.5" customHeight="1" x14ac:dyDescent="0.2">
      <c r="B37" s="2031"/>
      <c r="C37" s="2031"/>
      <c r="D37" s="2031"/>
    </row>
    <row r="38" spans="2:5" ht="13.5" customHeight="1" x14ac:dyDescent="0.2">
      <c r="B38" s="2031"/>
      <c r="C38" s="2031"/>
      <c r="D38" s="2031"/>
    </row>
    <row r="39" spans="2:5" ht="13.5" customHeight="1" x14ac:dyDescent="0.2">
      <c r="B39" s="2031"/>
      <c r="C39" s="2031"/>
      <c r="D39" s="2031"/>
    </row>
    <row r="40" spans="2:5" ht="13.5" customHeight="1" x14ac:dyDescent="0.2">
      <c r="B40" s="2031"/>
      <c r="C40" s="2031"/>
      <c r="D40" s="2031"/>
    </row>
    <row r="41" spans="2:5" ht="13.5" customHeight="1" x14ac:dyDescent="0.2">
      <c r="B41" s="2030"/>
      <c r="C41" s="2030"/>
      <c r="D41" s="2030"/>
      <c r="E41" s="2030"/>
    </row>
    <row r="42" spans="2:5" ht="12.2" customHeight="1" x14ac:dyDescent="0.2">
      <c r="B42" s="2029" t="s">
        <v>2172</v>
      </c>
      <c r="C42" s="2029"/>
      <c r="D42" s="2029"/>
    </row>
    <row r="43" spans="2:5" ht="12.2" customHeight="1" x14ac:dyDescent="0.2">
      <c r="B43" s="2028"/>
      <c r="C43" s="2028"/>
      <c r="D43" s="2028"/>
    </row>
    <row r="44" spans="2:5" ht="12.75" customHeight="1" x14ac:dyDescent="0.2">
      <c r="B44" s="2025"/>
      <c r="C44" s="2025"/>
      <c r="D44" s="2025"/>
    </row>
    <row r="45" spans="2:5" ht="12.75" customHeight="1" x14ac:dyDescent="0.2">
      <c r="B45" s="2025"/>
      <c r="C45" s="2025"/>
      <c r="D45" s="2025"/>
    </row>
    <row r="46" spans="2:5" x14ac:dyDescent="0.2">
      <c r="B46" s="2025"/>
      <c r="C46" s="2025"/>
      <c r="D46" s="2025"/>
    </row>
    <row r="47" spans="2:5" x14ac:dyDescent="0.2">
      <c r="B47" s="2025"/>
      <c r="C47" s="2025"/>
      <c r="D47" s="2025"/>
    </row>
    <row r="51" spans="2:4" x14ac:dyDescent="0.2">
      <c r="B51" s="2027"/>
      <c r="C51" s="2027"/>
      <c r="D51" s="202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26"/>
      <c r="C64" s="2026"/>
      <c r="D64" s="2026"/>
    </row>
    <row r="65" spans="2:4" x14ac:dyDescent="0.2">
      <c r="B65" s="2025"/>
      <c r="C65" s="2025"/>
      <c r="D65" s="2025"/>
    </row>
    <row r="66" spans="2:4" x14ac:dyDescent="0.2">
      <c r="B66" s="2025"/>
      <c r="C66" s="2025"/>
      <c r="D66" s="2025"/>
    </row>
    <row r="67" spans="2:4" x14ac:dyDescent="0.2">
      <c r="B67" s="2026"/>
      <c r="C67" s="2026"/>
      <c r="D67" s="2026"/>
    </row>
    <row r="68" spans="2:4" x14ac:dyDescent="0.2">
      <c r="B68" s="2026"/>
      <c r="C68" s="2026"/>
      <c r="D68" s="2026"/>
    </row>
    <row r="69" spans="2:4" x14ac:dyDescent="0.2">
      <c r="B69" s="2026"/>
      <c r="C69" s="2026"/>
      <c r="D69" s="2026"/>
    </row>
    <row r="70" spans="2:4" x14ac:dyDescent="0.2">
      <c r="B70" s="2025"/>
      <c r="C70" s="2025"/>
      <c r="D70" s="2025"/>
    </row>
  </sheetData>
  <mergeCells count="6">
    <mergeCell ref="B14:E14"/>
    <mergeCell ref="B1:E1"/>
    <mergeCell ref="B2:E2"/>
    <mergeCell ref="B3:E3"/>
    <mergeCell ref="B4:E4"/>
    <mergeCell ref="B11:E11"/>
  </mergeCells>
  <pageMargins left="0.25" right="0.27" top="0.68" bottom="0.53" header="0.26" footer="0.27"/>
  <pageSetup firstPageNumber="44" fitToHeight="0"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92" t="s">
        <v>386</v>
      </c>
      <c r="B1" s="2192"/>
      <c r="C1" s="2192"/>
      <c r="D1" s="2192"/>
      <c r="E1" s="2192"/>
      <c r="F1" s="2192"/>
      <c r="G1" s="2192"/>
      <c r="H1" s="2192"/>
      <c r="I1" s="2192"/>
      <c r="J1" s="2192"/>
      <c r="K1" s="2192"/>
      <c r="L1" s="2192"/>
      <c r="M1" s="219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654">
        <f>ROUND(D10+F10+H10,5)</f>
        <v>0</v>
      </c>
      <c r="K10" s="222"/>
      <c r="L10" s="355"/>
      <c r="M10" s="222"/>
    </row>
    <row r="11" spans="1:14" ht="7.5" customHeight="1" x14ac:dyDescent="0.2">
      <c r="B11" s="222"/>
      <c r="C11" s="222"/>
      <c r="D11" s="2202" t="str">
        <f>IF(SUM(J10)&lt;=0.0999999,"","Enter the Tax Rates by moving the decimal two places to the left.")</f>
        <v/>
      </c>
      <c r="E11" s="2203"/>
      <c r="F11" s="2203"/>
      <c r="G11" s="2203"/>
      <c r="H11" s="2203"/>
      <c r="I11" s="2203"/>
      <c r="J11" s="22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55">
        <f>SUM('Acct Summary 7-8'!C8,'Acct Summary 7-8'!D8,'Acct Summary 7-8'!F8,'Acct Summary 7-8'!I8)</f>
        <v>7789645</v>
      </c>
      <c r="E16" s="356"/>
      <c r="F16" s="1655">
        <f>SUM('Acct Summary 7-8'!C17,'Acct Summary 7-8'!D17,'Acct Summary 7-8'!F17)</f>
        <v>7735500</v>
      </c>
      <c r="G16" s="356"/>
      <c r="H16" s="1655">
        <f>SUM(D16-F16)</f>
        <v>54145</v>
      </c>
      <c r="I16" s="222"/>
      <c r="J16" s="1655">
        <f>SUM('Acct Summary 7-8'!C81,'Acct Summary 7-8'!D81,'Acct Summary 7-8'!F81,'Acct Summary 7-8'!I81)</f>
        <v>1373939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1648</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55">
        <f>'Short-Term Long-Term Debt 24'!F4</f>
        <v>0</v>
      </c>
      <c r="E22" s="356" t="s">
        <v>1005</v>
      </c>
      <c r="F22" s="1655">
        <f>'Short-Term Long-Term Debt 24'!F15</f>
        <v>0</v>
      </c>
      <c r="G22" s="356" t="s">
        <v>1005</v>
      </c>
      <c r="H22" s="1655">
        <f>'Short-Term Long-Term Debt 24'!F21</f>
        <v>0</v>
      </c>
      <c r="I22" s="356" t="s">
        <v>1005</v>
      </c>
      <c r="J22" s="1655">
        <f>'Short-Term Long-Term Debt 24'!F23</f>
        <v>0</v>
      </c>
      <c r="K22" s="356" t="s">
        <v>1005</v>
      </c>
      <c r="L22" s="1655">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55">
        <f>'Short-Term Long-Term Debt 24'!F27</f>
        <v>0</v>
      </c>
      <c r="E24" s="356" t="s">
        <v>1006</v>
      </c>
      <c r="F24" s="1656">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657"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93"/>
      <c r="C54" s="2194"/>
      <c r="D54" s="2194"/>
      <c r="E54" s="2194"/>
      <c r="F54" s="2194"/>
      <c r="G54" s="2194"/>
      <c r="H54" s="2194"/>
      <c r="I54" s="2194"/>
      <c r="J54" s="2194"/>
      <c r="K54" s="2194"/>
      <c r="L54" s="2195"/>
      <c r="M54" s="380"/>
    </row>
    <row r="55" spans="1:13" ht="12.75" customHeight="1" x14ac:dyDescent="0.2">
      <c r="B55" s="2196"/>
      <c r="C55" s="2197"/>
      <c r="D55" s="2197"/>
      <c r="E55" s="2197"/>
      <c r="F55" s="2197"/>
      <c r="G55" s="2197"/>
      <c r="H55" s="2197"/>
      <c r="I55" s="2197"/>
      <c r="J55" s="2197"/>
      <c r="K55" s="2197"/>
      <c r="L55" s="2198"/>
      <c r="M55" s="380"/>
    </row>
    <row r="56" spans="1:13" ht="12.75" customHeight="1" x14ac:dyDescent="0.2">
      <c r="B56" s="2196"/>
      <c r="C56" s="2197"/>
      <c r="D56" s="2197"/>
      <c r="E56" s="2197"/>
      <c r="F56" s="2197"/>
      <c r="G56" s="2197"/>
      <c r="H56" s="2197"/>
      <c r="I56" s="2197"/>
      <c r="J56" s="2197"/>
      <c r="K56" s="2197"/>
      <c r="L56" s="2198"/>
      <c r="M56" s="222"/>
    </row>
    <row r="57" spans="1:13" ht="12.75" customHeight="1" x14ac:dyDescent="0.2">
      <c r="B57" s="2196"/>
      <c r="C57" s="2197"/>
      <c r="D57" s="2197"/>
      <c r="E57" s="2197"/>
      <c r="F57" s="2197"/>
      <c r="G57" s="2197"/>
      <c r="H57" s="2197"/>
      <c r="I57" s="2197"/>
      <c r="J57" s="2197"/>
      <c r="K57" s="2197"/>
      <c r="L57" s="2198"/>
      <c r="M57" s="222"/>
    </row>
    <row r="58" spans="1:13" x14ac:dyDescent="0.2">
      <c r="B58" s="2199"/>
      <c r="C58" s="2200"/>
      <c r="D58" s="2200"/>
      <c r="E58" s="2200"/>
      <c r="F58" s="2200"/>
      <c r="G58" s="2200"/>
      <c r="H58" s="2200"/>
      <c r="I58" s="2200"/>
      <c r="J58" s="2200"/>
      <c r="K58" s="2200"/>
      <c r="L58" s="220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04"/>
      <c r="D61" s="22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07"/>
      <c r="B1" s="2208"/>
      <c r="C1" s="2208"/>
      <c r="D1" s="384"/>
      <c r="E1" s="384"/>
      <c r="F1" s="384"/>
      <c r="G1" s="384"/>
      <c r="H1" s="384"/>
      <c r="I1" s="384"/>
      <c r="J1" s="384"/>
      <c r="K1" s="384"/>
      <c r="L1" s="384"/>
      <c r="M1" s="384"/>
      <c r="N1" s="384"/>
      <c r="O1" s="2207"/>
      <c r="P1" s="2208"/>
      <c r="Q1" s="2208"/>
    </row>
    <row r="2" spans="1:18" ht="15" x14ac:dyDescent="0.2">
      <c r="A2" s="2211" t="s">
        <v>556</v>
      </c>
      <c r="B2" s="2211"/>
      <c r="C2" s="2211"/>
      <c r="D2" s="2211"/>
      <c r="E2" s="2211"/>
      <c r="F2" s="2211"/>
      <c r="G2" s="2211"/>
      <c r="H2" s="2211"/>
      <c r="I2" s="2211"/>
      <c r="J2" s="2211"/>
      <c r="K2" s="2211"/>
      <c r="L2" s="2211"/>
      <c r="M2" s="2211"/>
      <c r="N2" s="2211"/>
      <c r="O2" s="2211"/>
      <c r="P2" s="2211"/>
      <c r="Q2" s="2211"/>
      <c r="R2" s="2211"/>
    </row>
    <row r="3" spans="1:18" ht="12.75" x14ac:dyDescent="0.2">
      <c r="A3" s="2212" t="s">
        <v>1413</v>
      </c>
      <c r="B3" s="2212"/>
      <c r="C3" s="2212"/>
      <c r="D3" s="2212"/>
      <c r="E3" s="2212"/>
      <c r="F3" s="2212"/>
      <c r="G3" s="2212"/>
      <c r="H3" s="2212"/>
      <c r="I3" s="2212"/>
      <c r="J3" s="2212"/>
      <c r="K3" s="2212"/>
      <c r="L3" s="2212"/>
      <c r="M3" s="2212"/>
      <c r="N3" s="2212"/>
      <c r="O3" s="2212"/>
      <c r="P3" s="2212"/>
      <c r="Q3" s="2212"/>
      <c r="R3" s="2212"/>
    </row>
    <row r="4" spans="1:18" x14ac:dyDescent="0.2">
      <c r="A4" s="2213" t="s">
        <v>1552</v>
      </c>
      <c r="B4" s="2213"/>
      <c r="C4" s="2213"/>
      <c r="D4" s="2213"/>
      <c r="E4" s="2213"/>
      <c r="F4" s="2213"/>
      <c r="G4" s="2213"/>
      <c r="H4" s="2213"/>
      <c r="I4" s="2213"/>
      <c r="J4" s="2213"/>
      <c r="K4" s="2213"/>
      <c r="L4" s="2213"/>
      <c r="M4" s="2213"/>
      <c r="N4" s="2213"/>
      <c r="O4" s="2213"/>
      <c r="P4" s="2213"/>
      <c r="Q4" s="2213"/>
      <c r="R4" s="22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Woodford County Spec Educ Assn</v>
      </c>
      <c r="E7" s="391"/>
      <c r="G7" s="252"/>
      <c r="H7" s="387"/>
      <c r="I7" s="387"/>
      <c r="J7" s="387"/>
      <c r="K7" s="387"/>
      <c r="L7" s="329"/>
      <c r="M7" s="329"/>
      <c r="N7" s="329"/>
      <c r="O7" s="329"/>
      <c r="P7" s="329"/>
    </row>
    <row r="8" spans="1:18" ht="12.75" x14ac:dyDescent="0.2">
      <c r="A8" s="329"/>
      <c r="B8" s="329"/>
      <c r="C8" s="389" t="s">
        <v>1125</v>
      </c>
      <c r="D8" s="392">
        <f>COVER!A13</f>
        <v>53102069061</v>
      </c>
      <c r="E8" s="393"/>
      <c r="G8" s="329"/>
      <c r="H8" s="329"/>
      <c r="I8" s="329"/>
      <c r="J8" s="329"/>
      <c r="K8" s="329"/>
      <c r="L8" s="329"/>
      <c r="M8" s="329"/>
      <c r="N8" s="329"/>
      <c r="O8" s="329"/>
      <c r="P8" s="329"/>
    </row>
    <row r="9" spans="1:18" ht="12.75" x14ac:dyDescent="0.2">
      <c r="A9" s="329"/>
      <c r="B9" s="329"/>
      <c r="C9" s="389" t="s">
        <v>713</v>
      </c>
      <c r="D9" s="394" t="str">
        <f>COVER!A15</f>
        <v>Woodford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1373939</v>
      </c>
      <c r="I12" s="404"/>
      <c r="J12" s="404"/>
      <c r="K12" s="405">
        <f>TRUNC((H12/H13*100000),5)/100000</f>
        <v>0.17638018159999999</v>
      </c>
      <c r="L12" s="406"/>
      <c r="M12" s="360" t="s">
        <v>1144</v>
      </c>
      <c r="N12" s="360"/>
      <c r="O12" s="407">
        <v>0.35</v>
      </c>
      <c r="P12" s="218"/>
      <c r="Q12" s="218"/>
    </row>
    <row r="13" spans="1:18" s="408" customFormat="1" ht="12.75" x14ac:dyDescent="0.2">
      <c r="A13" s="218"/>
      <c r="B13" s="401"/>
      <c r="C13" s="2209" t="s">
        <v>1324</v>
      </c>
      <c r="D13" s="2210"/>
      <c r="E13" s="218"/>
      <c r="F13" s="409" t="s">
        <v>793</v>
      </c>
      <c r="G13" s="402"/>
      <c r="H13" s="403">
        <f>SUM('Acct Summary 7-8'!C8+'Acct Summary 7-8'!D8+'Acct Summary 7-8'!F8+'Acct Summary 7-8'!I8)+H14</f>
        <v>7789645</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7735500</v>
      </c>
      <c r="I17" s="404"/>
      <c r="J17" s="416"/>
      <c r="K17" s="405">
        <f>TRUNC((H17/H18*100000),5)/100000</f>
        <v>0.99304910550000003</v>
      </c>
      <c r="L17" s="406"/>
      <c r="M17" s="417" t="s">
        <v>1171</v>
      </c>
      <c r="O17" s="418" t="str">
        <f>IF(AND(O16="2", J20 &gt; 2),"1",IF(AND(O16 = "1", J20 &gt; 2),"2",IF(AND(O16="1", J20 &gt;1),"1","0")))</f>
        <v>0</v>
      </c>
      <c r="P17" s="218"/>
    </row>
    <row r="18" spans="1:18" s="408" customFormat="1" ht="11.25" x14ac:dyDescent="0.2">
      <c r="A18" s="218"/>
      <c r="B18" s="401"/>
      <c r="C18" s="2209" t="s">
        <v>1317</v>
      </c>
      <c r="D18" s="2210"/>
      <c r="E18" s="218"/>
      <c r="F18" s="419" t="s">
        <v>794</v>
      </c>
      <c r="G18" s="402"/>
      <c r="H18" s="403">
        <f>SUM('Acct Summary 7-8'!C8+'Acct Summary 7-8'!D8+'Acct Summary 7-8'!F8+'Acct Summary 7-8'!I8)+H19</f>
        <v>7789645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206" t="s">
        <v>1412</v>
      </c>
      <c r="D24" s="2206"/>
      <c r="E24" s="218"/>
      <c r="F24" s="218" t="s">
        <v>445</v>
      </c>
      <c r="G24" s="402"/>
      <c r="H24" s="403">
        <f>SUM('Assets-Liab 5-6'!C4+'Assets-Liab 5-6'!D4+'Assets-Liab 5-6'!F4+'Assets-Liab 5-6'!I4+'Assets-Liab 5-6'!C5+'Assets-Liab 5-6'!D5+'Assets-Liab 5-6'!F5+'Assets-Liab 5-6'!I5)</f>
        <v>1329129</v>
      </c>
      <c r="I24" s="422"/>
      <c r="J24" s="422"/>
      <c r="K24" s="423">
        <f>TRUNC(((H24/H25*100000)/100000),2)</f>
        <v>61.85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21487.5</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1925</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17" sqref="A17:J17"/>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21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21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216" t="s">
        <v>973</v>
      </c>
      <c r="B3" s="2217"/>
      <c r="C3" s="1481"/>
      <c r="D3" s="1482"/>
      <c r="E3" s="1482"/>
      <c r="F3" s="1482"/>
      <c r="G3" s="1482"/>
      <c r="H3" s="1482"/>
      <c r="I3" s="1482"/>
      <c r="J3" s="1482"/>
      <c r="K3" s="1482"/>
      <c r="L3" s="1482"/>
      <c r="M3" s="1483"/>
      <c r="N3" s="1484"/>
    </row>
    <row r="4" spans="1:14" ht="13.5" customHeight="1" x14ac:dyDescent="0.2">
      <c r="A4" s="463" t="s">
        <v>1649</v>
      </c>
      <c r="B4" s="464"/>
      <c r="C4" s="465">
        <v>1329129</v>
      </c>
      <c r="D4" s="465">
        <v>0</v>
      </c>
      <c r="E4" s="465">
        <v>0</v>
      </c>
      <c r="F4" s="465">
        <v>0</v>
      </c>
      <c r="G4" s="465">
        <v>0</v>
      </c>
      <c r="H4" s="465">
        <v>0</v>
      </c>
      <c r="I4" s="465">
        <v>0</v>
      </c>
      <c r="J4" s="465">
        <v>0</v>
      </c>
      <c r="K4" s="465">
        <v>0</v>
      </c>
      <c r="L4" s="465">
        <v>2080</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46171</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658" t="s">
        <v>644</v>
      </c>
      <c r="B13" s="1631"/>
      <c r="C13" s="1659">
        <f>SUM(C4:C12)</f>
        <v>1375300</v>
      </c>
      <c r="D13" s="1659">
        <f t="shared" ref="D13:L13" si="0">SUM(D4:D12)</f>
        <v>0</v>
      </c>
      <c r="E13" s="1659">
        <f t="shared" si="0"/>
        <v>0</v>
      </c>
      <c r="F13" s="1659">
        <f t="shared" si="0"/>
        <v>0</v>
      </c>
      <c r="G13" s="1659">
        <f t="shared" si="0"/>
        <v>0</v>
      </c>
      <c r="H13" s="1659">
        <f t="shared" si="0"/>
        <v>0</v>
      </c>
      <c r="I13" s="1659">
        <f t="shared" si="0"/>
        <v>0</v>
      </c>
      <c r="J13" s="1659">
        <f t="shared" si="0"/>
        <v>0</v>
      </c>
      <c r="K13" s="1659">
        <f t="shared" si="0"/>
        <v>0</v>
      </c>
      <c r="L13" s="1659">
        <f t="shared" si="0"/>
        <v>2080</v>
      </c>
      <c r="M13" s="468"/>
      <c r="N13" s="469"/>
    </row>
    <row r="14" spans="1:14" ht="18" customHeight="1" thickTop="1" x14ac:dyDescent="0.2">
      <c r="A14" s="2218" t="s">
        <v>147</v>
      </c>
      <c r="B14" s="2219"/>
      <c r="C14" s="1485"/>
      <c r="D14" s="1486"/>
      <c r="E14" s="1486"/>
      <c r="F14" s="1486"/>
      <c r="G14" s="1486"/>
      <c r="H14" s="1486"/>
      <c r="I14" s="1486"/>
      <c r="J14" s="1486"/>
      <c r="K14" s="1486"/>
      <c r="L14" s="1486"/>
      <c r="M14" s="1487"/>
      <c r="N14" s="1488"/>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0</v>
      </c>
      <c r="N16" s="482"/>
    </row>
    <row r="17" spans="1:14" s="483" customFormat="1" ht="12.75" customHeight="1" x14ac:dyDescent="0.2">
      <c r="A17" s="480" t="s">
        <v>1403</v>
      </c>
      <c r="B17" s="481">
        <v>230</v>
      </c>
      <c r="C17" s="475"/>
      <c r="D17" s="475"/>
      <c r="E17" s="475"/>
      <c r="F17" s="475"/>
      <c r="G17" s="475"/>
      <c r="H17" s="475"/>
      <c r="I17" s="475"/>
      <c r="J17" s="475"/>
      <c r="K17" s="475"/>
      <c r="L17" s="475"/>
      <c r="M17" s="465">
        <v>376836</v>
      </c>
      <c r="N17" s="482"/>
    </row>
    <row r="18" spans="1:14" s="483" customFormat="1" ht="12.75" customHeight="1" x14ac:dyDescent="0.2">
      <c r="A18" s="480" t="s">
        <v>1404</v>
      </c>
      <c r="B18" s="481">
        <v>240</v>
      </c>
      <c r="C18" s="475"/>
      <c r="D18" s="475"/>
      <c r="E18" s="475"/>
      <c r="F18" s="475"/>
      <c r="G18" s="475"/>
      <c r="H18" s="475"/>
      <c r="I18" s="475"/>
      <c r="J18" s="475"/>
      <c r="K18" s="475"/>
      <c r="L18" s="475"/>
      <c r="M18" s="465">
        <v>47853</v>
      </c>
      <c r="N18" s="482"/>
    </row>
    <row r="19" spans="1:14" s="483" customFormat="1" ht="12.75" customHeight="1" x14ac:dyDescent="0.2">
      <c r="A19" s="480" t="s">
        <v>1405</v>
      </c>
      <c r="B19" s="481">
        <v>250</v>
      </c>
      <c r="C19" s="475"/>
      <c r="D19" s="475"/>
      <c r="E19" s="475"/>
      <c r="F19" s="475"/>
      <c r="G19" s="475"/>
      <c r="H19" s="475"/>
      <c r="I19" s="475"/>
      <c r="J19" s="475"/>
      <c r="K19" s="475"/>
      <c r="L19" s="475"/>
      <c r="M19" s="465">
        <v>188731</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0</v>
      </c>
    </row>
    <row r="23" spans="1:14" ht="13.5" customHeight="1" thickBot="1" x14ac:dyDescent="0.25">
      <c r="A23" s="1658" t="s">
        <v>643</v>
      </c>
      <c r="B23" s="1663"/>
      <c r="C23" s="468"/>
      <c r="D23" s="468"/>
      <c r="E23" s="468"/>
      <c r="F23" s="468"/>
      <c r="G23" s="468"/>
      <c r="H23" s="468"/>
      <c r="I23" s="468"/>
      <c r="J23" s="468"/>
      <c r="K23" s="468"/>
      <c r="L23" s="468"/>
      <c r="M23" s="1610">
        <f>SUM(M15:M22)</f>
        <v>613420</v>
      </c>
      <c r="N23" s="1610">
        <f>SUM(N21:N22)</f>
        <v>0</v>
      </c>
    </row>
    <row r="24" spans="1:14" ht="18" customHeight="1" thickTop="1" x14ac:dyDescent="0.2">
      <c r="A24" s="2220" t="s">
        <v>598</v>
      </c>
      <c r="B24" s="2221"/>
      <c r="C24" s="1490"/>
      <c r="D24" s="1487"/>
      <c r="E24" s="1487"/>
      <c r="F24" s="1487"/>
      <c r="G24" s="1487"/>
      <c r="H24" s="1487"/>
      <c r="I24" s="1487"/>
      <c r="J24" s="1487"/>
      <c r="K24" s="1487"/>
      <c r="L24" s="1487"/>
      <c r="M24" s="1486"/>
      <c r="N24" s="1491"/>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1361</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2080</v>
      </c>
      <c r="M33" s="468"/>
      <c r="N33" s="469"/>
    </row>
    <row r="34" spans="1:14" ht="13.5" customHeight="1" thickBot="1" x14ac:dyDescent="0.25">
      <c r="A34" s="1660" t="s">
        <v>654</v>
      </c>
      <c r="B34" s="1661"/>
      <c r="C34" s="1662">
        <f>SUM(C25:C33)</f>
        <v>1361</v>
      </c>
      <c r="D34" s="1662">
        <f t="shared" ref="D34:K34" si="1">SUM(D25:D33)</f>
        <v>0</v>
      </c>
      <c r="E34" s="1662">
        <f t="shared" si="1"/>
        <v>0</v>
      </c>
      <c r="F34" s="1662">
        <f t="shared" si="1"/>
        <v>0</v>
      </c>
      <c r="G34" s="1662">
        <f t="shared" si="1"/>
        <v>0</v>
      </c>
      <c r="H34" s="1662">
        <f t="shared" si="1"/>
        <v>0</v>
      </c>
      <c r="I34" s="1662">
        <f t="shared" si="1"/>
        <v>0</v>
      </c>
      <c r="J34" s="1662">
        <f t="shared" si="1"/>
        <v>0</v>
      </c>
      <c r="K34" s="1662">
        <f t="shared" si="1"/>
        <v>0</v>
      </c>
      <c r="L34" s="1643">
        <f>SUM(L33)</f>
        <v>2080</v>
      </c>
      <c r="M34" s="468"/>
      <c r="N34" s="478"/>
    </row>
    <row r="35" spans="1:14" ht="18" customHeight="1" thickTop="1" x14ac:dyDescent="0.2">
      <c r="A35" s="2222" t="s">
        <v>529</v>
      </c>
      <c r="B35" s="2223"/>
      <c r="C35" s="1492"/>
      <c r="D35" s="1493"/>
      <c r="E35" s="1493"/>
      <c r="F35" s="1493"/>
      <c r="G35" s="1493"/>
      <c r="H35" s="1493"/>
      <c r="I35" s="1493"/>
      <c r="J35" s="1493"/>
      <c r="K35" s="1493"/>
      <c r="L35" s="1493"/>
      <c r="M35" s="1487"/>
      <c r="N35" s="1491"/>
    </row>
    <row r="36" spans="1:14" x14ac:dyDescent="0.2">
      <c r="A36" s="491" t="s">
        <v>1</v>
      </c>
      <c r="B36" s="470">
        <v>511</v>
      </c>
      <c r="C36" s="475"/>
      <c r="D36" s="475"/>
      <c r="E36" s="475"/>
      <c r="F36" s="475"/>
      <c r="G36" s="475"/>
      <c r="H36" s="475"/>
      <c r="I36" s="475"/>
      <c r="J36" s="475"/>
      <c r="K36" s="475"/>
      <c r="L36" s="468"/>
      <c r="M36" s="468"/>
      <c r="N36" s="492">
        <f>'Short-Term Long-Term Debt 24'!I49</f>
        <v>0</v>
      </c>
    </row>
    <row r="37" spans="1:14" ht="13.5" thickBot="1" x14ac:dyDescent="0.25">
      <c r="A37" s="1658" t="s">
        <v>653</v>
      </c>
      <c r="B37" s="1663"/>
      <c r="C37" s="475"/>
      <c r="D37" s="475"/>
      <c r="E37" s="475"/>
      <c r="F37" s="475"/>
      <c r="G37" s="475"/>
      <c r="H37" s="475"/>
      <c r="I37" s="475"/>
      <c r="J37" s="475"/>
      <c r="K37" s="475"/>
      <c r="L37" s="478"/>
      <c r="M37" s="468"/>
      <c r="N37" s="1610">
        <f>SUM(N36:N36)</f>
        <v>0</v>
      </c>
    </row>
    <row r="38" spans="1:14" s="329" customFormat="1" ht="13.5" customHeight="1" thickTop="1" x14ac:dyDescent="0.2">
      <c r="A38" s="493" t="s">
        <v>420</v>
      </c>
      <c r="B38" s="481">
        <v>714</v>
      </c>
      <c r="C38" s="465">
        <v>7947</v>
      </c>
      <c r="D38" s="465">
        <v>0</v>
      </c>
      <c r="E38" s="465">
        <v>0</v>
      </c>
      <c r="F38" s="465">
        <v>0</v>
      </c>
      <c r="G38" s="465">
        <v>0</v>
      </c>
      <c r="H38" s="465">
        <v>0</v>
      </c>
      <c r="I38" s="465">
        <v>0</v>
      </c>
      <c r="J38" s="465">
        <v>0</v>
      </c>
      <c r="K38" s="465">
        <v>0</v>
      </c>
      <c r="L38" s="465">
        <v>0</v>
      </c>
      <c r="M38" s="494"/>
      <c r="N38" s="494"/>
    </row>
    <row r="39" spans="1:14" s="329" customFormat="1" ht="13.5" customHeight="1" x14ac:dyDescent="0.2">
      <c r="A39" s="493" t="s">
        <v>342</v>
      </c>
      <c r="B39" s="481">
        <v>730</v>
      </c>
      <c r="C39" s="465">
        <v>1365992</v>
      </c>
      <c r="D39" s="465">
        <v>0</v>
      </c>
      <c r="E39" s="465">
        <v>0</v>
      </c>
      <c r="F39" s="465">
        <v>0</v>
      </c>
      <c r="G39" s="465">
        <v>0</v>
      </c>
      <c r="H39" s="465">
        <v>0</v>
      </c>
      <c r="I39" s="465">
        <v>0</v>
      </c>
      <c r="J39" s="465">
        <v>0</v>
      </c>
      <c r="K39" s="465">
        <v>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613420</v>
      </c>
      <c r="N40" s="494"/>
    </row>
    <row r="41" spans="1:14" ht="13.5" customHeight="1" thickBot="1" x14ac:dyDescent="0.25">
      <c r="A41" s="1658" t="s">
        <v>655</v>
      </c>
      <c r="B41" s="1628"/>
      <c r="C41" s="1610">
        <f>(SUM(C34,C37,C38,C39))</f>
        <v>1375300</v>
      </c>
      <c r="D41" s="1610">
        <f t="shared" ref="D41:L41" si="2">SUM(D34,D37,D38:D39)</f>
        <v>0</v>
      </c>
      <c r="E41" s="1610">
        <f t="shared" si="2"/>
        <v>0</v>
      </c>
      <c r="F41" s="1610">
        <f t="shared" si="2"/>
        <v>0</v>
      </c>
      <c r="G41" s="1610">
        <f t="shared" si="2"/>
        <v>0</v>
      </c>
      <c r="H41" s="1610">
        <f t="shared" si="2"/>
        <v>0</v>
      </c>
      <c r="I41" s="1610">
        <f t="shared" si="2"/>
        <v>0</v>
      </c>
      <c r="J41" s="1610">
        <f t="shared" si="2"/>
        <v>0</v>
      </c>
      <c r="K41" s="1610">
        <f t="shared" si="2"/>
        <v>0</v>
      </c>
      <c r="L41" s="1610">
        <f t="shared" si="2"/>
        <v>2080</v>
      </c>
      <c r="M41" s="1610">
        <f>SUM(M40)</f>
        <v>613420</v>
      </c>
      <c r="N41" s="1610">
        <f>SUM(N37)</f>
        <v>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17" sqref="A17:J17"/>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32" t="s">
        <v>1650</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233"/>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244" t="s">
        <v>1175</v>
      </c>
      <c r="B3" s="2245"/>
      <c r="C3" s="1495"/>
      <c r="D3" s="1496"/>
      <c r="E3" s="1496"/>
      <c r="F3" s="1496"/>
      <c r="G3" s="1496"/>
      <c r="H3" s="1496"/>
      <c r="I3" s="1496"/>
      <c r="J3" s="1496"/>
      <c r="K3" s="1497"/>
      <c r="L3" s="503"/>
    </row>
    <row r="4" spans="1:13" ht="15.75" customHeight="1" x14ac:dyDescent="0.2">
      <c r="A4" s="1843" t="s">
        <v>1499</v>
      </c>
      <c r="B4" s="1844">
        <v>1000</v>
      </c>
      <c r="C4" s="1664">
        <f>'Revenues 9-14'!C109</f>
        <v>4942712</v>
      </c>
      <c r="D4" s="1664">
        <f>'Revenues 9-14'!D109</f>
        <v>0</v>
      </c>
      <c r="E4" s="1664">
        <f>'Revenues 9-14'!E109</f>
        <v>0</v>
      </c>
      <c r="F4" s="1664">
        <f>'Revenues 9-14'!F109</f>
        <v>0</v>
      </c>
      <c r="G4" s="1664">
        <f>'Revenues 9-14'!G109</f>
        <v>0</v>
      </c>
      <c r="H4" s="1664">
        <f>'Revenues 9-14'!H109</f>
        <v>0</v>
      </c>
      <c r="I4" s="1664">
        <f>'Revenues 9-14'!I109</f>
        <v>0</v>
      </c>
      <c r="J4" s="1664">
        <f>'Revenues 9-14'!J109</f>
        <v>0</v>
      </c>
      <c r="K4" s="1664">
        <f>'Revenues 9-14'!K109</f>
        <v>0</v>
      </c>
      <c r="L4" s="347"/>
    </row>
    <row r="5" spans="1:13" ht="15.75" customHeight="1" x14ac:dyDescent="0.2">
      <c r="A5" s="1498" t="s">
        <v>1500</v>
      </c>
      <c r="B5" s="1499">
        <v>2000</v>
      </c>
      <c r="C5" s="1665">
        <f>'Revenues 9-14'!C114</f>
        <v>1413284</v>
      </c>
      <c r="D5" s="1665">
        <f>'Revenues 9-14'!D114</f>
        <v>0</v>
      </c>
      <c r="E5" s="505"/>
      <c r="F5" s="1665">
        <f>'Revenues 9-14'!F114</f>
        <v>0</v>
      </c>
      <c r="G5" s="1665">
        <f>'Revenues 9-14'!G114</f>
        <v>0</v>
      </c>
      <c r="H5" s="506" t="s">
        <v>1169</v>
      </c>
      <c r="I5" s="507" t="s">
        <v>1169</v>
      </c>
      <c r="J5" s="508" t="s">
        <v>1169</v>
      </c>
      <c r="K5" s="509" t="s">
        <v>1169</v>
      </c>
      <c r="L5" s="347"/>
    </row>
    <row r="6" spans="1:13" ht="15.75" customHeight="1" x14ac:dyDescent="0.2">
      <c r="A6" s="1498" t="s">
        <v>1501</v>
      </c>
      <c r="B6" s="1500">
        <v>3000</v>
      </c>
      <c r="C6" s="1665">
        <f>'Revenues 9-14'!C170</f>
        <v>919211</v>
      </c>
      <c r="D6" s="1665">
        <f>'Revenues 9-14'!D170</f>
        <v>0</v>
      </c>
      <c r="E6" s="1665">
        <f>'Revenues 9-14'!E170</f>
        <v>0</v>
      </c>
      <c r="F6" s="1665">
        <f>'Revenues 9-14'!F170</f>
        <v>0</v>
      </c>
      <c r="G6" s="1665">
        <f>'Revenues 9-14'!G170</f>
        <v>0</v>
      </c>
      <c r="H6" s="1665">
        <f>'Revenues 9-14'!H170</f>
        <v>0</v>
      </c>
      <c r="I6" s="1665">
        <f>'Revenues 9-14'!I170</f>
        <v>0</v>
      </c>
      <c r="J6" s="1665">
        <f>'Revenues 9-14'!J170</f>
        <v>0</v>
      </c>
      <c r="K6" s="1665">
        <f>'Revenues 9-14'!K170</f>
        <v>0</v>
      </c>
      <c r="L6" s="347"/>
      <c r="M6" s="510"/>
    </row>
    <row r="7" spans="1:13" ht="15.75" customHeight="1" x14ac:dyDescent="0.2">
      <c r="A7" s="1498" t="s">
        <v>1502</v>
      </c>
      <c r="B7" s="1500">
        <v>4000</v>
      </c>
      <c r="C7" s="1665">
        <f>'Revenues 9-14'!C267</f>
        <v>514438</v>
      </c>
      <c r="D7" s="1665">
        <f>'Revenues 9-14'!D267</f>
        <v>0</v>
      </c>
      <c r="E7" s="1665">
        <f>'Revenues 9-14'!E267</f>
        <v>0</v>
      </c>
      <c r="F7" s="1665">
        <f>'Revenues 9-14'!F267</f>
        <v>0</v>
      </c>
      <c r="G7" s="1665">
        <f>'Revenues 9-14'!G267</f>
        <v>0</v>
      </c>
      <c r="H7" s="1665">
        <f>'Revenues 9-14'!H267</f>
        <v>0</v>
      </c>
      <c r="I7" s="1665">
        <f>'Revenues 9-14'!I267</f>
        <v>0</v>
      </c>
      <c r="J7" s="1665">
        <f>'Revenues 9-14'!J267</f>
        <v>0</v>
      </c>
      <c r="K7" s="1665">
        <f>'Revenues 9-14'!K267</f>
        <v>0</v>
      </c>
      <c r="L7" s="347"/>
      <c r="M7" s="510"/>
    </row>
    <row r="8" spans="1:13" ht="13.5" thickBot="1" x14ac:dyDescent="0.25">
      <c r="A8" s="1658" t="s">
        <v>1172</v>
      </c>
      <c r="B8" s="1631"/>
      <c r="C8" s="1610">
        <f>SUM(C4:C7)</f>
        <v>7789645</v>
      </c>
      <c r="D8" s="1610">
        <f t="shared" ref="D8:K8" si="0">SUM(D4:D7)</f>
        <v>0</v>
      </c>
      <c r="E8" s="1610">
        <f t="shared" si="0"/>
        <v>0</v>
      </c>
      <c r="F8" s="1610">
        <f t="shared" si="0"/>
        <v>0</v>
      </c>
      <c r="G8" s="1610">
        <f t="shared" si="0"/>
        <v>0</v>
      </c>
      <c r="H8" s="1610">
        <f t="shared" si="0"/>
        <v>0</v>
      </c>
      <c r="I8" s="1610">
        <f t="shared" si="0"/>
        <v>0</v>
      </c>
      <c r="J8" s="1610">
        <f t="shared" si="0"/>
        <v>0</v>
      </c>
      <c r="K8" s="1610">
        <f t="shared" si="0"/>
        <v>0</v>
      </c>
      <c r="L8" s="347"/>
    </row>
    <row r="9" spans="1:13" ht="15.75" thickTop="1" x14ac:dyDescent="0.2">
      <c r="A9" s="511" t="s">
        <v>1651</v>
      </c>
      <c r="B9" s="512">
        <v>3998</v>
      </c>
      <c r="C9" s="465">
        <v>2108442</v>
      </c>
      <c r="D9" s="513"/>
      <c r="E9" s="479"/>
      <c r="F9" s="479"/>
      <c r="G9" s="514"/>
      <c r="H9" s="479"/>
      <c r="I9" s="506" t="s">
        <v>1169</v>
      </c>
      <c r="J9" s="476"/>
      <c r="K9" s="479"/>
      <c r="L9" s="347"/>
    </row>
    <row r="10" spans="1:13" s="516" customFormat="1" ht="13.5" thickBot="1" x14ac:dyDescent="0.25">
      <c r="A10" s="1658" t="s">
        <v>1173</v>
      </c>
      <c r="B10" s="1631"/>
      <c r="C10" s="1610">
        <f>SUM(C8:C9)</f>
        <v>9898087</v>
      </c>
      <c r="D10" s="1610">
        <f t="shared" ref="D10:K10" si="1">SUM(D8:D9)</f>
        <v>0</v>
      </c>
      <c r="E10" s="1610">
        <f t="shared" si="1"/>
        <v>0</v>
      </c>
      <c r="F10" s="1610">
        <f t="shared" si="1"/>
        <v>0</v>
      </c>
      <c r="G10" s="1610">
        <f t="shared" si="1"/>
        <v>0</v>
      </c>
      <c r="H10" s="1610">
        <f t="shared" si="1"/>
        <v>0</v>
      </c>
      <c r="I10" s="1610">
        <f t="shared" si="1"/>
        <v>0</v>
      </c>
      <c r="J10" s="1610">
        <f t="shared" si="1"/>
        <v>0</v>
      </c>
      <c r="K10" s="1610">
        <f t="shared" si="1"/>
        <v>0</v>
      </c>
      <c r="L10" s="515"/>
    </row>
    <row r="11" spans="1:13" s="516" customFormat="1" ht="16.7" customHeight="1" thickTop="1" x14ac:dyDescent="0.2">
      <c r="A11" s="2218" t="s">
        <v>1176</v>
      </c>
      <c r="B11" s="2219"/>
      <c r="C11" s="1492"/>
      <c r="D11" s="1493"/>
      <c r="E11" s="1493"/>
      <c r="F11" s="1493"/>
      <c r="G11" s="1493"/>
      <c r="H11" s="1493"/>
      <c r="I11" s="1493"/>
      <c r="J11" s="1493"/>
      <c r="K11" s="1494"/>
      <c r="L11" s="515"/>
    </row>
    <row r="12" spans="1:13" ht="15.75" customHeight="1" x14ac:dyDescent="0.2">
      <c r="A12" s="1498" t="s">
        <v>456</v>
      </c>
      <c r="B12" s="1500">
        <v>1000</v>
      </c>
      <c r="C12" s="1664">
        <f>'Expenditures 15-22'!K33</f>
        <v>1956764</v>
      </c>
      <c r="D12" s="517" t="s">
        <v>1169</v>
      </c>
      <c r="E12" s="468" t="s">
        <v>1169</v>
      </c>
      <c r="F12" s="468" t="s">
        <v>1169</v>
      </c>
      <c r="G12" s="1664">
        <f>'Expenditures 15-22'!K229</f>
        <v>0</v>
      </c>
      <c r="H12" s="518"/>
      <c r="I12" s="468" t="s">
        <v>1169</v>
      </c>
      <c r="J12" s="468" t="s">
        <v>1169</v>
      </c>
      <c r="K12" s="518" t="s">
        <v>1169</v>
      </c>
      <c r="L12" s="347"/>
    </row>
    <row r="13" spans="1:13" ht="15.75" customHeight="1" x14ac:dyDescent="0.2">
      <c r="A13" s="1498" t="s">
        <v>457</v>
      </c>
      <c r="B13" s="1500">
        <v>2000</v>
      </c>
      <c r="C13" s="1665">
        <f>'Expenditures 15-22'!K74</f>
        <v>3474689</v>
      </c>
      <c r="D13" s="1665">
        <f>'Expenditures 15-22'!K129</f>
        <v>0</v>
      </c>
      <c r="E13" s="469" t="s">
        <v>1169</v>
      </c>
      <c r="F13" s="1665">
        <f>'Expenditures 15-22'!K184</f>
        <v>0</v>
      </c>
      <c r="G13" s="1665">
        <f>'Expenditures 15-22'!K279</f>
        <v>0</v>
      </c>
      <c r="H13" s="1665">
        <f>'Expenditures 15-22'!K303</f>
        <v>0</v>
      </c>
      <c r="I13" s="468" t="s">
        <v>1169</v>
      </c>
      <c r="J13" s="1665">
        <f>'Expenditures 15-22'!K330</f>
        <v>0</v>
      </c>
      <c r="K13" s="1669">
        <f>'Expenditures 15-22'!K352</f>
        <v>0</v>
      </c>
      <c r="L13" s="347"/>
    </row>
    <row r="14" spans="1:13" ht="15.75" customHeight="1" x14ac:dyDescent="0.2">
      <c r="A14" s="1498" t="s">
        <v>449</v>
      </c>
      <c r="B14" s="1500">
        <v>3000</v>
      </c>
      <c r="C14" s="1665">
        <f>'Expenditures 15-22'!K75</f>
        <v>77369</v>
      </c>
      <c r="D14" s="1665">
        <f>'Expenditures 15-22'!K130</f>
        <v>0</v>
      </c>
      <c r="E14" s="517" t="s">
        <v>1169</v>
      </c>
      <c r="F14" s="1665">
        <f>'Expenditures 15-22'!K185</f>
        <v>0</v>
      </c>
      <c r="G14" s="1665">
        <f>'Expenditures 15-22'!K280</f>
        <v>0</v>
      </c>
      <c r="H14" s="509"/>
      <c r="I14" s="468" t="s">
        <v>1169</v>
      </c>
      <c r="J14" s="468" t="s">
        <v>1169</v>
      </c>
      <c r="K14" s="509" t="s">
        <v>1169</v>
      </c>
      <c r="L14" s="347"/>
    </row>
    <row r="15" spans="1:13" ht="15.75" customHeight="1" x14ac:dyDescent="0.2">
      <c r="A15" s="1498" t="s">
        <v>107</v>
      </c>
      <c r="B15" s="1500">
        <v>4000</v>
      </c>
      <c r="C15" s="1665">
        <f>'Expenditures 15-22'!K102</f>
        <v>2226678</v>
      </c>
      <c r="D15" s="1665">
        <f>'Expenditures 15-22'!K139</f>
        <v>0</v>
      </c>
      <c r="E15" s="1665">
        <f>'Expenditures 15-22'!K160</f>
        <v>0</v>
      </c>
      <c r="F15" s="1665">
        <f>'Expenditures 15-22'!K196</f>
        <v>0</v>
      </c>
      <c r="G15" s="1665">
        <f>'Expenditures 15-22'!K285</f>
        <v>0</v>
      </c>
      <c r="H15" s="1665">
        <f>'Expenditures 15-22'!K310</f>
        <v>0</v>
      </c>
      <c r="I15" s="468" t="s">
        <v>1169</v>
      </c>
      <c r="J15" s="1757">
        <f>'Expenditures 15-22'!K334</f>
        <v>0</v>
      </c>
      <c r="K15" s="1665">
        <f>'Expenditures 15-22'!K357</f>
        <v>0</v>
      </c>
      <c r="L15" s="347"/>
    </row>
    <row r="16" spans="1:13" ht="15.75" customHeight="1" x14ac:dyDescent="0.2">
      <c r="A16" s="1498" t="s">
        <v>450</v>
      </c>
      <c r="B16" s="1500">
        <v>5000</v>
      </c>
      <c r="C16" s="1665">
        <f>'Expenditures 15-22'!K112</f>
        <v>0</v>
      </c>
      <c r="D16" s="1665">
        <f>'Expenditures 15-22'!K149</f>
        <v>0</v>
      </c>
      <c r="E16" s="1665">
        <f>'Expenditures 15-22'!K172</f>
        <v>0</v>
      </c>
      <c r="F16" s="1665">
        <f>'Expenditures 15-22'!K208</f>
        <v>0</v>
      </c>
      <c r="G16" s="1665">
        <f>'Expenditures 15-22'!K293</f>
        <v>0</v>
      </c>
      <c r="H16" s="520"/>
      <c r="I16" s="468" t="s">
        <v>1169</v>
      </c>
      <c r="J16" s="1670">
        <f>'Expenditures 15-22'!K340</f>
        <v>0</v>
      </c>
      <c r="K16" s="1665">
        <f>'Expenditures 15-22'!K365</f>
        <v>0</v>
      </c>
      <c r="L16" s="347"/>
    </row>
    <row r="17" spans="1:12" ht="13.5" thickBot="1" x14ac:dyDescent="0.25">
      <c r="A17" s="1630" t="s">
        <v>48</v>
      </c>
      <c r="B17" s="1631"/>
      <c r="C17" s="1610">
        <f t="shared" ref="C17:H17" si="2">SUM(C12:C16)</f>
        <v>7735500</v>
      </c>
      <c r="D17" s="1610">
        <f t="shared" si="2"/>
        <v>0</v>
      </c>
      <c r="E17" s="1610">
        <f t="shared" si="2"/>
        <v>0</v>
      </c>
      <c r="F17" s="1610">
        <f t="shared" si="2"/>
        <v>0</v>
      </c>
      <c r="G17" s="1610">
        <f t="shared" si="2"/>
        <v>0</v>
      </c>
      <c r="H17" s="1610">
        <f t="shared" si="2"/>
        <v>0</v>
      </c>
      <c r="I17" s="468"/>
      <c r="J17" s="1610">
        <f>SUM(J12:J16)</f>
        <v>0</v>
      </c>
      <c r="K17" s="1610">
        <f>SUM(K12:K16)</f>
        <v>0</v>
      </c>
      <c r="L17" s="347"/>
    </row>
    <row r="18" spans="1:12" ht="15" customHeight="1" thickTop="1" x14ac:dyDescent="0.2">
      <c r="A18" s="1666" t="s">
        <v>1652</v>
      </c>
      <c r="B18" s="1667">
        <v>4180</v>
      </c>
      <c r="C18" s="1664">
        <f t="shared" ref="C18:H18" si="3">C9</f>
        <v>2108442</v>
      </c>
      <c r="D18" s="1664">
        <f t="shared" si="3"/>
        <v>0</v>
      </c>
      <c r="E18" s="1664">
        <f t="shared" si="3"/>
        <v>0</v>
      </c>
      <c r="F18" s="1664">
        <f t="shared" si="3"/>
        <v>0</v>
      </c>
      <c r="G18" s="1664">
        <f t="shared" si="3"/>
        <v>0</v>
      </c>
      <c r="H18" s="1664">
        <f t="shared" si="3"/>
        <v>0</v>
      </c>
      <c r="I18" s="468"/>
      <c r="J18" s="1664">
        <f>J9</f>
        <v>0</v>
      </c>
      <c r="K18" s="1664">
        <f>K9</f>
        <v>0</v>
      </c>
      <c r="L18" s="347"/>
    </row>
    <row r="19" spans="1:12" ht="13.5" thickBot="1" x14ac:dyDescent="0.25">
      <c r="A19" s="1630" t="s">
        <v>505</v>
      </c>
      <c r="B19" s="1631"/>
      <c r="C19" s="1610">
        <f t="shared" ref="C19:H19" si="4">SUM(C17:C18)</f>
        <v>9843942</v>
      </c>
      <c r="D19" s="1610">
        <f t="shared" si="4"/>
        <v>0</v>
      </c>
      <c r="E19" s="1610">
        <f t="shared" si="4"/>
        <v>0</v>
      </c>
      <c r="F19" s="1610">
        <f t="shared" si="4"/>
        <v>0</v>
      </c>
      <c r="G19" s="1610">
        <f t="shared" si="4"/>
        <v>0</v>
      </c>
      <c r="H19" s="1610">
        <f t="shared" si="4"/>
        <v>0</v>
      </c>
      <c r="I19" s="468"/>
      <c r="J19" s="1610">
        <f>SUM(J17:J18)</f>
        <v>0</v>
      </c>
      <c r="K19" s="1610">
        <f>SUM(K17:K18)</f>
        <v>0</v>
      </c>
      <c r="L19" s="347"/>
    </row>
    <row r="20" spans="1:12" ht="16.5" thickTop="1" thickBot="1" x14ac:dyDescent="0.25">
      <c r="A20" s="2234" t="s">
        <v>1653</v>
      </c>
      <c r="B20" s="2235"/>
      <c r="C20" s="1668">
        <f>C8-C17</f>
        <v>54145</v>
      </c>
      <c r="D20" s="1668">
        <f t="shared" ref="D20:K20" si="5">D8-D17</f>
        <v>0</v>
      </c>
      <c r="E20" s="1668">
        <f t="shared" si="5"/>
        <v>0</v>
      </c>
      <c r="F20" s="1668">
        <f t="shared" si="5"/>
        <v>0</v>
      </c>
      <c r="G20" s="1668">
        <f t="shared" si="5"/>
        <v>0</v>
      </c>
      <c r="H20" s="1668">
        <f t="shared" si="5"/>
        <v>0</v>
      </c>
      <c r="I20" s="1668">
        <f t="shared" si="5"/>
        <v>0</v>
      </c>
      <c r="J20" s="1668">
        <f t="shared" si="5"/>
        <v>0</v>
      </c>
      <c r="K20" s="1668">
        <f t="shared" si="5"/>
        <v>0</v>
      </c>
      <c r="L20" s="347"/>
    </row>
    <row r="21" spans="1:12" ht="16.7" customHeight="1" thickTop="1" x14ac:dyDescent="0.2">
      <c r="A21" s="2246" t="s">
        <v>595</v>
      </c>
      <c r="B21" s="2247"/>
      <c r="C21" s="1492"/>
      <c r="D21" s="1493"/>
      <c r="E21" s="1493"/>
      <c r="F21" s="1493"/>
      <c r="G21" s="1493"/>
      <c r="H21" s="1493"/>
      <c r="I21" s="1493"/>
      <c r="J21" s="1493"/>
      <c r="K21" s="1494"/>
      <c r="L21" s="521"/>
    </row>
    <row r="22" spans="1:12" ht="15.75" customHeight="1" collapsed="1" x14ac:dyDescent="0.2">
      <c r="A22" s="2242" t="s">
        <v>596</v>
      </c>
      <c r="B22" s="2243"/>
      <c r="C22" s="475"/>
      <c r="D22" s="475"/>
      <c r="E22" s="475"/>
      <c r="F22" s="475"/>
      <c r="G22" s="475"/>
      <c r="H22" s="475"/>
      <c r="I22" s="475"/>
      <c r="J22" s="475"/>
      <c r="K22" s="475"/>
      <c r="L22" s="347"/>
    </row>
    <row r="23" spans="1:12" s="483" customFormat="1" ht="15.75" customHeight="1" x14ac:dyDescent="0.2">
      <c r="A23" s="2238" t="s">
        <v>293</v>
      </c>
      <c r="B23" s="2239"/>
      <c r="C23" s="478"/>
      <c r="D23" s="475"/>
      <c r="E23" s="475"/>
      <c r="F23" s="475"/>
      <c r="G23" s="475"/>
      <c r="H23" s="475"/>
      <c r="I23" s="475"/>
      <c r="J23" s="475"/>
      <c r="K23" s="475"/>
      <c r="L23" s="521"/>
    </row>
    <row r="24" spans="1:12" s="483" customFormat="1" ht="13.5" customHeight="1" x14ac:dyDescent="0.2">
      <c r="A24" s="1411" t="s">
        <v>1654</v>
      </c>
      <c r="B24" s="522">
        <v>7110</v>
      </c>
      <c r="C24" s="465">
        <v>0</v>
      </c>
      <c r="D24" s="475"/>
      <c r="E24" s="475"/>
      <c r="F24" s="475"/>
      <c r="G24" s="475"/>
      <c r="H24" s="475"/>
      <c r="I24" s="475"/>
      <c r="J24" s="475"/>
      <c r="K24" s="475"/>
      <c r="L24" s="521"/>
    </row>
    <row r="25" spans="1:12" s="483" customFormat="1" ht="13.5" customHeight="1" x14ac:dyDescent="0.2">
      <c r="A25" s="1411" t="s">
        <v>1655</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11"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11" t="s">
        <v>185</v>
      </c>
      <c r="B27" s="481">
        <v>7130</v>
      </c>
      <c r="C27" s="465">
        <v>0</v>
      </c>
      <c r="D27" s="467">
        <v>0</v>
      </c>
      <c r="E27" s="523"/>
      <c r="F27" s="467">
        <v>0</v>
      </c>
      <c r="G27" s="478"/>
      <c r="H27" s="478"/>
      <c r="I27" s="478"/>
      <c r="J27" s="478"/>
      <c r="K27" s="478"/>
      <c r="L27" s="521"/>
    </row>
    <row r="28" spans="1:12" s="483" customFormat="1" ht="13.5" customHeight="1" x14ac:dyDescent="0.2">
      <c r="A28" s="1411"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11" t="s">
        <v>294</v>
      </c>
      <c r="B29" s="481">
        <v>7150</v>
      </c>
      <c r="C29" s="474"/>
      <c r="D29" s="467">
        <v>0</v>
      </c>
      <c r="E29" s="474"/>
      <c r="F29" s="474"/>
      <c r="G29" s="474"/>
      <c r="H29" s="474"/>
      <c r="I29" s="474"/>
      <c r="J29" s="474"/>
      <c r="K29" s="474"/>
      <c r="L29" s="521"/>
    </row>
    <row r="30" spans="1:12" s="483" customFormat="1" ht="26.25" x14ac:dyDescent="0.2">
      <c r="A30" s="1411" t="s">
        <v>1789</v>
      </c>
      <c r="B30" s="524">
        <v>7160</v>
      </c>
      <c r="C30" s="475"/>
      <c r="D30" s="467">
        <v>0</v>
      </c>
      <c r="E30" s="475"/>
      <c r="F30" s="475"/>
      <c r="G30" s="475"/>
      <c r="H30" s="475"/>
      <c r="I30" s="475"/>
      <c r="J30" s="475"/>
      <c r="K30" s="475"/>
      <c r="L30" s="521"/>
    </row>
    <row r="31" spans="1:12" s="483" customFormat="1" ht="26.25" x14ac:dyDescent="0.2">
      <c r="A31" s="1411" t="s">
        <v>1793</v>
      </c>
      <c r="B31" s="524">
        <v>7170</v>
      </c>
      <c r="C31" s="475"/>
      <c r="D31" s="475"/>
      <c r="E31" s="473">
        <v>0</v>
      </c>
      <c r="F31" s="475"/>
      <c r="G31" s="475"/>
      <c r="H31" s="475"/>
      <c r="I31" s="475"/>
      <c r="J31" s="475"/>
      <c r="K31" s="475"/>
      <c r="L31" s="521"/>
    </row>
    <row r="32" spans="1:12" s="483" customFormat="1" ht="15.75" customHeight="1" x14ac:dyDescent="0.2">
      <c r="A32" s="2240" t="s">
        <v>981</v>
      </c>
      <c r="B32" s="2241"/>
      <c r="C32" s="475"/>
      <c r="D32" s="475"/>
      <c r="E32" s="474"/>
      <c r="F32" s="475"/>
      <c r="G32" s="475"/>
      <c r="H32" s="475"/>
      <c r="I32" s="475"/>
      <c r="J32" s="475"/>
      <c r="K32" s="475"/>
      <c r="L32" s="521"/>
    </row>
    <row r="33" spans="1:12" s="483" customFormat="1" x14ac:dyDescent="0.2">
      <c r="A33" s="1411" t="s">
        <v>412</v>
      </c>
      <c r="B33" s="522">
        <v>7210</v>
      </c>
      <c r="C33" s="465">
        <v>0</v>
      </c>
      <c r="D33" s="467">
        <v>0</v>
      </c>
      <c r="E33" s="467">
        <v>0</v>
      </c>
      <c r="F33" s="467">
        <v>0</v>
      </c>
      <c r="G33" s="475"/>
      <c r="H33" s="467">
        <v>0</v>
      </c>
      <c r="I33" s="467">
        <v>0</v>
      </c>
      <c r="J33" s="467">
        <v>0</v>
      </c>
      <c r="K33" s="467">
        <v>0</v>
      </c>
      <c r="L33" s="521"/>
    </row>
    <row r="34" spans="1:12" s="483" customFormat="1" x14ac:dyDescent="0.2">
      <c r="A34" s="1411" t="s">
        <v>1001</v>
      </c>
      <c r="B34" s="522">
        <v>7220</v>
      </c>
      <c r="C34" s="465">
        <v>0</v>
      </c>
      <c r="D34" s="467">
        <v>0</v>
      </c>
      <c r="E34" s="467">
        <v>0</v>
      </c>
      <c r="F34" s="467">
        <v>0</v>
      </c>
      <c r="G34" s="475"/>
      <c r="H34" s="476">
        <v>0</v>
      </c>
      <c r="I34" s="476">
        <v>0</v>
      </c>
      <c r="J34" s="476">
        <v>0</v>
      </c>
      <c r="K34" s="476">
        <v>0</v>
      </c>
      <c r="L34" s="521"/>
    </row>
    <row r="35" spans="1:12" s="483" customFormat="1" x14ac:dyDescent="0.2">
      <c r="A35" s="1411" t="s">
        <v>990</v>
      </c>
      <c r="B35" s="522">
        <v>7230</v>
      </c>
      <c r="C35" s="465">
        <v>0</v>
      </c>
      <c r="D35" s="467">
        <v>0</v>
      </c>
      <c r="E35" s="467">
        <v>0</v>
      </c>
      <c r="F35" s="467">
        <v>0</v>
      </c>
      <c r="G35" s="478"/>
      <c r="H35" s="467">
        <v>0</v>
      </c>
      <c r="I35" s="467">
        <v>0</v>
      </c>
      <c r="J35" s="467">
        <v>0</v>
      </c>
      <c r="K35" s="467">
        <v>0</v>
      </c>
      <c r="L35" s="521"/>
    </row>
    <row r="36" spans="1:12" s="483" customFormat="1" ht="15" x14ac:dyDescent="0.2">
      <c r="A36" s="1411" t="s">
        <v>1656</v>
      </c>
      <c r="B36" s="522">
        <v>7300</v>
      </c>
      <c r="C36" s="465">
        <v>150</v>
      </c>
      <c r="D36" s="467">
        <v>0</v>
      </c>
      <c r="E36" s="467">
        <v>0</v>
      </c>
      <c r="F36" s="467">
        <v>0</v>
      </c>
      <c r="G36" s="467">
        <v>0</v>
      </c>
      <c r="H36" s="467">
        <v>0</v>
      </c>
      <c r="I36" s="474"/>
      <c r="J36" s="467">
        <v>0</v>
      </c>
      <c r="K36" s="467">
        <v>0</v>
      </c>
      <c r="L36" s="521"/>
    </row>
    <row r="37" spans="1:12" s="483" customFormat="1" x14ac:dyDescent="0.2">
      <c r="A37" s="1411" t="s">
        <v>441</v>
      </c>
      <c r="B37" s="522">
        <v>7400</v>
      </c>
      <c r="C37" s="474"/>
      <c r="D37" s="474"/>
      <c r="E37" s="1665">
        <f>SUM(C54:D57,H54:H57)</f>
        <v>0</v>
      </c>
      <c r="F37" s="474"/>
      <c r="G37" s="474"/>
      <c r="H37" s="474"/>
      <c r="I37" s="475"/>
      <c r="J37" s="474"/>
      <c r="K37" s="474"/>
      <c r="L37" s="521"/>
    </row>
    <row r="38" spans="1:12" s="483" customFormat="1" x14ac:dyDescent="0.2">
      <c r="A38" s="1411" t="s">
        <v>442</v>
      </c>
      <c r="B38" s="522">
        <v>7500</v>
      </c>
      <c r="C38" s="475"/>
      <c r="D38" s="475"/>
      <c r="E38" s="1665">
        <f>SUM(C58:D61,H58:H61)</f>
        <v>0</v>
      </c>
      <c r="F38" s="475"/>
      <c r="G38" s="475"/>
      <c r="H38" s="475"/>
      <c r="I38" s="475"/>
      <c r="J38" s="475"/>
      <c r="K38" s="475"/>
      <c r="L38" s="521"/>
    </row>
    <row r="39" spans="1:12" s="483" customFormat="1" x14ac:dyDescent="0.2">
      <c r="A39" s="1411" t="s">
        <v>443</v>
      </c>
      <c r="B39" s="522">
        <v>7600</v>
      </c>
      <c r="C39" s="475"/>
      <c r="D39" s="475"/>
      <c r="E39" s="1665">
        <f>SUM(C62:D65)</f>
        <v>0</v>
      </c>
      <c r="F39" s="475"/>
      <c r="G39" s="475"/>
      <c r="H39" s="475"/>
      <c r="I39" s="475"/>
      <c r="J39" s="475"/>
      <c r="K39" s="475"/>
      <c r="L39" s="521"/>
    </row>
    <row r="40" spans="1:12" s="483" customFormat="1" ht="13.5" customHeight="1" x14ac:dyDescent="0.2">
      <c r="A40" s="1411" t="s">
        <v>642</v>
      </c>
      <c r="B40" s="481">
        <v>7700</v>
      </c>
      <c r="C40" s="475"/>
      <c r="D40" s="475"/>
      <c r="E40" s="1665">
        <f>SUM(C66:D69)</f>
        <v>0</v>
      </c>
      <c r="F40" s="475"/>
      <c r="G40" s="475"/>
      <c r="H40" s="478"/>
      <c r="I40" s="475"/>
      <c r="J40" s="475"/>
      <c r="K40" s="475"/>
      <c r="L40" s="521"/>
    </row>
    <row r="41" spans="1:12" s="483" customFormat="1" ht="13.5" customHeight="1" x14ac:dyDescent="0.2">
      <c r="A41" s="1411" t="s">
        <v>640</v>
      </c>
      <c r="B41" s="481">
        <v>7800</v>
      </c>
      <c r="C41" s="478"/>
      <c r="D41" s="478"/>
      <c r="E41" s="523"/>
      <c r="F41" s="478"/>
      <c r="G41" s="478"/>
      <c r="H41" s="1665">
        <f>SUM(C70:D73)</f>
        <v>0</v>
      </c>
      <c r="I41" s="475"/>
      <c r="J41" s="475"/>
      <c r="K41" s="478"/>
      <c r="L41" s="521"/>
    </row>
    <row r="42" spans="1:12" s="483" customFormat="1" ht="13.5" customHeight="1" x14ac:dyDescent="0.2">
      <c r="A42" s="1411"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11"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248" t="s">
        <v>374</v>
      </c>
      <c r="B44" s="2249"/>
      <c r="C44" s="1625">
        <f>SUM(C24:C43)</f>
        <v>150</v>
      </c>
      <c r="D44" s="1625">
        <f t="shared" ref="D44:K44" si="6">SUM(D24:D43)</f>
        <v>0</v>
      </c>
      <c r="E44" s="1625">
        <f t="shared" si="6"/>
        <v>0</v>
      </c>
      <c r="F44" s="1625">
        <f t="shared" si="6"/>
        <v>0</v>
      </c>
      <c r="G44" s="1625">
        <f t="shared" si="6"/>
        <v>0</v>
      </c>
      <c r="H44" s="1625">
        <f t="shared" si="6"/>
        <v>0</v>
      </c>
      <c r="I44" s="1625">
        <f t="shared" si="6"/>
        <v>0</v>
      </c>
      <c r="J44" s="1625">
        <f t="shared" si="6"/>
        <v>0</v>
      </c>
      <c r="K44" s="1625">
        <f t="shared" si="6"/>
        <v>0</v>
      </c>
      <c r="L44" s="521"/>
    </row>
    <row r="45" spans="1:12" ht="15.75" customHeight="1" thickTop="1" x14ac:dyDescent="0.2">
      <c r="A45" s="2242" t="s">
        <v>108</v>
      </c>
      <c r="B45" s="2243"/>
      <c r="C45" s="525"/>
      <c r="D45" s="525"/>
      <c r="E45" s="525"/>
      <c r="F45" s="525"/>
      <c r="G45" s="525"/>
      <c r="H45" s="525"/>
      <c r="I45" s="525"/>
      <c r="J45" s="525"/>
      <c r="K45" s="525"/>
      <c r="L45" s="347"/>
    </row>
    <row r="46" spans="1:12" s="483" customFormat="1" ht="15.75" customHeight="1" x14ac:dyDescent="0.2">
      <c r="A46" s="2250" t="s">
        <v>109</v>
      </c>
      <c r="B46" s="2251"/>
      <c r="C46" s="475"/>
      <c r="D46" s="475"/>
      <c r="E46" s="475"/>
      <c r="F46" s="475"/>
      <c r="G46" s="475"/>
      <c r="H46" s="475"/>
      <c r="I46" s="478"/>
      <c r="J46" s="475"/>
      <c r="K46" s="475"/>
      <c r="L46" s="526"/>
    </row>
    <row r="47" spans="1:12" s="483" customFormat="1" ht="15" x14ac:dyDescent="0.2">
      <c r="A47" s="1412" t="s">
        <v>1657</v>
      </c>
      <c r="B47" s="481">
        <v>8110</v>
      </c>
      <c r="C47" s="475"/>
      <c r="D47" s="475"/>
      <c r="E47" s="475"/>
      <c r="F47" s="475"/>
      <c r="G47" s="475"/>
      <c r="H47" s="475"/>
      <c r="I47" s="1665">
        <f>SUM(C24,C25:H25,J25:K25)</f>
        <v>0</v>
      </c>
      <c r="J47" s="475"/>
      <c r="K47" s="475"/>
      <c r="L47" s="526"/>
    </row>
    <row r="48" spans="1:12" s="483" customFormat="1" ht="15" x14ac:dyDescent="0.2">
      <c r="A48" s="1412" t="s">
        <v>1658</v>
      </c>
      <c r="B48" s="481">
        <v>8120</v>
      </c>
      <c r="C48" s="478"/>
      <c r="D48" s="478"/>
      <c r="E48" s="475"/>
      <c r="F48" s="478"/>
      <c r="G48" s="475"/>
      <c r="H48" s="475"/>
      <c r="I48" s="1665">
        <f>SUM(C26:H26,J26,K26)</f>
        <v>0</v>
      </c>
      <c r="J48" s="475"/>
      <c r="K48" s="475"/>
      <c r="L48" s="526"/>
    </row>
    <row r="49" spans="1:12" s="483" customFormat="1" x14ac:dyDescent="0.2">
      <c r="A49" s="1412" t="s">
        <v>185</v>
      </c>
      <c r="B49" s="481">
        <v>8130</v>
      </c>
      <c r="C49" s="465">
        <v>0</v>
      </c>
      <c r="D49" s="467">
        <v>0</v>
      </c>
      <c r="E49" s="478"/>
      <c r="F49" s="467">
        <v>0</v>
      </c>
      <c r="G49" s="478"/>
      <c r="H49" s="478"/>
      <c r="I49" s="475"/>
      <c r="J49" s="478"/>
      <c r="K49" s="475"/>
      <c r="L49" s="521"/>
    </row>
    <row r="50" spans="1:12" s="483" customFormat="1" x14ac:dyDescent="0.2">
      <c r="A50" s="1412" t="s">
        <v>1398</v>
      </c>
      <c r="B50" s="481">
        <v>8140</v>
      </c>
      <c r="C50" s="467">
        <v>0</v>
      </c>
      <c r="D50" s="467">
        <v>0</v>
      </c>
      <c r="E50" s="467">
        <v>0</v>
      </c>
      <c r="F50" s="467">
        <v>0</v>
      </c>
      <c r="G50" s="467">
        <v>0</v>
      </c>
      <c r="H50" s="467">
        <v>0</v>
      </c>
      <c r="I50" s="475"/>
      <c r="J50" s="467">
        <v>0</v>
      </c>
      <c r="K50" s="475"/>
      <c r="L50" s="521"/>
    </row>
    <row r="51" spans="1:12" s="483" customFormat="1" x14ac:dyDescent="0.2">
      <c r="A51" s="1412" t="s">
        <v>294</v>
      </c>
      <c r="B51" s="481">
        <v>8150</v>
      </c>
      <c r="C51" s="474"/>
      <c r="D51" s="474"/>
      <c r="E51" s="474"/>
      <c r="F51" s="474"/>
      <c r="G51" s="474"/>
      <c r="H51" s="1665">
        <f>SUM(D29)</f>
        <v>0</v>
      </c>
      <c r="I51" s="475"/>
      <c r="J51" s="474"/>
      <c r="K51" s="478"/>
      <c r="L51" s="521"/>
    </row>
    <row r="52" spans="1:12" s="483" customFormat="1" ht="26.25" x14ac:dyDescent="0.2">
      <c r="A52" s="1412" t="s">
        <v>1792</v>
      </c>
      <c r="B52" s="481">
        <v>8160</v>
      </c>
      <c r="C52" s="475"/>
      <c r="D52" s="475"/>
      <c r="E52" s="475"/>
      <c r="F52" s="475"/>
      <c r="G52" s="475"/>
      <c r="H52" s="475"/>
      <c r="I52" s="475"/>
      <c r="J52" s="475"/>
      <c r="K52" s="1665">
        <f>D30</f>
        <v>0</v>
      </c>
      <c r="L52" s="521"/>
    </row>
    <row r="53" spans="1:12" s="483" customFormat="1" ht="26.25" x14ac:dyDescent="0.2">
      <c r="A53" s="1412" t="s">
        <v>1791</v>
      </c>
      <c r="B53" s="481">
        <v>8170</v>
      </c>
      <c r="C53" s="478"/>
      <c r="D53" s="478"/>
      <c r="E53" s="475"/>
      <c r="F53" s="475"/>
      <c r="G53" s="475"/>
      <c r="H53" s="478"/>
      <c r="I53" s="475"/>
      <c r="J53" s="475"/>
      <c r="K53" s="1665">
        <f>E31</f>
        <v>0</v>
      </c>
      <c r="L53" s="521"/>
    </row>
    <row r="54" spans="1:12" s="483" customFormat="1" ht="13.5" thickBot="1" x14ac:dyDescent="0.25">
      <c r="A54" s="1412" t="s">
        <v>692</v>
      </c>
      <c r="B54" s="481">
        <v>8410</v>
      </c>
      <c r="C54" s="527">
        <v>0</v>
      </c>
      <c r="D54" s="527">
        <v>0</v>
      </c>
      <c r="E54" s="475"/>
      <c r="F54" s="475"/>
      <c r="G54" s="475"/>
      <c r="H54" s="527">
        <v>0</v>
      </c>
      <c r="I54" s="475"/>
      <c r="J54" s="475"/>
      <c r="K54" s="474"/>
      <c r="L54" s="521"/>
    </row>
    <row r="55" spans="1:12" s="483" customFormat="1" ht="14.25" thickTop="1" thickBot="1" x14ac:dyDescent="0.25">
      <c r="A55" s="1413" t="s">
        <v>693</v>
      </c>
      <c r="B55" s="481">
        <v>8420</v>
      </c>
      <c r="C55" s="528">
        <v>0</v>
      </c>
      <c r="D55" s="528">
        <v>0</v>
      </c>
      <c r="E55" s="475"/>
      <c r="F55" s="475"/>
      <c r="G55" s="475"/>
      <c r="H55" s="527">
        <v>0</v>
      </c>
      <c r="I55" s="475"/>
      <c r="J55" s="475"/>
      <c r="K55" s="475"/>
      <c r="L55" s="521"/>
    </row>
    <row r="56" spans="1:12" s="483" customFormat="1" ht="14.25" thickTop="1" thickBot="1" x14ac:dyDescent="0.25">
      <c r="A56" s="1412" t="s">
        <v>581</v>
      </c>
      <c r="B56" s="481">
        <v>8430</v>
      </c>
      <c r="C56" s="528">
        <v>0</v>
      </c>
      <c r="D56" s="528">
        <v>0</v>
      </c>
      <c r="E56" s="475"/>
      <c r="F56" s="475"/>
      <c r="G56" s="475"/>
      <c r="H56" s="527">
        <v>0</v>
      </c>
      <c r="I56" s="475"/>
      <c r="J56" s="475"/>
      <c r="K56" s="475"/>
      <c r="L56" s="521"/>
    </row>
    <row r="57" spans="1:12" s="483" customFormat="1" ht="14.25" thickTop="1" thickBot="1" x14ac:dyDescent="0.25">
      <c r="A57" s="1413" t="s">
        <v>578</v>
      </c>
      <c r="B57" s="481">
        <v>8440</v>
      </c>
      <c r="C57" s="528">
        <v>0</v>
      </c>
      <c r="D57" s="528">
        <v>0</v>
      </c>
      <c r="E57" s="475"/>
      <c r="F57" s="475"/>
      <c r="G57" s="475"/>
      <c r="H57" s="527">
        <v>0</v>
      </c>
      <c r="I57" s="475"/>
      <c r="J57" s="475"/>
      <c r="K57" s="475"/>
      <c r="L57" s="521"/>
    </row>
    <row r="58" spans="1:12" s="483" customFormat="1" ht="14.25" thickTop="1" thickBot="1" x14ac:dyDescent="0.25">
      <c r="A58" s="1412" t="s">
        <v>579</v>
      </c>
      <c r="B58" s="481">
        <v>8510</v>
      </c>
      <c r="C58" s="528">
        <v>0</v>
      </c>
      <c r="D58" s="528">
        <v>0</v>
      </c>
      <c r="E58" s="475"/>
      <c r="F58" s="475"/>
      <c r="G58" s="475"/>
      <c r="H58" s="527">
        <v>0</v>
      </c>
      <c r="I58" s="475"/>
      <c r="J58" s="475"/>
      <c r="K58" s="475"/>
      <c r="L58" s="521"/>
    </row>
    <row r="59" spans="1:12" s="483" customFormat="1" ht="14.25" thickTop="1" thickBot="1" x14ac:dyDescent="0.25">
      <c r="A59" s="1414" t="s">
        <v>694</v>
      </c>
      <c r="B59" s="481">
        <v>8520</v>
      </c>
      <c r="C59" s="528">
        <v>0</v>
      </c>
      <c r="D59" s="528">
        <v>0</v>
      </c>
      <c r="E59" s="475"/>
      <c r="F59" s="475"/>
      <c r="G59" s="475"/>
      <c r="H59" s="527">
        <v>0</v>
      </c>
      <c r="I59" s="475"/>
      <c r="J59" s="475"/>
      <c r="K59" s="475"/>
      <c r="L59" s="521"/>
    </row>
    <row r="60" spans="1:12" s="483" customFormat="1" ht="14.25" thickTop="1" thickBot="1" x14ac:dyDescent="0.25">
      <c r="A60" s="1412" t="s">
        <v>580</v>
      </c>
      <c r="B60" s="481">
        <v>8530</v>
      </c>
      <c r="C60" s="528">
        <v>0</v>
      </c>
      <c r="D60" s="528">
        <v>0</v>
      </c>
      <c r="E60" s="475"/>
      <c r="F60" s="475"/>
      <c r="G60" s="475"/>
      <c r="H60" s="527">
        <v>0</v>
      </c>
      <c r="I60" s="475"/>
      <c r="J60" s="475"/>
      <c r="K60" s="475"/>
      <c r="L60" s="521"/>
    </row>
    <row r="61" spans="1:12" s="483" customFormat="1" ht="14.25" thickTop="1" thickBot="1" x14ac:dyDescent="0.25">
      <c r="A61" s="1413" t="s">
        <v>743</v>
      </c>
      <c r="B61" s="481">
        <v>8540</v>
      </c>
      <c r="C61" s="528">
        <v>0</v>
      </c>
      <c r="D61" s="528">
        <v>0</v>
      </c>
      <c r="E61" s="475"/>
      <c r="F61" s="475"/>
      <c r="G61" s="475"/>
      <c r="H61" s="527">
        <v>0</v>
      </c>
      <c r="I61" s="475"/>
      <c r="J61" s="475"/>
      <c r="K61" s="475"/>
      <c r="L61" s="521"/>
    </row>
    <row r="62" spans="1:12" s="483" customFormat="1" ht="13.5" customHeight="1" thickTop="1" thickBot="1" x14ac:dyDescent="0.25">
      <c r="A62" s="1412" t="s">
        <v>744</v>
      </c>
      <c r="B62" s="481">
        <v>8610</v>
      </c>
      <c r="C62" s="528">
        <v>0</v>
      </c>
      <c r="D62" s="528">
        <v>0</v>
      </c>
      <c r="E62" s="475"/>
      <c r="F62" s="475"/>
      <c r="G62" s="475"/>
      <c r="H62" s="475"/>
      <c r="I62" s="475"/>
      <c r="J62" s="475"/>
      <c r="K62" s="475"/>
      <c r="L62" s="521"/>
    </row>
    <row r="63" spans="1:12" s="483" customFormat="1" ht="14.25" thickTop="1" thickBot="1" x14ac:dyDescent="0.25">
      <c r="A63" s="1413" t="s">
        <v>695</v>
      </c>
      <c r="B63" s="481">
        <v>8620</v>
      </c>
      <c r="C63" s="528">
        <v>0</v>
      </c>
      <c r="D63" s="528">
        <v>0</v>
      </c>
      <c r="E63" s="475"/>
      <c r="F63" s="475"/>
      <c r="G63" s="475"/>
      <c r="H63" s="475"/>
      <c r="I63" s="475"/>
      <c r="J63" s="475"/>
      <c r="K63" s="475"/>
      <c r="L63" s="521"/>
    </row>
    <row r="64" spans="1:12" s="483" customFormat="1" ht="13.5" customHeight="1" thickTop="1" thickBot="1" x14ac:dyDescent="0.25">
      <c r="A64" s="1412" t="s">
        <v>745</v>
      </c>
      <c r="B64" s="481">
        <v>8630</v>
      </c>
      <c r="C64" s="528">
        <v>0</v>
      </c>
      <c r="D64" s="528">
        <v>0</v>
      </c>
      <c r="E64" s="475"/>
      <c r="F64" s="475"/>
      <c r="G64" s="475"/>
      <c r="H64" s="475"/>
      <c r="I64" s="475"/>
      <c r="J64" s="475"/>
      <c r="K64" s="475"/>
      <c r="L64" s="521"/>
    </row>
    <row r="65" spans="1:12" s="483" customFormat="1" ht="14.25" thickTop="1" thickBot="1" x14ac:dyDescent="0.25">
      <c r="A65" s="1413" t="s">
        <v>746</v>
      </c>
      <c r="B65" s="481">
        <v>8640</v>
      </c>
      <c r="C65" s="528">
        <v>0</v>
      </c>
      <c r="D65" s="528">
        <v>0</v>
      </c>
      <c r="E65" s="475"/>
      <c r="F65" s="475"/>
      <c r="G65" s="475"/>
      <c r="H65" s="475"/>
      <c r="I65" s="475"/>
      <c r="J65" s="475"/>
      <c r="K65" s="475"/>
      <c r="L65" s="521"/>
    </row>
    <row r="66" spans="1:12" s="483" customFormat="1" ht="14.25" thickTop="1" thickBot="1" x14ac:dyDescent="0.25">
      <c r="A66" s="1412" t="s">
        <v>747</v>
      </c>
      <c r="B66" s="481">
        <v>8710</v>
      </c>
      <c r="C66" s="528">
        <v>0</v>
      </c>
      <c r="D66" s="528">
        <v>0</v>
      </c>
      <c r="E66" s="475"/>
      <c r="F66" s="475"/>
      <c r="G66" s="475"/>
      <c r="H66" s="475"/>
      <c r="I66" s="475"/>
      <c r="J66" s="475"/>
      <c r="K66" s="475"/>
      <c r="L66" s="521"/>
    </row>
    <row r="67" spans="1:12" s="483" customFormat="1" ht="14.25" thickTop="1" thickBot="1" x14ac:dyDescent="0.25">
      <c r="A67" s="1413" t="s">
        <v>696</v>
      </c>
      <c r="B67" s="481">
        <v>8720</v>
      </c>
      <c r="C67" s="528">
        <v>0</v>
      </c>
      <c r="D67" s="528">
        <v>0</v>
      </c>
      <c r="E67" s="475"/>
      <c r="F67" s="475"/>
      <c r="G67" s="475"/>
      <c r="H67" s="475"/>
      <c r="I67" s="475"/>
      <c r="J67" s="475"/>
      <c r="K67" s="475"/>
      <c r="L67" s="521"/>
    </row>
    <row r="68" spans="1:12" s="483" customFormat="1" ht="14.25" thickTop="1" thickBot="1" x14ac:dyDescent="0.25">
      <c r="A68" s="1414" t="s">
        <v>748</v>
      </c>
      <c r="B68" s="481">
        <v>8730</v>
      </c>
      <c r="C68" s="528">
        <v>0</v>
      </c>
      <c r="D68" s="528">
        <v>0</v>
      </c>
      <c r="E68" s="475"/>
      <c r="F68" s="475"/>
      <c r="G68" s="475"/>
      <c r="H68" s="475"/>
      <c r="I68" s="475"/>
      <c r="J68" s="475"/>
      <c r="K68" s="475"/>
      <c r="L68" s="521"/>
    </row>
    <row r="69" spans="1:12" s="483" customFormat="1" ht="14.25" thickTop="1" thickBot="1" x14ac:dyDescent="0.25">
      <c r="A69" s="1413" t="s">
        <v>749</v>
      </c>
      <c r="B69" s="481">
        <v>8740</v>
      </c>
      <c r="C69" s="528">
        <v>0</v>
      </c>
      <c r="D69" s="528">
        <v>0</v>
      </c>
      <c r="E69" s="475"/>
      <c r="F69" s="475"/>
      <c r="G69" s="475"/>
      <c r="H69" s="475"/>
      <c r="I69" s="475"/>
      <c r="J69" s="475"/>
      <c r="K69" s="475"/>
      <c r="L69" s="521"/>
    </row>
    <row r="70" spans="1:12" s="483" customFormat="1" ht="14.25" thickTop="1" thickBot="1" x14ac:dyDescent="0.25">
      <c r="A70" s="1412" t="s">
        <v>750</v>
      </c>
      <c r="B70" s="481">
        <v>8810</v>
      </c>
      <c r="C70" s="528">
        <v>0</v>
      </c>
      <c r="D70" s="528">
        <v>0</v>
      </c>
      <c r="E70" s="475"/>
      <c r="F70" s="475"/>
      <c r="G70" s="475"/>
      <c r="H70" s="475"/>
      <c r="I70" s="475"/>
      <c r="J70" s="475"/>
      <c r="K70" s="475"/>
      <c r="L70" s="521"/>
    </row>
    <row r="71" spans="1:12" s="483" customFormat="1" ht="14.25" thickTop="1" thickBot="1" x14ac:dyDescent="0.25">
      <c r="A71" s="1412" t="s">
        <v>754</v>
      </c>
      <c r="B71" s="481">
        <v>8820</v>
      </c>
      <c r="C71" s="528">
        <v>0</v>
      </c>
      <c r="D71" s="528">
        <v>0</v>
      </c>
      <c r="E71" s="475"/>
      <c r="F71" s="475"/>
      <c r="G71" s="475"/>
      <c r="H71" s="475"/>
      <c r="I71" s="475"/>
      <c r="J71" s="475"/>
      <c r="K71" s="475"/>
      <c r="L71" s="521"/>
    </row>
    <row r="72" spans="1:12" s="483" customFormat="1" ht="14.25" thickTop="1" thickBot="1" x14ac:dyDescent="0.25">
      <c r="A72" s="1412" t="s">
        <v>751</v>
      </c>
      <c r="B72" s="481">
        <v>8830</v>
      </c>
      <c r="C72" s="528">
        <v>0</v>
      </c>
      <c r="D72" s="528">
        <v>0</v>
      </c>
      <c r="E72" s="475"/>
      <c r="F72" s="475"/>
      <c r="G72" s="475"/>
      <c r="H72" s="475"/>
      <c r="I72" s="475"/>
      <c r="J72" s="475"/>
      <c r="K72" s="475"/>
      <c r="L72" s="521"/>
    </row>
    <row r="73" spans="1:12" s="483" customFormat="1" ht="14.25" thickTop="1" thickBot="1" x14ac:dyDescent="0.25">
      <c r="A73" s="1412" t="s">
        <v>752</v>
      </c>
      <c r="B73" s="481">
        <v>8840</v>
      </c>
      <c r="C73" s="528">
        <v>0</v>
      </c>
      <c r="D73" s="528">
        <v>0</v>
      </c>
      <c r="E73" s="475"/>
      <c r="F73" s="475"/>
      <c r="G73" s="475"/>
      <c r="H73" s="475"/>
      <c r="I73" s="475"/>
      <c r="J73" s="475"/>
      <c r="K73" s="478"/>
      <c r="L73" s="521"/>
    </row>
    <row r="74" spans="1:12" s="483" customFormat="1" ht="14.25" thickTop="1" thickBot="1" x14ac:dyDescent="0.25">
      <c r="A74" s="1412"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15"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224" t="s">
        <v>440</v>
      </c>
      <c r="B76" s="2225"/>
      <c r="C76" s="1625">
        <f t="shared" ref="C76:K76" si="7">SUM(C47:C75)</f>
        <v>0</v>
      </c>
      <c r="D76" s="1625">
        <f t="shared" si="7"/>
        <v>0</v>
      </c>
      <c r="E76" s="1625">
        <f t="shared" si="7"/>
        <v>0</v>
      </c>
      <c r="F76" s="1625">
        <f t="shared" si="7"/>
        <v>0</v>
      </c>
      <c r="G76" s="1625">
        <f t="shared" si="7"/>
        <v>0</v>
      </c>
      <c r="H76" s="1625">
        <f t="shared" si="7"/>
        <v>0</v>
      </c>
      <c r="I76" s="1625">
        <f t="shared" si="7"/>
        <v>0</v>
      </c>
      <c r="J76" s="1625">
        <f t="shared" si="7"/>
        <v>0</v>
      </c>
      <c r="K76" s="1625">
        <f t="shared" si="7"/>
        <v>0</v>
      </c>
      <c r="L76" s="521"/>
    </row>
    <row r="77" spans="1:12" ht="14.25" thickTop="1" thickBot="1" x14ac:dyDescent="0.25">
      <c r="A77" s="2226" t="s">
        <v>1177</v>
      </c>
      <c r="B77" s="2227"/>
      <c r="C77" s="1625">
        <f t="shared" ref="C77:K77" si="8">C44-C76</f>
        <v>150</v>
      </c>
      <c r="D77" s="1625">
        <f t="shared" si="8"/>
        <v>0</v>
      </c>
      <c r="E77" s="1625">
        <f t="shared" si="8"/>
        <v>0</v>
      </c>
      <c r="F77" s="1625">
        <f t="shared" si="8"/>
        <v>0</v>
      </c>
      <c r="G77" s="1625">
        <f t="shared" si="8"/>
        <v>0</v>
      </c>
      <c r="H77" s="1625">
        <f t="shared" si="8"/>
        <v>0</v>
      </c>
      <c r="I77" s="1625">
        <f t="shared" si="8"/>
        <v>0</v>
      </c>
      <c r="J77" s="1625">
        <f t="shared" si="8"/>
        <v>0</v>
      </c>
      <c r="K77" s="1625">
        <f t="shared" si="8"/>
        <v>0</v>
      </c>
      <c r="L77" s="347"/>
    </row>
    <row r="78" spans="1:12" ht="21.75" customHeight="1" thickTop="1" thickBot="1" x14ac:dyDescent="0.25">
      <c r="A78" s="2230" t="s">
        <v>597</v>
      </c>
      <c r="B78" s="2231"/>
      <c r="C78" s="1624">
        <f t="shared" ref="C78:K78" si="9">C20+C77</f>
        <v>54295</v>
      </c>
      <c r="D78" s="1624">
        <f t="shared" si="9"/>
        <v>0</v>
      </c>
      <c r="E78" s="1624">
        <f t="shared" si="9"/>
        <v>0</v>
      </c>
      <c r="F78" s="1624">
        <f t="shared" si="9"/>
        <v>0</v>
      </c>
      <c r="G78" s="1624">
        <f t="shared" si="9"/>
        <v>0</v>
      </c>
      <c r="H78" s="1624">
        <f t="shared" si="9"/>
        <v>0</v>
      </c>
      <c r="I78" s="1624">
        <f t="shared" si="9"/>
        <v>0</v>
      </c>
      <c r="J78" s="1624">
        <f t="shared" si="9"/>
        <v>0</v>
      </c>
      <c r="K78" s="1624">
        <f t="shared" si="9"/>
        <v>0</v>
      </c>
      <c r="L78" s="530"/>
    </row>
    <row r="79" spans="1:12" ht="13.5" thickTop="1" x14ac:dyDescent="0.2">
      <c r="A79" s="1416" t="s">
        <v>1943</v>
      </c>
      <c r="B79" s="531"/>
      <c r="C79" s="476">
        <v>1319644</v>
      </c>
      <c r="D79" s="476">
        <v>0</v>
      </c>
      <c r="E79" s="476">
        <v>0</v>
      </c>
      <c r="F79" s="476">
        <v>0</v>
      </c>
      <c r="G79" s="476">
        <v>0</v>
      </c>
      <c r="H79" s="476">
        <v>0</v>
      </c>
      <c r="I79" s="476">
        <v>0</v>
      </c>
      <c r="J79" s="476">
        <v>0</v>
      </c>
      <c r="K79" s="476">
        <v>0</v>
      </c>
      <c r="L79" s="347"/>
    </row>
    <row r="80" spans="1:12" x14ac:dyDescent="0.2">
      <c r="A80" s="2236" t="s">
        <v>1790</v>
      </c>
      <c r="B80" s="2237"/>
      <c r="C80" s="467">
        <v>0</v>
      </c>
      <c r="D80" s="467">
        <v>0</v>
      </c>
      <c r="E80" s="467">
        <v>0</v>
      </c>
      <c r="F80" s="467">
        <v>0</v>
      </c>
      <c r="G80" s="467">
        <v>0</v>
      </c>
      <c r="H80" s="467">
        <v>0</v>
      </c>
      <c r="I80" s="467">
        <v>0</v>
      </c>
      <c r="J80" s="467">
        <v>0</v>
      </c>
      <c r="K80" s="467">
        <v>0</v>
      </c>
      <c r="L80" s="347"/>
    </row>
    <row r="81" spans="1:12" ht="13.5" thickBot="1" x14ac:dyDescent="0.25">
      <c r="A81" s="2228" t="s">
        <v>1944</v>
      </c>
      <c r="B81" s="2229"/>
      <c r="C81" s="1610">
        <f>(SUM(C78:C80))</f>
        <v>1373939</v>
      </c>
      <c r="D81" s="1610">
        <f>SUM(D78:D80)</f>
        <v>0</v>
      </c>
      <c r="E81" s="1610">
        <f t="shared" ref="E81:K81" si="10">SUM(E78:E80)</f>
        <v>0</v>
      </c>
      <c r="F81" s="1610">
        <f t="shared" si="10"/>
        <v>0</v>
      </c>
      <c r="G81" s="1610">
        <f t="shared" si="10"/>
        <v>0</v>
      </c>
      <c r="H81" s="1610">
        <f t="shared" si="10"/>
        <v>0</v>
      </c>
      <c r="I81" s="1610">
        <f t="shared" si="10"/>
        <v>0</v>
      </c>
      <c r="J81" s="1610">
        <f t="shared" si="10"/>
        <v>0</v>
      </c>
      <c r="K81" s="1610">
        <f t="shared" si="10"/>
        <v>0</v>
      </c>
      <c r="L81" s="347"/>
    </row>
    <row r="82" spans="1:12" ht="0.75" customHeight="1" thickTop="1" thickBot="1" x14ac:dyDescent="0.25">
      <c r="A82" s="533" t="s">
        <v>343</v>
      </c>
      <c r="B82" s="534"/>
      <c r="C82" s="535">
        <f>(C81-C79)</f>
        <v>54295</v>
      </c>
      <c r="D82" s="535">
        <f t="shared" ref="D82:K82" si="11">(D81-D79)</f>
        <v>0</v>
      </c>
      <c r="E82" s="535">
        <f t="shared" si="11"/>
        <v>0</v>
      </c>
      <c r="F82" s="535">
        <f t="shared" si="11"/>
        <v>0</v>
      </c>
      <c r="G82" s="535">
        <f t="shared" si="11"/>
        <v>0</v>
      </c>
      <c r="H82" s="535">
        <f t="shared" si="11"/>
        <v>0</v>
      </c>
      <c r="I82" s="535">
        <f t="shared" si="11"/>
        <v>0</v>
      </c>
      <c r="J82" s="535">
        <f t="shared" si="11"/>
        <v>0</v>
      </c>
      <c r="K82" s="535">
        <f t="shared" si="11"/>
        <v>0</v>
      </c>
    </row>
    <row r="83" spans="1:12" ht="14.25" hidden="1" thickTop="1" thickBot="1" x14ac:dyDescent="0.25">
      <c r="A83" s="536" t="s">
        <v>344</v>
      </c>
      <c r="B83" s="464"/>
      <c r="C83" s="537">
        <f>C82/C81</f>
        <v>3.9517766072584011E-2</v>
      </c>
      <c r="D83" s="537" t="e">
        <f t="shared" ref="D83:K83" si="12">D82/D81</f>
        <v>#DIV/0!</v>
      </c>
      <c r="E83" s="537" t="e">
        <f t="shared" si="12"/>
        <v>#DIV/0!</v>
      </c>
      <c r="F83" s="537" t="e">
        <f t="shared" si="12"/>
        <v>#DIV/0!</v>
      </c>
      <c r="G83" s="537" t="e">
        <f t="shared" si="12"/>
        <v>#DIV/0!</v>
      </c>
      <c r="H83" s="537" t="e">
        <f t="shared" si="12"/>
        <v>#DIV/0!</v>
      </c>
      <c r="I83" s="537" t="e">
        <f t="shared" si="12"/>
        <v>#DIV/0!</v>
      </c>
      <c r="J83" s="537" t="e">
        <f t="shared" si="12"/>
        <v>#DIV/0!</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17" sqref="A17:J17"/>
      <selection pane="bottomLeft" activeCell="C33" sqref="C33"/>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232" t="s">
        <v>1797</v>
      </c>
      <c r="B1" s="452"/>
      <c r="C1" s="453" t="s">
        <v>425</v>
      </c>
      <c r="D1" s="453" t="s">
        <v>426</v>
      </c>
      <c r="E1" s="453" t="s">
        <v>427</v>
      </c>
      <c r="F1" s="453" t="s">
        <v>428</v>
      </c>
      <c r="G1" s="453" t="s">
        <v>429</v>
      </c>
      <c r="H1" s="453" t="s">
        <v>430</v>
      </c>
      <c r="I1" s="453" t="s">
        <v>431</v>
      </c>
      <c r="J1" s="453" t="s">
        <v>432</v>
      </c>
      <c r="K1" s="453" t="s">
        <v>756</v>
      </c>
    </row>
    <row r="2" spans="1:12" ht="36" x14ac:dyDescent="0.2">
      <c r="A2" s="2233"/>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01" t="s">
        <v>113</v>
      </c>
      <c r="B3" s="1502"/>
      <c r="C3" s="1503"/>
      <c r="D3" s="1503"/>
      <c r="E3" s="1503"/>
      <c r="F3" s="1504"/>
      <c r="G3" s="1505"/>
      <c r="H3" s="1504"/>
      <c r="I3" s="1504"/>
      <c r="J3" s="1504"/>
      <c r="K3" s="1506"/>
    </row>
    <row r="4" spans="1:12" ht="15.75" customHeight="1" x14ac:dyDescent="0.2">
      <c r="A4" s="1512" t="s">
        <v>379</v>
      </c>
      <c r="B4" s="1513">
        <v>1100</v>
      </c>
      <c r="C4" s="540"/>
      <c r="D4" s="540"/>
      <c r="E4" s="540"/>
      <c r="F4" s="541"/>
      <c r="G4" s="542"/>
      <c r="H4" s="543"/>
      <c r="I4" s="543"/>
      <c r="J4" s="543"/>
      <c r="K4" s="543"/>
    </row>
    <row r="5" spans="1:12" ht="15" x14ac:dyDescent="0.2">
      <c r="A5" s="490" t="s">
        <v>1659</v>
      </c>
      <c r="B5" s="544"/>
      <c r="C5" s="479">
        <v>0</v>
      </c>
      <c r="D5" s="479">
        <v>0</v>
      </c>
      <c r="E5" s="466">
        <v>0</v>
      </c>
      <c r="F5" s="545">
        <v>0</v>
      </c>
      <c r="G5" s="466">
        <v>0</v>
      </c>
      <c r="H5" s="466">
        <v>0</v>
      </c>
      <c r="I5" s="466">
        <v>0</v>
      </c>
      <c r="J5" s="467">
        <v>0</v>
      </c>
      <c r="K5" s="466">
        <v>0</v>
      </c>
    </row>
    <row r="6" spans="1:12" ht="15" x14ac:dyDescent="0.2">
      <c r="A6" s="463" t="s">
        <v>1660</v>
      </c>
      <c r="B6" s="470">
        <v>1130</v>
      </c>
      <c r="C6" s="466">
        <v>0</v>
      </c>
      <c r="D6" s="466">
        <v>0</v>
      </c>
      <c r="E6" s="474"/>
      <c r="F6" s="474"/>
      <c r="G6" s="468"/>
      <c r="H6" s="468"/>
      <c r="I6" s="468"/>
      <c r="J6" s="468"/>
      <c r="K6" s="468"/>
    </row>
    <row r="7" spans="1:12" x14ac:dyDescent="0.2">
      <c r="A7" s="463" t="s">
        <v>110</v>
      </c>
      <c r="B7" s="546">
        <v>1140</v>
      </c>
      <c r="C7" s="466">
        <v>0</v>
      </c>
      <c r="D7" s="466">
        <v>0</v>
      </c>
      <c r="E7" s="468"/>
      <c r="F7" s="467">
        <v>0</v>
      </c>
      <c r="G7" s="467">
        <v>0</v>
      </c>
      <c r="H7" s="467">
        <v>0</v>
      </c>
      <c r="I7" s="468"/>
      <c r="J7" s="468"/>
      <c r="K7" s="468"/>
    </row>
    <row r="8" spans="1:12" x14ac:dyDescent="0.2">
      <c r="A8" s="463" t="s">
        <v>413</v>
      </c>
      <c r="B8" s="470">
        <v>1150</v>
      </c>
      <c r="C8" s="474"/>
      <c r="D8" s="474"/>
      <c r="E8" s="475"/>
      <c r="F8" s="475"/>
      <c r="G8" s="479">
        <v>0</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627" t="s">
        <v>29</v>
      </c>
      <c r="B12" s="1628"/>
      <c r="C12" s="1629">
        <f t="shared" ref="C12:K12" si="0">SUM(C5:C11)</f>
        <v>0</v>
      </c>
      <c r="D12" s="1629">
        <f t="shared" si="0"/>
        <v>0</v>
      </c>
      <c r="E12" s="1629">
        <f t="shared" si="0"/>
        <v>0</v>
      </c>
      <c r="F12" s="1629">
        <f t="shared" si="0"/>
        <v>0</v>
      </c>
      <c r="G12" s="1629">
        <f t="shared" si="0"/>
        <v>0</v>
      </c>
      <c r="H12" s="1629">
        <f t="shared" si="0"/>
        <v>0</v>
      </c>
      <c r="I12" s="1629">
        <f t="shared" si="0"/>
        <v>0</v>
      </c>
      <c r="J12" s="1629">
        <f t="shared" si="0"/>
        <v>0</v>
      </c>
      <c r="K12" s="1610">
        <f t="shared" si="0"/>
        <v>0</v>
      </c>
    </row>
    <row r="13" spans="1:12" ht="15.75" customHeight="1" thickTop="1" x14ac:dyDescent="0.2">
      <c r="A13" s="1514" t="s">
        <v>451</v>
      </c>
      <c r="B13" s="1515">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1661</v>
      </c>
      <c r="B16" s="546">
        <v>1230</v>
      </c>
      <c r="C16" s="548">
        <v>0</v>
      </c>
      <c r="D16" s="466">
        <v>0</v>
      </c>
      <c r="E16" s="466">
        <v>0</v>
      </c>
      <c r="F16" s="466">
        <v>0</v>
      </c>
      <c r="G16" s="466">
        <v>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630" t="s">
        <v>537</v>
      </c>
      <c r="B18" s="1631"/>
      <c r="C18" s="1632">
        <f>SUM(C14:C17)</f>
        <v>0</v>
      </c>
      <c r="D18" s="1632">
        <f t="shared" ref="D18:K18" si="1">SUM(D14:D17)</f>
        <v>0</v>
      </c>
      <c r="E18" s="1632">
        <f t="shared" si="1"/>
        <v>0</v>
      </c>
      <c r="F18" s="1632">
        <f t="shared" si="1"/>
        <v>0</v>
      </c>
      <c r="G18" s="1632">
        <f t="shared" si="1"/>
        <v>0</v>
      </c>
      <c r="H18" s="1632">
        <f t="shared" si="1"/>
        <v>0</v>
      </c>
      <c r="I18" s="1632">
        <f t="shared" si="1"/>
        <v>0</v>
      </c>
      <c r="J18" s="1632">
        <f t="shared" si="1"/>
        <v>0</v>
      </c>
      <c r="K18" s="1633">
        <f t="shared" si="1"/>
        <v>0</v>
      </c>
    </row>
    <row r="19" spans="1:11" ht="15.75" customHeight="1" thickTop="1" x14ac:dyDescent="0.2">
      <c r="A19" s="1514" t="s">
        <v>452</v>
      </c>
      <c r="B19" s="1515">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4918703</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17" t="s">
        <v>594</v>
      </c>
      <c r="B39" s="553">
        <v>1354</v>
      </c>
      <c r="C39" s="486">
        <v>0</v>
      </c>
      <c r="D39" s="468"/>
      <c r="E39" s="468"/>
      <c r="F39" s="468"/>
      <c r="G39" s="468"/>
      <c r="H39" s="468"/>
      <c r="I39" s="468"/>
      <c r="J39" s="468"/>
      <c r="K39" s="468"/>
    </row>
    <row r="40" spans="1:11" ht="12.75" customHeight="1" thickBot="1" x14ac:dyDescent="0.25">
      <c r="A40" s="1630" t="s">
        <v>538</v>
      </c>
      <c r="B40" s="1631"/>
      <c r="C40" s="1610">
        <f>SUM(C20:C39)</f>
        <v>4918703</v>
      </c>
      <c r="D40" s="468"/>
      <c r="E40" s="468"/>
      <c r="F40" s="468"/>
      <c r="G40" s="468"/>
      <c r="H40" s="468"/>
      <c r="I40" s="468"/>
      <c r="J40" s="468"/>
      <c r="K40" s="468"/>
    </row>
    <row r="41" spans="1:11" ht="15.75" customHeight="1" thickTop="1" x14ac:dyDescent="0.2">
      <c r="A41" s="1514" t="s">
        <v>274</v>
      </c>
      <c r="B41" s="1515">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18" t="s">
        <v>60</v>
      </c>
      <c r="B51" s="554">
        <v>1431</v>
      </c>
      <c r="C51" s="468"/>
      <c r="D51" s="468"/>
      <c r="E51" s="468"/>
      <c r="F51" s="466">
        <v>0</v>
      </c>
      <c r="G51" s="468"/>
      <c r="H51" s="468"/>
      <c r="I51" s="468"/>
      <c r="J51" s="468"/>
      <c r="K51" s="468"/>
    </row>
    <row r="52" spans="1:11" ht="12.75" customHeight="1" x14ac:dyDescent="0.2">
      <c r="A52" s="1418" t="s">
        <v>1106</v>
      </c>
      <c r="B52" s="554">
        <v>1432</v>
      </c>
      <c r="C52" s="468"/>
      <c r="D52" s="468"/>
      <c r="E52" s="468"/>
      <c r="F52" s="466">
        <v>0</v>
      </c>
      <c r="G52" s="468"/>
      <c r="H52" s="468"/>
      <c r="I52" s="468"/>
      <c r="J52" s="468"/>
      <c r="K52" s="468"/>
    </row>
    <row r="53" spans="1:11" ht="12.75" customHeight="1" x14ac:dyDescent="0.2">
      <c r="A53" s="1418" t="s">
        <v>61</v>
      </c>
      <c r="B53" s="554">
        <v>1433</v>
      </c>
      <c r="C53" s="468"/>
      <c r="D53" s="468"/>
      <c r="E53" s="468"/>
      <c r="F53" s="466">
        <v>0</v>
      </c>
      <c r="G53" s="468"/>
      <c r="H53" s="468"/>
      <c r="I53" s="468"/>
      <c r="J53" s="468"/>
      <c r="K53" s="468"/>
    </row>
    <row r="54" spans="1:11" ht="12.75" customHeight="1" x14ac:dyDescent="0.2">
      <c r="A54" s="1418" t="s">
        <v>62</v>
      </c>
      <c r="B54" s="554">
        <v>1434</v>
      </c>
      <c r="C54" s="468"/>
      <c r="D54" s="468"/>
      <c r="E54" s="468"/>
      <c r="F54" s="467">
        <v>0</v>
      </c>
      <c r="G54" s="468"/>
      <c r="H54" s="468"/>
      <c r="I54" s="468"/>
      <c r="J54" s="468"/>
      <c r="K54" s="468"/>
    </row>
    <row r="55" spans="1:11" ht="12.75" customHeight="1" x14ac:dyDescent="0.2">
      <c r="A55" s="1418" t="s">
        <v>63</v>
      </c>
      <c r="B55" s="554">
        <v>1441</v>
      </c>
      <c r="C55" s="468"/>
      <c r="D55" s="468"/>
      <c r="E55" s="468"/>
      <c r="F55" s="466">
        <v>0</v>
      </c>
      <c r="G55" s="468"/>
      <c r="H55" s="468"/>
      <c r="I55" s="468"/>
      <c r="J55" s="468"/>
      <c r="K55" s="468"/>
    </row>
    <row r="56" spans="1:11" ht="12.75" customHeight="1" x14ac:dyDescent="0.2">
      <c r="A56" s="1418" t="s">
        <v>1107</v>
      </c>
      <c r="B56" s="554">
        <v>1442</v>
      </c>
      <c r="C56" s="468"/>
      <c r="D56" s="468"/>
      <c r="E56" s="468"/>
      <c r="F56" s="466">
        <v>0</v>
      </c>
      <c r="G56" s="468"/>
      <c r="H56" s="468"/>
      <c r="I56" s="468"/>
      <c r="J56" s="468"/>
      <c r="K56" s="468"/>
    </row>
    <row r="57" spans="1:11" ht="12.75" customHeight="1" x14ac:dyDescent="0.2">
      <c r="A57" s="1418" t="s">
        <v>489</v>
      </c>
      <c r="B57" s="554">
        <v>1443</v>
      </c>
      <c r="C57" s="468"/>
      <c r="D57" s="468"/>
      <c r="E57" s="468"/>
      <c r="F57" s="466">
        <v>0</v>
      </c>
      <c r="G57" s="468"/>
      <c r="H57" s="468"/>
      <c r="I57" s="468"/>
      <c r="J57" s="468"/>
      <c r="K57" s="468"/>
    </row>
    <row r="58" spans="1:11" ht="12.75" customHeight="1" x14ac:dyDescent="0.2">
      <c r="A58" s="1418" t="s">
        <v>65</v>
      </c>
      <c r="B58" s="554">
        <v>1444</v>
      </c>
      <c r="C58" s="468"/>
      <c r="D58" s="468"/>
      <c r="E58" s="468"/>
      <c r="F58" s="466">
        <v>0</v>
      </c>
      <c r="G58" s="468"/>
      <c r="H58" s="468"/>
      <c r="I58" s="468"/>
      <c r="J58" s="468"/>
      <c r="K58" s="468"/>
    </row>
    <row r="59" spans="1:11" ht="12.75" customHeight="1" x14ac:dyDescent="0.2">
      <c r="A59" s="1418" t="s">
        <v>878</v>
      </c>
      <c r="B59" s="554">
        <v>1451</v>
      </c>
      <c r="C59" s="468"/>
      <c r="D59" s="468"/>
      <c r="E59" s="468"/>
      <c r="F59" s="466">
        <v>0</v>
      </c>
      <c r="G59" s="468"/>
      <c r="H59" s="468"/>
      <c r="I59" s="468"/>
      <c r="J59" s="468"/>
      <c r="K59" s="468"/>
    </row>
    <row r="60" spans="1:11" ht="12.75" customHeight="1" x14ac:dyDescent="0.2">
      <c r="A60" s="1418"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19" t="s">
        <v>880</v>
      </c>
      <c r="B62" s="555">
        <v>1454</v>
      </c>
      <c r="C62" s="468"/>
      <c r="D62" s="468"/>
      <c r="E62" s="468"/>
      <c r="F62" s="467">
        <v>0</v>
      </c>
      <c r="G62" s="468"/>
      <c r="H62" s="468"/>
      <c r="I62" s="468"/>
      <c r="J62" s="468"/>
      <c r="K62" s="468"/>
    </row>
    <row r="63" spans="1:11" ht="12.75" customHeight="1" thickBot="1" x14ac:dyDescent="0.25">
      <c r="A63" s="1630" t="s">
        <v>485</v>
      </c>
      <c r="B63" s="1631"/>
      <c r="C63" s="468"/>
      <c r="D63" s="468"/>
      <c r="E63" s="468"/>
      <c r="F63" s="1610">
        <f>SUM(F42:F62)</f>
        <v>0</v>
      </c>
      <c r="G63" s="468"/>
      <c r="H63" s="468"/>
      <c r="I63" s="468"/>
      <c r="J63" s="468"/>
      <c r="K63" s="468"/>
    </row>
    <row r="64" spans="1:11" ht="15.75" customHeight="1" thickTop="1" x14ac:dyDescent="0.2">
      <c r="A64" s="1514" t="s">
        <v>454</v>
      </c>
      <c r="B64" s="1515">
        <v>1500</v>
      </c>
      <c r="C64" s="468"/>
      <c r="D64" s="468"/>
      <c r="E64" s="468"/>
      <c r="F64" s="468"/>
      <c r="G64" s="468"/>
      <c r="H64" s="468"/>
      <c r="I64" s="468"/>
      <c r="J64" s="468"/>
      <c r="K64" s="468"/>
    </row>
    <row r="65" spans="1:11" ht="12.75" customHeight="1" x14ac:dyDescent="0.2">
      <c r="A65" s="463" t="s">
        <v>547</v>
      </c>
      <c r="B65" s="470">
        <v>1510</v>
      </c>
      <c r="C65" s="466">
        <v>4580</v>
      </c>
      <c r="D65" s="466">
        <v>0</v>
      </c>
      <c r="E65" s="466">
        <v>0</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630" t="s">
        <v>486</v>
      </c>
      <c r="B67" s="1631"/>
      <c r="C67" s="1610">
        <f>SUM(C65:C66)</f>
        <v>4580</v>
      </c>
      <c r="D67" s="1610">
        <f t="shared" ref="D67:K67" si="2">SUM(D65:D66)</f>
        <v>0</v>
      </c>
      <c r="E67" s="1610">
        <f t="shared" si="2"/>
        <v>0</v>
      </c>
      <c r="F67" s="1610">
        <f t="shared" si="2"/>
        <v>0</v>
      </c>
      <c r="G67" s="1610">
        <f t="shared" si="2"/>
        <v>0</v>
      </c>
      <c r="H67" s="1610">
        <f t="shared" si="2"/>
        <v>0</v>
      </c>
      <c r="I67" s="1610">
        <f t="shared" si="2"/>
        <v>0</v>
      </c>
      <c r="J67" s="1610">
        <f t="shared" si="2"/>
        <v>0</v>
      </c>
      <c r="K67" s="1610">
        <f t="shared" si="2"/>
        <v>0</v>
      </c>
    </row>
    <row r="68" spans="1:11" ht="15.75" customHeight="1" thickTop="1" x14ac:dyDescent="0.2">
      <c r="A68" s="1514" t="s">
        <v>455</v>
      </c>
      <c r="B68" s="1516">
        <v>1600</v>
      </c>
      <c r="C68" s="550"/>
      <c r="D68" s="468"/>
      <c r="E68" s="468"/>
      <c r="F68" s="468"/>
      <c r="G68" s="468"/>
      <c r="H68" s="468"/>
      <c r="I68" s="468"/>
      <c r="J68" s="468"/>
      <c r="K68" s="468"/>
    </row>
    <row r="69" spans="1:11" ht="12.75" customHeight="1" x14ac:dyDescent="0.2">
      <c r="A69" s="463" t="s">
        <v>666</v>
      </c>
      <c r="B69" s="470">
        <v>1611</v>
      </c>
      <c r="C69" s="466">
        <v>1268</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1736</v>
      </c>
      <c r="D73" s="468"/>
      <c r="E73" s="468"/>
      <c r="F73" s="468"/>
      <c r="G73" s="468"/>
      <c r="H73" s="468"/>
      <c r="I73" s="468"/>
      <c r="J73" s="468"/>
      <c r="K73" s="468"/>
    </row>
    <row r="74" spans="1:11" ht="12.75" customHeight="1" x14ac:dyDescent="0.2">
      <c r="A74" s="463" t="s">
        <v>25</v>
      </c>
      <c r="B74" s="470">
        <v>1690</v>
      </c>
      <c r="C74" s="548">
        <v>2140</v>
      </c>
      <c r="D74" s="468"/>
      <c r="E74" s="468"/>
      <c r="F74" s="468"/>
      <c r="G74" s="468"/>
      <c r="H74" s="468"/>
      <c r="I74" s="468"/>
      <c r="J74" s="468"/>
      <c r="K74" s="468"/>
    </row>
    <row r="75" spans="1:11" ht="12.75" customHeight="1" thickBot="1" x14ac:dyDescent="0.25">
      <c r="A75" s="1630" t="s">
        <v>548</v>
      </c>
      <c r="B75" s="1631"/>
      <c r="C75" s="1610">
        <f>SUM(C69:C74)</f>
        <v>5144</v>
      </c>
      <c r="D75" s="468"/>
      <c r="E75" s="468"/>
      <c r="F75" s="468"/>
      <c r="G75" s="468"/>
      <c r="H75" s="468"/>
      <c r="I75" s="468"/>
      <c r="J75" s="468"/>
      <c r="K75" s="468"/>
    </row>
    <row r="76" spans="1:11" ht="15.75" customHeight="1" thickTop="1" x14ac:dyDescent="0.2">
      <c r="A76" s="1514" t="s">
        <v>881</v>
      </c>
      <c r="B76" s="1516">
        <v>1700</v>
      </c>
      <c r="C76" s="550"/>
      <c r="D76" s="468"/>
      <c r="E76" s="468"/>
      <c r="F76" s="468"/>
      <c r="G76" s="468"/>
      <c r="H76" s="468"/>
      <c r="I76" s="468"/>
      <c r="J76" s="468"/>
      <c r="K76" s="468"/>
    </row>
    <row r="77" spans="1:11" ht="12.75" customHeight="1" x14ac:dyDescent="0.2">
      <c r="A77" s="463" t="s">
        <v>549</v>
      </c>
      <c r="B77" s="470">
        <v>1711</v>
      </c>
      <c r="C77" s="513">
        <v>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630" t="s">
        <v>241</v>
      </c>
      <c r="B82" s="1631"/>
      <c r="C82" s="1629">
        <f>SUM(C77:C81)</f>
        <v>0</v>
      </c>
      <c r="D82" s="1610">
        <f>SUM(D77:D81)</f>
        <v>0</v>
      </c>
      <c r="E82" s="468"/>
      <c r="F82" s="468"/>
      <c r="G82" s="468"/>
      <c r="H82" s="468"/>
      <c r="I82" s="468"/>
      <c r="J82" s="468"/>
      <c r="K82" s="468"/>
    </row>
    <row r="83" spans="1:11" ht="15.75" customHeight="1" thickTop="1" x14ac:dyDescent="0.2">
      <c r="A83" s="1514" t="s">
        <v>242</v>
      </c>
      <c r="B83" s="1516">
        <v>1800</v>
      </c>
      <c r="C83" s="550"/>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630" t="s">
        <v>243</v>
      </c>
      <c r="B93" s="1631"/>
      <c r="C93" s="1610">
        <f>SUM(C84:C92)</f>
        <v>0</v>
      </c>
      <c r="D93" s="468"/>
      <c r="E93" s="468"/>
      <c r="F93" s="468"/>
      <c r="G93" s="468"/>
      <c r="H93" s="468"/>
      <c r="I93" s="468"/>
      <c r="J93" s="468"/>
      <c r="K93" s="468"/>
    </row>
    <row r="94" spans="1:11" ht="15.75" customHeight="1" thickTop="1" x14ac:dyDescent="0.2">
      <c r="A94" s="1514" t="s">
        <v>1137</v>
      </c>
      <c r="B94" s="1516">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1521</v>
      </c>
      <c r="D96" s="548">
        <v>0</v>
      </c>
      <c r="E96" s="477">
        <v>0</v>
      </c>
      <c r="F96" s="476">
        <v>0</v>
      </c>
      <c r="G96" s="476">
        <v>0</v>
      </c>
      <c r="H96" s="476">
        <v>0</v>
      </c>
      <c r="I96" s="476">
        <v>0</v>
      </c>
      <c r="J96" s="476">
        <v>0</v>
      </c>
      <c r="K96" s="476">
        <v>0</v>
      </c>
    </row>
    <row r="97" spans="1:12" ht="12.75" customHeight="1" x14ac:dyDescent="0.2">
      <c r="A97" s="1417"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12764</v>
      </c>
      <c r="D98" s="466">
        <v>0</v>
      </c>
      <c r="E98" s="509"/>
      <c r="F98" s="466">
        <v>0</v>
      </c>
      <c r="G98" s="509"/>
      <c r="H98" s="509"/>
      <c r="I98" s="507"/>
      <c r="J98" s="509"/>
      <c r="K98" s="509"/>
    </row>
    <row r="99" spans="1:12" ht="12.75" customHeight="1" x14ac:dyDescent="0.2">
      <c r="A99" s="463" t="s">
        <v>821</v>
      </c>
      <c r="B99" s="470">
        <v>1950</v>
      </c>
      <c r="C99" s="486">
        <v>0</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0</v>
      </c>
      <c r="D107" s="466">
        <v>0</v>
      </c>
      <c r="E107" s="466">
        <v>0</v>
      </c>
      <c r="F107" s="466">
        <v>0</v>
      </c>
      <c r="G107" s="466">
        <v>0</v>
      </c>
      <c r="H107" s="466">
        <v>0</v>
      </c>
      <c r="I107" s="466">
        <v>0</v>
      </c>
      <c r="J107" s="467">
        <v>0</v>
      </c>
      <c r="K107" s="466">
        <v>0</v>
      </c>
    </row>
    <row r="108" spans="1:12" ht="12.75" customHeight="1" thickBot="1" x14ac:dyDescent="0.25">
      <c r="A108" s="1630" t="s">
        <v>487</v>
      </c>
      <c r="B108" s="1634"/>
      <c r="C108" s="1629">
        <f>SUM(C95:C107)</f>
        <v>14285</v>
      </c>
      <c r="D108" s="1629">
        <f t="shared" ref="D108:K108" si="3">SUM(D95:D107)</f>
        <v>0</v>
      </c>
      <c r="E108" s="1629">
        <f t="shared" si="3"/>
        <v>0</v>
      </c>
      <c r="F108" s="1629">
        <f t="shared" si="3"/>
        <v>0</v>
      </c>
      <c r="G108" s="1629">
        <f t="shared" si="3"/>
        <v>0</v>
      </c>
      <c r="H108" s="1629">
        <f t="shared" si="3"/>
        <v>0</v>
      </c>
      <c r="I108" s="1629">
        <f t="shared" si="3"/>
        <v>0</v>
      </c>
      <c r="J108" s="1629">
        <f t="shared" si="3"/>
        <v>0</v>
      </c>
      <c r="K108" s="1610">
        <f t="shared" si="3"/>
        <v>0</v>
      </c>
    </row>
    <row r="109" spans="1:12" ht="14.25" thickTop="1" thickBot="1" x14ac:dyDescent="0.25">
      <c r="A109" s="1635" t="s">
        <v>248</v>
      </c>
      <c r="B109" s="1636" t="s">
        <v>570</v>
      </c>
      <c r="C109" s="1637">
        <f t="shared" ref="C109:K109" si="4">SUM(C12,C18,C40,C63,C67,C75,C82,C93,C108,)</f>
        <v>4942712</v>
      </c>
      <c r="D109" s="1637">
        <f t="shared" si="4"/>
        <v>0</v>
      </c>
      <c r="E109" s="1637">
        <f t="shared" si="4"/>
        <v>0</v>
      </c>
      <c r="F109" s="1637">
        <f t="shared" si="4"/>
        <v>0</v>
      </c>
      <c r="G109" s="1637">
        <f t="shared" si="4"/>
        <v>0</v>
      </c>
      <c r="H109" s="1637">
        <f t="shared" si="4"/>
        <v>0</v>
      </c>
      <c r="I109" s="1637">
        <f t="shared" si="4"/>
        <v>0</v>
      </c>
      <c r="J109" s="1637">
        <f t="shared" si="4"/>
        <v>0</v>
      </c>
      <c r="K109" s="1624">
        <f t="shared" si="4"/>
        <v>0</v>
      </c>
    </row>
    <row r="110" spans="1:12" ht="30" customHeight="1" thickTop="1" x14ac:dyDescent="0.2">
      <c r="A110" s="1507" t="s">
        <v>346</v>
      </c>
      <c r="B110" s="1508"/>
      <c r="C110" s="1493"/>
      <c r="D110" s="1493"/>
      <c r="E110" s="1493"/>
      <c r="F110" s="1493"/>
      <c r="G110" s="1493"/>
      <c r="H110" s="1493"/>
      <c r="I110" s="1493"/>
      <c r="J110" s="1493"/>
      <c r="K110" s="1494"/>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1413284</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638" t="s">
        <v>806</v>
      </c>
      <c r="B114" s="1639" t="s">
        <v>569</v>
      </c>
      <c r="C114" s="1640">
        <f>SUM(C111:C113)</f>
        <v>1413284</v>
      </c>
      <c r="D114" s="1640">
        <f>SUM(D111:D113)</f>
        <v>0</v>
      </c>
      <c r="E114" s="558" t="s">
        <v>1169</v>
      </c>
      <c r="F114" s="1640">
        <f>SUM(F111:F113)</f>
        <v>0</v>
      </c>
      <c r="G114" s="1640">
        <f>SUM(G111:G113)</f>
        <v>0</v>
      </c>
      <c r="H114" s="558"/>
      <c r="I114" s="468"/>
      <c r="J114" s="468"/>
      <c r="K114" s="468"/>
    </row>
    <row r="115" spans="1:11" ht="16.7" customHeight="1" thickTop="1" x14ac:dyDescent="0.2">
      <c r="A115" s="1509" t="s">
        <v>803</v>
      </c>
      <c r="B115" s="1510"/>
      <c r="C115" s="1492"/>
      <c r="D115" s="1493"/>
      <c r="E115" s="1493"/>
      <c r="F115" s="1493"/>
      <c r="G115" s="1493"/>
      <c r="H115" s="1493"/>
      <c r="I115" s="1493"/>
      <c r="J115" s="1493"/>
      <c r="K115" s="1494"/>
    </row>
    <row r="116" spans="1:11" ht="18" customHeight="1" x14ac:dyDescent="0.2">
      <c r="A116" s="1517" t="s">
        <v>1491</v>
      </c>
      <c r="B116" s="1518"/>
      <c r="C116" s="519"/>
      <c r="D116" s="518"/>
      <c r="E116" s="558"/>
      <c r="F116" s="518"/>
      <c r="G116" s="518"/>
      <c r="H116" s="558"/>
      <c r="I116" s="468"/>
      <c r="J116" s="518"/>
      <c r="K116" s="518"/>
    </row>
    <row r="117" spans="1:11" ht="12.75" customHeight="1" x14ac:dyDescent="0.2">
      <c r="A117" s="463" t="s">
        <v>1665</v>
      </c>
      <c r="B117" s="559">
        <v>3001</v>
      </c>
      <c r="C117" s="513">
        <v>497776</v>
      </c>
      <c r="D117" s="479">
        <v>0</v>
      </c>
      <c r="E117" s="466">
        <v>0</v>
      </c>
      <c r="F117" s="479">
        <v>0</v>
      </c>
      <c r="G117" s="479">
        <v>0</v>
      </c>
      <c r="H117" s="466">
        <v>0</v>
      </c>
      <c r="I117" s="468"/>
      <c r="J117" s="467">
        <v>0</v>
      </c>
      <c r="K117" s="466">
        <v>0</v>
      </c>
    </row>
    <row r="118" spans="1:11" ht="12.75" customHeight="1" x14ac:dyDescent="0.2">
      <c r="A118" s="463" t="s">
        <v>1794</v>
      </c>
      <c r="B118" s="559">
        <v>3002</v>
      </c>
      <c r="C118" s="548"/>
      <c r="D118" s="466"/>
      <c r="E118" s="466"/>
      <c r="F118" s="466"/>
      <c r="G118" s="466"/>
      <c r="H118" s="466"/>
      <c r="I118" s="468"/>
      <c r="J118" s="467"/>
      <c r="K118" s="466"/>
    </row>
    <row r="119" spans="1:11" ht="12.75" customHeight="1" x14ac:dyDescent="0.2">
      <c r="A119" s="463" t="s">
        <v>1795</v>
      </c>
      <c r="B119" s="559">
        <v>3005</v>
      </c>
      <c r="C119" s="548">
        <v>0</v>
      </c>
      <c r="D119" s="466">
        <v>0</v>
      </c>
      <c r="E119" s="466">
        <v>0</v>
      </c>
      <c r="F119" s="466">
        <v>0</v>
      </c>
      <c r="G119" s="479">
        <v>0</v>
      </c>
      <c r="H119" s="466">
        <v>0</v>
      </c>
      <c r="I119" s="468"/>
      <c r="J119" s="467">
        <v>0</v>
      </c>
      <c r="K119" s="466">
        <v>0</v>
      </c>
    </row>
    <row r="120" spans="1:11" ht="12.75" customHeight="1" x14ac:dyDescent="0.2">
      <c r="A120" s="1845" t="s">
        <v>1930</v>
      </c>
      <c r="B120" s="559">
        <v>3030</v>
      </c>
      <c r="C120" s="548">
        <v>0</v>
      </c>
      <c r="D120" s="466">
        <v>0</v>
      </c>
      <c r="E120" s="466">
        <v>0</v>
      </c>
      <c r="F120" s="466">
        <v>0</v>
      </c>
      <c r="G120" s="466">
        <v>0</v>
      </c>
      <c r="H120" s="466">
        <v>0</v>
      </c>
      <c r="I120" s="468"/>
      <c r="J120" s="467">
        <v>0</v>
      </c>
      <c r="K120" s="466">
        <v>0</v>
      </c>
    </row>
    <row r="121" spans="1:11" x14ac:dyDescent="0.2">
      <c r="A121" s="1418" t="s">
        <v>1796</v>
      </c>
      <c r="B121" s="561">
        <v>3099</v>
      </c>
      <c r="C121" s="548">
        <v>0</v>
      </c>
      <c r="D121" s="466">
        <v>0</v>
      </c>
      <c r="E121" s="466">
        <v>0</v>
      </c>
      <c r="F121" s="466">
        <v>0</v>
      </c>
      <c r="G121" s="466">
        <v>0</v>
      </c>
      <c r="H121" s="466">
        <v>0</v>
      </c>
      <c r="I121" s="468"/>
      <c r="J121" s="467">
        <v>0</v>
      </c>
      <c r="K121" s="466">
        <v>0</v>
      </c>
    </row>
    <row r="122" spans="1:11" ht="12.6" customHeight="1" thickBot="1" x14ac:dyDescent="0.25">
      <c r="A122" s="1630" t="s">
        <v>488</v>
      </c>
      <c r="B122" s="1641"/>
      <c r="C122" s="1629">
        <f t="shared" ref="C122:H122" si="5">SUM(C117:C121)</f>
        <v>497776</v>
      </c>
      <c r="D122" s="1629">
        <f t="shared" si="5"/>
        <v>0</v>
      </c>
      <c r="E122" s="1629">
        <f t="shared" si="5"/>
        <v>0</v>
      </c>
      <c r="F122" s="1629">
        <f t="shared" si="5"/>
        <v>0</v>
      </c>
      <c r="G122" s="1629">
        <f t="shared" si="5"/>
        <v>0</v>
      </c>
      <c r="H122" s="1629">
        <f t="shared" si="5"/>
        <v>0</v>
      </c>
      <c r="I122" s="468"/>
      <c r="J122" s="1629">
        <f>SUM(J117:J121)</f>
        <v>0</v>
      </c>
      <c r="K122" s="1610">
        <f>SUM(K117:K121)</f>
        <v>0</v>
      </c>
    </row>
    <row r="123" spans="1:11" ht="15.75" customHeight="1" thickTop="1" x14ac:dyDescent="0.2">
      <c r="A123" s="1514" t="s">
        <v>1490</v>
      </c>
      <c r="B123" s="1519"/>
      <c r="C123" s="562"/>
      <c r="D123" s="506"/>
      <c r="E123" s="468"/>
      <c r="F123" s="563"/>
      <c r="G123" s="468"/>
      <c r="H123" s="468"/>
      <c r="I123" s="468"/>
      <c r="J123" s="468"/>
      <c r="K123" s="468"/>
    </row>
    <row r="124" spans="1:11" ht="15" customHeight="1" x14ac:dyDescent="0.2">
      <c r="A124" s="1520" t="s">
        <v>667</v>
      </c>
      <c r="B124" s="1521"/>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630" t="s">
        <v>1032</v>
      </c>
      <c r="B132" s="1642"/>
      <c r="C132" s="1629">
        <f>SUM(C125:C131)</f>
        <v>0</v>
      </c>
      <c r="D132" s="1629">
        <f>SUM(D125:D131)</f>
        <v>0</v>
      </c>
      <c r="E132" s="469" t="s">
        <v>1169</v>
      </c>
      <c r="F132" s="1629">
        <f>SUM(F125:F131)</f>
        <v>0</v>
      </c>
      <c r="G132" s="468" t="s">
        <v>1169</v>
      </c>
      <c r="H132" s="468" t="s">
        <v>1169</v>
      </c>
      <c r="I132" s="468" t="s">
        <v>1169</v>
      </c>
      <c r="J132" s="468" t="s">
        <v>1169</v>
      </c>
      <c r="K132" s="468" t="s">
        <v>1169</v>
      </c>
    </row>
    <row r="133" spans="1:11" ht="15.75" customHeight="1" thickTop="1" x14ac:dyDescent="0.2">
      <c r="A133" s="1522" t="s">
        <v>250</v>
      </c>
      <c r="B133" s="1523"/>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630" t="s">
        <v>603</v>
      </c>
      <c r="B141" s="1642"/>
      <c r="C141" s="1629">
        <f>SUM(C134:C140)</f>
        <v>0</v>
      </c>
      <c r="D141" s="1629">
        <f>SUM(D134:D140)</f>
        <v>0</v>
      </c>
      <c r="E141" s="558" t="s">
        <v>1169</v>
      </c>
      <c r="F141" s="475"/>
      <c r="G141" s="1629">
        <f>SUM(G134:G140)</f>
        <v>0</v>
      </c>
      <c r="H141" s="468" t="s">
        <v>1169</v>
      </c>
      <c r="I141" s="468" t="s">
        <v>1169</v>
      </c>
      <c r="J141" s="468" t="s">
        <v>1169</v>
      </c>
      <c r="K141" s="468" t="s">
        <v>1169</v>
      </c>
    </row>
    <row r="142" spans="1:11" ht="15.75" customHeight="1" thickTop="1" x14ac:dyDescent="0.2">
      <c r="A142" s="1522" t="s">
        <v>670</v>
      </c>
      <c r="B142" s="1523"/>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630" t="s">
        <v>396</v>
      </c>
      <c r="B145" s="1642"/>
      <c r="C145" s="1610">
        <f>SUM(C143:C144)</f>
        <v>0</v>
      </c>
      <c r="D145" s="468"/>
      <c r="E145" s="506"/>
      <c r="F145" s="468"/>
      <c r="G145" s="1643">
        <f>SUM(G143:G144)</f>
        <v>0</v>
      </c>
      <c r="H145" s="468"/>
      <c r="I145" s="468"/>
      <c r="J145" s="468"/>
      <c r="K145" s="468"/>
    </row>
    <row r="146" spans="1:11" s="202" customFormat="1" ht="12.75" customHeight="1" thickTop="1" x14ac:dyDescent="0.2">
      <c r="A146" s="1420" t="s">
        <v>1056</v>
      </c>
      <c r="B146" s="565">
        <v>3360</v>
      </c>
      <c r="C146" s="566">
        <v>0</v>
      </c>
      <c r="D146" s="567"/>
      <c r="E146" s="506"/>
      <c r="F146" s="468"/>
      <c r="G146" s="568"/>
      <c r="H146" s="468"/>
      <c r="I146" s="468"/>
      <c r="J146" s="468"/>
      <c r="K146" s="468"/>
    </row>
    <row r="147" spans="1:11" ht="12.75" customHeight="1" thickBot="1" x14ac:dyDescent="0.25">
      <c r="A147" s="1421" t="s">
        <v>922</v>
      </c>
      <c r="B147" s="569">
        <v>3365</v>
      </c>
      <c r="C147" s="570">
        <v>0</v>
      </c>
      <c r="D147" s="529">
        <v>0</v>
      </c>
      <c r="E147" s="558"/>
      <c r="F147" s="468"/>
      <c r="G147" s="529">
        <v>0</v>
      </c>
      <c r="H147" s="468"/>
      <c r="I147" s="468"/>
      <c r="J147" s="468"/>
      <c r="K147" s="468"/>
    </row>
    <row r="148" spans="1:11" ht="12.75" customHeight="1" thickTop="1" thickBot="1" x14ac:dyDescent="0.25">
      <c r="A148" s="1422" t="s">
        <v>138</v>
      </c>
      <c r="B148" s="571">
        <v>3370</v>
      </c>
      <c r="C148" s="570">
        <v>0</v>
      </c>
      <c r="D148" s="570">
        <v>0</v>
      </c>
      <c r="E148" s="506"/>
      <c r="F148" s="468"/>
      <c r="G148" s="468"/>
      <c r="H148" s="468"/>
      <c r="I148" s="468"/>
      <c r="J148" s="468"/>
      <c r="K148" s="468"/>
    </row>
    <row r="149" spans="1:11" ht="12.75" customHeight="1" thickTop="1" thickBot="1" x14ac:dyDescent="0.25">
      <c r="A149" s="1422"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22" t="s">
        <v>68</v>
      </c>
      <c r="B150" s="571">
        <v>3499</v>
      </c>
      <c r="C150" s="572">
        <v>0</v>
      </c>
      <c r="D150" s="573">
        <v>0</v>
      </c>
      <c r="E150" s="529">
        <v>0</v>
      </c>
      <c r="F150" s="529">
        <v>0</v>
      </c>
      <c r="G150" s="529">
        <v>0</v>
      </c>
      <c r="H150" s="529">
        <v>0</v>
      </c>
      <c r="I150" s="529"/>
      <c r="J150" s="529">
        <v>0</v>
      </c>
      <c r="K150" s="529">
        <v>0</v>
      </c>
    </row>
    <row r="151" spans="1:11" ht="15.75" customHeight="1" thickTop="1" x14ac:dyDescent="0.2">
      <c r="A151" s="1522" t="s">
        <v>453</v>
      </c>
      <c r="B151" s="1524"/>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0</v>
      </c>
      <c r="G152" s="467">
        <v>0</v>
      </c>
      <c r="H152" s="468"/>
      <c r="I152" s="468"/>
      <c r="J152" s="468"/>
      <c r="K152" s="468"/>
    </row>
    <row r="153" spans="1:11" ht="12.75" customHeight="1" x14ac:dyDescent="0.2">
      <c r="A153" s="463" t="s">
        <v>1057</v>
      </c>
      <c r="B153" s="559">
        <v>3510</v>
      </c>
      <c r="C153" s="548">
        <v>0</v>
      </c>
      <c r="D153" s="466">
        <v>0</v>
      </c>
      <c r="E153" s="558"/>
      <c r="F153" s="466">
        <v>0</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630" t="s">
        <v>94</v>
      </c>
      <c r="B155" s="1642"/>
      <c r="C155" s="1629">
        <f>SUM(C152:C154)</f>
        <v>0</v>
      </c>
      <c r="D155" s="1629">
        <f>SUM(D152:D154)</f>
        <v>0</v>
      </c>
      <c r="E155" s="558"/>
      <c r="F155" s="1629">
        <f>SUM(F152:F154)</f>
        <v>0</v>
      </c>
      <c r="G155" s="1629">
        <f>SUM(G152:G154)</f>
        <v>0</v>
      </c>
      <c r="H155" s="468"/>
      <c r="I155" s="468"/>
      <c r="J155" s="468"/>
      <c r="K155" s="468"/>
    </row>
    <row r="156" spans="1:11" ht="12.75" customHeight="1" thickTop="1" thickBot="1" x14ac:dyDescent="0.25">
      <c r="A156" s="1422" t="s">
        <v>380</v>
      </c>
      <c r="B156" s="571">
        <v>3610</v>
      </c>
      <c r="C156" s="573">
        <v>0</v>
      </c>
      <c r="D156" s="468"/>
      <c r="E156" s="506"/>
      <c r="F156" s="468"/>
      <c r="G156" s="468"/>
      <c r="H156" s="468"/>
      <c r="I156" s="468"/>
      <c r="J156" s="468"/>
      <c r="K156" s="468"/>
    </row>
    <row r="157" spans="1:11" ht="12.75" customHeight="1" thickTop="1" thickBot="1" x14ac:dyDescent="0.25">
      <c r="A157" s="1422" t="s">
        <v>50</v>
      </c>
      <c r="B157" s="571">
        <v>3660</v>
      </c>
      <c r="C157" s="570">
        <v>0</v>
      </c>
      <c r="D157" s="575">
        <v>0</v>
      </c>
      <c r="E157" s="558"/>
      <c r="F157" s="575">
        <v>0</v>
      </c>
      <c r="G157" s="575">
        <v>0</v>
      </c>
      <c r="H157" s="468"/>
      <c r="I157" s="468"/>
      <c r="J157" s="468"/>
      <c r="K157" s="468"/>
    </row>
    <row r="158" spans="1:11" ht="12.75" customHeight="1" thickTop="1" thickBot="1" x14ac:dyDescent="0.25">
      <c r="A158" s="1422" t="s">
        <v>1000</v>
      </c>
      <c r="B158" s="571">
        <v>3695</v>
      </c>
      <c r="C158" s="573">
        <v>0</v>
      </c>
      <c r="D158" s="468"/>
      <c r="E158" s="558"/>
      <c r="F158" s="573">
        <v>0</v>
      </c>
      <c r="G158" s="573">
        <v>0</v>
      </c>
      <c r="H158" s="468"/>
      <c r="I158" s="468"/>
      <c r="J158" s="468"/>
      <c r="K158" s="468"/>
    </row>
    <row r="159" spans="1:11" ht="12.75" customHeight="1" thickTop="1" thickBot="1" x14ac:dyDescent="0.25">
      <c r="A159" s="1422" t="s">
        <v>1051</v>
      </c>
      <c r="B159" s="571">
        <v>3705</v>
      </c>
      <c r="C159" s="573">
        <v>421435</v>
      </c>
      <c r="D159" s="575">
        <v>0</v>
      </c>
      <c r="E159" s="558"/>
      <c r="F159" s="573">
        <v>0</v>
      </c>
      <c r="G159" s="573">
        <v>0</v>
      </c>
      <c r="H159" s="468"/>
      <c r="I159" s="468"/>
      <c r="J159" s="468"/>
      <c r="K159" s="468"/>
    </row>
    <row r="160" spans="1:11" ht="12.75" customHeight="1" thickTop="1" thickBot="1" x14ac:dyDescent="0.25">
      <c r="A160" s="1422" t="s">
        <v>39</v>
      </c>
      <c r="B160" s="571">
        <v>3766</v>
      </c>
      <c r="C160" s="573"/>
      <c r="D160" s="575"/>
      <c r="E160" s="558"/>
      <c r="F160" s="573"/>
      <c r="G160" s="528"/>
      <c r="H160" s="468"/>
      <c r="I160" s="468"/>
      <c r="J160" s="468"/>
      <c r="K160" s="468"/>
    </row>
    <row r="161" spans="1:11" ht="12.75" customHeight="1" thickTop="1" thickBot="1" x14ac:dyDescent="0.25">
      <c r="A161" s="1422" t="s">
        <v>985</v>
      </c>
      <c r="B161" s="571">
        <v>3767</v>
      </c>
      <c r="C161" s="573"/>
      <c r="D161" s="528"/>
      <c r="E161" s="558"/>
      <c r="F161" s="528"/>
      <c r="G161" s="528"/>
      <c r="H161" s="468"/>
      <c r="I161" s="468"/>
      <c r="J161" s="468"/>
      <c r="K161" s="468"/>
    </row>
    <row r="162" spans="1:11" ht="12.75" customHeight="1" thickTop="1" thickBot="1" x14ac:dyDescent="0.25">
      <c r="A162" s="1422"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22"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22" t="s">
        <v>858</v>
      </c>
      <c r="B164" s="571">
        <v>3815</v>
      </c>
      <c r="C164" s="573">
        <v>0</v>
      </c>
      <c r="D164" s="468"/>
      <c r="E164" s="558"/>
      <c r="F164" s="573">
        <v>0</v>
      </c>
      <c r="G164" s="468"/>
      <c r="H164" s="468"/>
      <c r="I164" s="468"/>
      <c r="J164" s="468"/>
      <c r="K164" s="468"/>
    </row>
    <row r="165" spans="1:11" ht="12.75" customHeight="1" thickTop="1" thickBot="1" x14ac:dyDescent="0.25">
      <c r="A165" s="1422" t="s">
        <v>397</v>
      </c>
      <c r="B165" s="571">
        <v>3825</v>
      </c>
      <c r="C165" s="573">
        <v>0</v>
      </c>
      <c r="D165" s="468"/>
      <c r="E165" s="558"/>
      <c r="F165" s="573">
        <v>0</v>
      </c>
      <c r="G165" s="468"/>
      <c r="H165" s="468"/>
      <c r="I165" s="468"/>
      <c r="J165" s="468"/>
      <c r="K165" s="468"/>
    </row>
    <row r="166" spans="1:11" ht="12.75" customHeight="1" thickTop="1" thickBot="1" x14ac:dyDescent="0.25">
      <c r="A166" s="1422" t="s">
        <v>348</v>
      </c>
      <c r="B166" s="571">
        <v>3920</v>
      </c>
      <c r="C166" s="563"/>
      <c r="D166" s="575">
        <v>0</v>
      </c>
      <c r="E166" s="468"/>
      <c r="F166" s="563"/>
      <c r="G166" s="468"/>
      <c r="H166" s="527">
        <v>0</v>
      </c>
      <c r="I166" s="468"/>
      <c r="J166" s="468"/>
      <c r="K166" s="468"/>
    </row>
    <row r="167" spans="1:11" ht="12.75" customHeight="1" thickTop="1" thickBot="1" x14ac:dyDescent="0.25">
      <c r="A167" s="1422" t="s">
        <v>349</v>
      </c>
      <c r="B167" s="571">
        <v>3925</v>
      </c>
      <c r="C167" s="518"/>
      <c r="D167" s="573">
        <v>0</v>
      </c>
      <c r="E167" s="518"/>
      <c r="F167" s="518"/>
      <c r="G167" s="468"/>
      <c r="H167" s="528">
        <v>0</v>
      </c>
      <c r="I167" s="468"/>
      <c r="J167" s="468"/>
      <c r="K167" s="527">
        <v>0</v>
      </c>
    </row>
    <row r="168" spans="1:11" ht="14.25" thickTop="1" thickBot="1" x14ac:dyDescent="0.25">
      <c r="A168" s="1422"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252" t="s">
        <v>398</v>
      </c>
      <c r="B169" s="2253"/>
      <c r="C169" s="1644">
        <f t="shared" ref="C169:K169" si="6">SUM(C132,C141,C145,C146:C150,C155,C156:C167,C168)</f>
        <v>421435</v>
      </c>
      <c r="D169" s="1644">
        <f t="shared" si="6"/>
        <v>0</v>
      </c>
      <c r="E169" s="1644">
        <f t="shared" si="6"/>
        <v>0</v>
      </c>
      <c r="F169" s="1644">
        <f t="shared" si="6"/>
        <v>0</v>
      </c>
      <c r="G169" s="1644">
        <f t="shared" si="6"/>
        <v>0</v>
      </c>
      <c r="H169" s="1644">
        <f t="shared" si="6"/>
        <v>0</v>
      </c>
      <c r="I169" s="1644">
        <f t="shared" si="6"/>
        <v>0</v>
      </c>
      <c r="J169" s="1644">
        <f t="shared" si="6"/>
        <v>0</v>
      </c>
      <c r="K169" s="1625">
        <f t="shared" si="6"/>
        <v>0</v>
      </c>
    </row>
    <row r="170" spans="1:11" ht="12.75" customHeight="1" thickTop="1" thickBot="1" x14ac:dyDescent="0.25">
      <c r="A170" s="1630" t="s">
        <v>399</v>
      </c>
      <c r="B170" s="1636" t="s">
        <v>575</v>
      </c>
      <c r="C170" s="1637">
        <f t="shared" ref="C170:K170" si="7">SUM(C122,C169)</f>
        <v>919211</v>
      </c>
      <c r="D170" s="1637">
        <f t="shared" si="7"/>
        <v>0</v>
      </c>
      <c r="E170" s="1637">
        <f t="shared" si="7"/>
        <v>0</v>
      </c>
      <c r="F170" s="1637">
        <f t="shared" si="7"/>
        <v>0</v>
      </c>
      <c r="G170" s="1637">
        <f t="shared" si="7"/>
        <v>0</v>
      </c>
      <c r="H170" s="1637">
        <f t="shared" si="7"/>
        <v>0</v>
      </c>
      <c r="I170" s="1637">
        <f t="shared" si="7"/>
        <v>0</v>
      </c>
      <c r="J170" s="1637">
        <f t="shared" si="7"/>
        <v>0</v>
      </c>
      <c r="K170" s="1624">
        <f t="shared" si="7"/>
        <v>0</v>
      </c>
    </row>
    <row r="171" spans="1:11" ht="16.7" customHeight="1" thickTop="1" x14ac:dyDescent="0.2">
      <c r="A171" s="1511" t="s">
        <v>804</v>
      </c>
      <c r="B171" s="1489"/>
      <c r="C171" s="1492"/>
      <c r="D171" s="1493"/>
      <c r="E171" s="1493"/>
      <c r="F171" s="1493"/>
      <c r="G171" s="1493"/>
      <c r="H171" s="1493"/>
      <c r="I171" s="1493"/>
      <c r="J171" s="1493"/>
      <c r="K171" s="1494"/>
    </row>
    <row r="172" spans="1:11" ht="15.75" customHeight="1" x14ac:dyDescent="0.2">
      <c r="A172" s="2254" t="s">
        <v>1492</v>
      </c>
      <c r="B172" s="2255"/>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58" t="s">
        <v>1663</v>
      </c>
      <c r="B175" s="2259"/>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610">
        <f t="shared" si="8"/>
        <v>0</v>
      </c>
    </row>
    <row r="176" spans="1:11" s="457" customFormat="1" ht="15.75" customHeight="1" thickTop="1" x14ac:dyDescent="0.2">
      <c r="A176" s="2262" t="s">
        <v>1662</v>
      </c>
      <c r="B176" s="2263"/>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260" t="s">
        <v>785</v>
      </c>
      <c r="B181" s="2261"/>
      <c r="C181" s="1629">
        <f>SUM(C177:C180)</f>
        <v>0</v>
      </c>
      <c r="D181" s="1629">
        <f>SUM(D177:D180)</f>
        <v>0</v>
      </c>
      <c r="E181" s="468"/>
      <c r="F181" s="1629">
        <f>SUM(F177:F180)</f>
        <v>0</v>
      </c>
      <c r="G181" s="1629">
        <f>SUM(G177:G180)</f>
        <v>0</v>
      </c>
      <c r="H181" s="1629">
        <f>SUM(H177:H180)</f>
        <v>0</v>
      </c>
      <c r="I181" s="468"/>
      <c r="J181" s="468"/>
      <c r="K181" s="1610">
        <f>SUM(K177:K180)</f>
        <v>0</v>
      </c>
    </row>
    <row r="182" spans="1:11" ht="22.5" customHeight="1" thickTop="1" x14ac:dyDescent="0.2">
      <c r="A182" s="2256" t="s">
        <v>1798</v>
      </c>
      <c r="B182" s="2257"/>
      <c r="C182" s="581"/>
      <c r="D182" s="563"/>
      <c r="E182" s="506"/>
      <c r="F182" s="563"/>
      <c r="G182" s="563"/>
      <c r="H182" s="468"/>
      <c r="I182" s="468"/>
      <c r="J182" s="468"/>
      <c r="K182" s="468"/>
    </row>
    <row r="183" spans="1:11" ht="15.75" customHeight="1" x14ac:dyDescent="0.2">
      <c r="A183" s="1525" t="s">
        <v>1600</v>
      </c>
      <c r="B183" s="1526"/>
      <c r="C183" s="519"/>
      <c r="D183" s="518"/>
      <c r="E183" s="506"/>
      <c r="F183" s="518"/>
      <c r="G183" s="518"/>
      <c r="H183" s="468"/>
      <c r="I183" s="468"/>
      <c r="J183" s="468"/>
      <c r="K183" s="468"/>
    </row>
    <row r="184" spans="1:11" ht="12.75" customHeight="1" x14ac:dyDescent="0.2">
      <c r="A184" s="463" t="s">
        <v>1601</v>
      </c>
      <c r="B184" s="470">
        <v>4100</v>
      </c>
      <c r="C184" s="513">
        <v>0</v>
      </c>
      <c r="D184" s="479">
        <v>0</v>
      </c>
      <c r="E184" s="558"/>
      <c r="F184" s="479">
        <v>0</v>
      </c>
      <c r="G184" s="479">
        <v>0</v>
      </c>
      <c r="H184" s="468"/>
      <c r="I184" s="468"/>
      <c r="J184" s="468"/>
      <c r="K184" s="468"/>
    </row>
    <row r="185" spans="1:11" ht="12.75" customHeight="1" x14ac:dyDescent="0.2">
      <c r="A185" s="463" t="s">
        <v>1602</v>
      </c>
      <c r="B185" s="470">
        <v>4105</v>
      </c>
      <c r="C185" s="548">
        <v>0</v>
      </c>
      <c r="D185" s="466">
        <v>0</v>
      </c>
      <c r="E185" s="558"/>
      <c r="F185" s="466">
        <v>0</v>
      </c>
      <c r="G185" s="466">
        <v>0</v>
      </c>
      <c r="H185" s="468"/>
      <c r="I185" s="468"/>
      <c r="J185" s="468"/>
      <c r="K185" s="468"/>
    </row>
    <row r="186" spans="1:11" ht="12.75" customHeight="1" x14ac:dyDescent="0.2">
      <c r="A186" s="463" t="s">
        <v>1604</v>
      </c>
      <c r="B186" s="470">
        <v>4107</v>
      </c>
      <c r="C186" s="548">
        <v>0</v>
      </c>
      <c r="D186" s="466">
        <v>0</v>
      </c>
      <c r="E186" s="558"/>
      <c r="F186" s="466">
        <v>0</v>
      </c>
      <c r="G186" s="466">
        <v>0</v>
      </c>
      <c r="H186" s="468"/>
      <c r="I186" s="468"/>
      <c r="J186" s="468"/>
      <c r="K186" s="468"/>
    </row>
    <row r="187" spans="1:11" ht="12.75" customHeight="1" x14ac:dyDescent="0.2">
      <c r="A187" s="463" t="s">
        <v>1603</v>
      </c>
      <c r="B187" s="470">
        <v>4199</v>
      </c>
      <c r="C187" s="548">
        <v>0</v>
      </c>
      <c r="D187" s="466">
        <v>0</v>
      </c>
      <c r="E187" s="558"/>
      <c r="F187" s="466">
        <v>0</v>
      </c>
      <c r="G187" s="466">
        <v>0</v>
      </c>
      <c r="H187" s="468"/>
      <c r="I187" s="468"/>
      <c r="J187" s="468"/>
      <c r="K187" s="468"/>
    </row>
    <row r="188" spans="1:11" ht="12.75" customHeight="1" thickBot="1" x14ac:dyDescent="0.25">
      <c r="A188" s="1630" t="s">
        <v>1605</v>
      </c>
      <c r="B188" s="1631"/>
      <c r="C188" s="1629">
        <f>SUM(C184:C187)</f>
        <v>0</v>
      </c>
      <c r="D188" s="1629">
        <f>SUM(D184:D187)</f>
        <v>0</v>
      </c>
      <c r="E188" s="558"/>
      <c r="F188" s="1629">
        <f>SUM(F184:F187)</f>
        <v>0</v>
      </c>
      <c r="G188" s="1629">
        <f>SUM(G184:G187)</f>
        <v>0</v>
      </c>
      <c r="H188" s="468"/>
      <c r="I188" s="468"/>
      <c r="J188" s="468"/>
      <c r="K188" s="468"/>
    </row>
    <row r="189" spans="1:11" ht="15.75" customHeight="1" thickTop="1" x14ac:dyDescent="0.2">
      <c r="A189" s="1522" t="s">
        <v>455</v>
      </c>
      <c r="B189" s="1527"/>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0</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630" t="s">
        <v>548</v>
      </c>
      <c r="B198" s="1631"/>
      <c r="C198" s="1610">
        <f>SUM(C190:C197)</f>
        <v>0</v>
      </c>
      <c r="D198" s="468"/>
      <c r="E198" s="468"/>
      <c r="F198" s="468"/>
      <c r="G198" s="1610">
        <f>SUM(G190:G197)</f>
        <v>0</v>
      </c>
      <c r="H198" s="468"/>
      <c r="I198" s="468"/>
      <c r="J198" s="468"/>
      <c r="K198" s="468"/>
    </row>
    <row r="199" spans="1:11" ht="15.75" customHeight="1" thickTop="1" x14ac:dyDescent="0.2">
      <c r="A199" s="1522" t="s">
        <v>1138</v>
      </c>
      <c r="B199" s="1527"/>
      <c r="C199" s="550"/>
      <c r="D199" s="468"/>
      <c r="E199" s="468"/>
      <c r="F199" s="468"/>
      <c r="G199" s="468"/>
      <c r="H199" s="468"/>
      <c r="I199" s="468"/>
      <c r="J199" s="468"/>
      <c r="K199" s="468"/>
    </row>
    <row r="200" spans="1:11" ht="12.75" customHeight="1" x14ac:dyDescent="0.2">
      <c r="A200" s="463" t="s">
        <v>918</v>
      </c>
      <c r="B200" s="470">
        <v>4300</v>
      </c>
      <c r="C200" s="466">
        <v>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630" t="s">
        <v>400</v>
      </c>
      <c r="B204" s="1631"/>
      <c r="C204" s="1629">
        <f>SUM(C200:C203)</f>
        <v>0</v>
      </c>
      <c r="D204" s="1629">
        <f>SUM(D200:D203)</f>
        <v>0</v>
      </c>
      <c r="E204" s="468"/>
      <c r="F204" s="1629">
        <f>SUM(F200:F203)</f>
        <v>0</v>
      </c>
      <c r="G204" s="1629">
        <f>SUM(G200:G203)</f>
        <v>0</v>
      </c>
      <c r="H204" s="468"/>
      <c r="I204" s="468"/>
      <c r="J204" s="468"/>
      <c r="K204" s="468"/>
    </row>
    <row r="205" spans="1:11" ht="15.75" customHeight="1" thickTop="1" x14ac:dyDescent="0.2">
      <c r="A205" s="1522" t="s">
        <v>1139</v>
      </c>
      <c r="B205" s="1527"/>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630" t="s">
        <v>889</v>
      </c>
      <c r="B209" s="1631"/>
      <c r="C209" s="1629">
        <f>SUM(C206:C208)</f>
        <v>0</v>
      </c>
      <c r="D209" s="1629">
        <f>SUM(D206:D208)</f>
        <v>0</v>
      </c>
      <c r="E209" s="468" t="s">
        <v>1169</v>
      </c>
      <c r="F209" s="1629">
        <f>SUM(F206:F208)</f>
        <v>0</v>
      </c>
      <c r="G209" s="1629">
        <f>SUM(G206:G208)</f>
        <v>0</v>
      </c>
      <c r="H209" s="468"/>
      <c r="I209" s="468"/>
      <c r="J209" s="468"/>
      <c r="K209" s="468"/>
    </row>
    <row r="210" spans="1:11" ht="15.75" customHeight="1" thickTop="1" x14ac:dyDescent="0.2">
      <c r="A210" s="1522" t="s">
        <v>1092</v>
      </c>
      <c r="B210" s="1527"/>
      <c r="C210" s="550"/>
      <c r="D210" s="550"/>
      <c r="E210" s="468"/>
      <c r="F210" s="550"/>
      <c r="G210" s="550"/>
      <c r="H210" s="468"/>
      <c r="I210" s="468"/>
      <c r="J210" s="468"/>
      <c r="K210" s="468"/>
    </row>
    <row r="211" spans="1:11" ht="12.75" customHeight="1" x14ac:dyDescent="0.2">
      <c r="A211" s="463" t="s">
        <v>1052</v>
      </c>
      <c r="B211" s="470">
        <v>4600</v>
      </c>
      <c r="C211" s="548">
        <v>96898</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122553</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23" t="s">
        <v>74</v>
      </c>
      <c r="B216" s="554">
        <v>4699</v>
      </c>
      <c r="C216" s="548">
        <v>0</v>
      </c>
      <c r="D216" s="466">
        <v>0</v>
      </c>
      <c r="E216" s="468"/>
      <c r="F216" s="466">
        <v>0</v>
      </c>
      <c r="G216" s="466">
        <v>0</v>
      </c>
      <c r="H216" s="468"/>
      <c r="I216" s="468"/>
      <c r="J216" s="468"/>
      <c r="K216" s="468"/>
    </row>
    <row r="217" spans="1:11" ht="12.75" customHeight="1" thickBot="1" x14ac:dyDescent="0.25">
      <c r="A217" s="1630" t="s">
        <v>447</v>
      </c>
      <c r="B217" s="1631"/>
      <c r="C217" s="1629">
        <f>SUM(C211:C216)</f>
        <v>219451</v>
      </c>
      <c r="D217" s="1629">
        <f>SUM(D211:D216)</f>
        <v>0</v>
      </c>
      <c r="E217" s="468"/>
      <c r="F217" s="1629">
        <f>SUM(F211:F216)</f>
        <v>0</v>
      </c>
      <c r="G217" s="1629">
        <f>SUM(G211:G216)</f>
        <v>0</v>
      </c>
      <c r="H217" s="468"/>
      <c r="I217" s="468"/>
      <c r="J217" s="468"/>
      <c r="K217" s="468"/>
    </row>
    <row r="218" spans="1:11" ht="15.75" customHeight="1" thickTop="1" x14ac:dyDescent="0.2">
      <c r="A218" s="1522" t="s">
        <v>1093</v>
      </c>
      <c r="B218" s="1527"/>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645" t="s">
        <v>1085</v>
      </c>
      <c r="B221" s="1646"/>
      <c r="C221" s="1629">
        <f>SUM(C219:C220)</f>
        <v>0</v>
      </c>
      <c r="D221" s="1629">
        <f>SUM(D219:D220)</f>
        <v>0</v>
      </c>
      <c r="E221" s="468"/>
      <c r="F221" s="468"/>
      <c r="G221" s="1629">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647" t="s">
        <v>774</v>
      </c>
      <c r="B252" s="1648"/>
      <c r="C252" s="1640">
        <f t="shared" ref="C252:H252" si="9">SUM(C223:C251)</f>
        <v>0</v>
      </c>
      <c r="D252" s="1629">
        <f t="shared" si="9"/>
        <v>0</v>
      </c>
      <c r="E252" s="1629">
        <f t="shared" si="9"/>
        <v>0</v>
      </c>
      <c r="F252" s="1629">
        <f t="shared" si="9"/>
        <v>0</v>
      </c>
      <c r="G252" s="1629">
        <f t="shared" si="9"/>
        <v>0</v>
      </c>
      <c r="H252" s="1629">
        <f t="shared" si="9"/>
        <v>0</v>
      </c>
      <c r="I252" s="550"/>
      <c r="J252" s="1629">
        <f>SUM(J223:J251)</f>
        <v>0</v>
      </c>
      <c r="K252" s="1610">
        <f>SUM(K223:K251)</f>
        <v>0</v>
      </c>
    </row>
    <row r="253" spans="1:11" ht="12.75" customHeight="1" thickTop="1" thickBot="1" x14ac:dyDescent="0.25">
      <c r="A253" s="1424" t="s">
        <v>1421</v>
      </c>
      <c r="B253" s="585">
        <v>4901</v>
      </c>
      <c r="C253" s="586">
        <v>0</v>
      </c>
      <c r="D253" s="469"/>
      <c r="E253" s="468"/>
      <c r="F253" s="468"/>
      <c r="G253" s="468"/>
      <c r="H253" s="468"/>
      <c r="I253" s="468"/>
      <c r="J253" s="468"/>
      <c r="K253" s="468"/>
    </row>
    <row r="254" spans="1:11" ht="12.75" customHeight="1" thickTop="1" thickBot="1" x14ac:dyDescent="0.25">
      <c r="A254" s="1425"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845" t="s">
        <v>1931</v>
      </c>
      <c r="B261" s="470">
        <v>4981</v>
      </c>
      <c r="C261" s="572">
        <v>0</v>
      </c>
      <c r="D261" s="573">
        <v>0</v>
      </c>
      <c r="E261" s="468"/>
      <c r="F261" s="573">
        <v>0</v>
      </c>
      <c r="G261" s="573">
        <v>0</v>
      </c>
      <c r="H261" s="468"/>
      <c r="I261" s="468"/>
      <c r="J261" s="468"/>
      <c r="K261" s="468"/>
    </row>
    <row r="262" spans="1:11" ht="12.75" customHeight="1" thickTop="1" thickBot="1" x14ac:dyDescent="0.25">
      <c r="A262" s="1846" t="s">
        <v>1932</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72043</v>
      </c>
      <c r="D263" s="573">
        <v>0</v>
      </c>
      <c r="E263" s="468"/>
      <c r="F263" s="573">
        <v>0</v>
      </c>
      <c r="G263" s="573">
        <v>0</v>
      </c>
      <c r="H263" s="468"/>
      <c r="I263" s="468"/>
      <c r="J263" s="468"/>
      <c r="K263" s="468"/>
    </row>
    <row r="264" spans="1:11" ht="12.75" customHeight="1" thickTop="1" thickBot="1" x14ac:dyDescent="0.25">
      <c r="A264" s="463" t="s">
        <v>377</v>
      </c>
      <c r="B264" s="470">
        <v>4992</v>
      </c>
      <c r="C264" s="572">
        <v>198607</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24337</v>
      </c>
      <c r="D265" s="573">
        <v>0</v>
      </c>
      <c r="E265" s="468"/>
      <c r="F265" s="573">
        <v>0</v>
      </c>
      <c r="G265" s="573">
        <v>0</v>
      </c>
      <c r="H265" s="527">
        <v>0</v>
      </c>
      <c r="I265" s="468"/>
      <c r="J265" s="468"/>
      <c r="K265" s="527">
        <v>0</v>
      </c>
    </row>
    <row r="266" spans="1:11" ht="14.25" thickTop="1" thickBot="1" x14ac:dyDescent="0.25">
      <c r="A266" s="1630" t="s">
        <v>1664</v>
      </c>
      <c r="B266" s="1649"/>
      <c r="C266" s="1637">
        <f t="shared" ref="C266:H266" si="10">SUM(C188,C198,C204,C209,C217,C221,C222,C252:C265)</f>
        <v>514438</v>
      </c>
      <c r="D266" s="1637">
        <f t="shared" si="10"/>
        <v>0</v>
      </c>
      <c r="E266" s="1637">
        <f t="shared" si="10"/>
        <v>0</v>
      </c>
      <c r="F266" s="1637">
        <f t="shared" si="10"/>
        <v>0</v>
      </c>
      <c r="G266" s="1637">
        <f t="shared" si="10"/>
        <v>0</v>
      </c>
      <c r="H266" s="1637">
        <f t="shared" si="10"/>
        <v>0</v>
      </c>
      <c r="I266" s="468"/>
      <c r="J266" s="1637">
        <f>SUM(J188,J198,J204,J209,J217,J221,J222,J252:J265)</f>
        <v>0</v>
      </c>
      <c r="K266" s="1624">
        <f>SUM(K188,K198,K204,K209,K217,K221,K222,K252:K265)</f>
        <v>0</v>
      </c>
    </row>
    <row r="267" spans="1:11" ht="14.25" thickTop="1" thickBot="1" x14ac:dyDescent="0.25">
      <c r="A267" s="1650" t="s">
        <v>1086</v>
      </c>
      <c r="B267" s="1651" t="s">
        <v>860</v>
      </c>
      <c r="C267" s="1637">
        <f>SUM(C175,C181,C266)</f>
        <v>514438</v>
      </c>
      <c r="D267" s="1637">
        <f>SUM(D175,D181,D266)</f>
        <v>0</v>
      </c>
      <c r="E267" s="1637">
        <f>SUM(E175,E266)</f>
        <v>0</v>
      </c>
      <c r="F267" s="1637">
        <f t="shared" ref="F267:K267" si="11">SUM(F175,F181,F266)</f>
        <v>0</v>
      </c>
      <c r="G267" s="1637">
        <f t="shared" si="11"/>
        <v>0</v>
      </c>
      <c r="H267" s="1637">
        <f t="shared" si="11"/>
        <v>0</v>
      </c>
      <c r="I267" s="1637">
        <f t="shared" si="11"/>
        <v>0</v>
      </c>
      <c r="J267" s="1637">
        <f t="shared" si="11"/>
        <v>0</v>
      </c>
      <c r="K267" s="1624">
        <f t="shared" si="11"/>
        <v>0</v>
      </c>
    </row>
    <row r="268" spans="1:11" ht="14.25" thickTop="1" thickBot="1" x14ac:dyDescent="0.25">
      <c r="A268" s="1652" t="s">
        <v>251</v>
      </c>
      <c r="B268" s="1653"/>
      <c r="C268" s="1637">
        <f t="shared" ref="C268:K268" si="12">SUM(C109,C114,C170,C267)</f>
        <v>7789645</v>
      </c>
      <c r="D268" s="1637">
        <f t="shared" si="12"/>
        <v>0</v>
      </c>
      <c r="E268" s="1637">
        <f t="shared" si="12"/>
        <v>0</v>
      </c>
      <c r="F268" s="1637">
        <f t="shared" si="12"/>
        <v>0</v>
      </c>
      <c r="G268" s="1637">
        <f t="shared" si="12"/>
        <v>0</v>
      </c>
      <c r="H268" s="1637">
        <f t="shared" si="12"/>
        <v>0</v>
      </c>
      <c r="I268" s="1637">
        <f t="shared" si="12"/>
        <v>0</v>
      </c>
      <c r="J268" s="1637">
        <f t="shared" si="12"/>
        <v>0</v>
      </c>
      <c r="K268" s="1624">
        <f t="shared" si="12"/>
        <v>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pageMargins left="0.1" right="0.2" top="0.61" bottom="0.3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17" sqref="A17:J17"/>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232" t="s">
        <v>1797</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64"/>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70" t="s">
        <v>297</v>
      </c>
      <c r="B3" s="2271"/>
      <c r="C3" s="1470"/>
      <c r="D3" s="1470"/>
      <c r="E3" s="1470"/>
      <c r="F3" s="1470"/>
      <c r="G3" s="1470"/>
      <c r="H3" s="1470"/>
      <c r="I3" s="1470"/>
      <c r="J3" s="1470"/>
      <c r="K3" s="1471"/>
      <c r="L3" s="1472"/>
      <c r="M3" s="606"/>
      <c r="N3" s="606"/>
    </row>
    <row r="4" spans="1:14" s="259" customFormat="1" ht="15.75" customHeight="1" x14ac:dyDescent="0.2">
      <c r="A4" s="1528" t="s">
        <v>44</v>
      </c>
      <c r="B4" s="1529" t="s">
        <v>570</v>
      </c>
      <c r="C4" s="607"/>
      <c r="D4" s="607"/>
      <c r="E4" s="607"/>
      <c r="F4" s="607"/>
      <c r="G4" s="607"/>
      <c r="H4" s="607"/>
      <c r="I4" s="608"/>
      <c r="J4" s="607"/>
      <c r="K4" s="609"/>
      <c r="L4" s="607"/>
      <c r="M4" s="610"/>
      <c r="N4" s="610"/>
    </row>
    <row r="5" spans="1:14" x14ac:dyDescent="0.2">
      <c r="A5" s="1426" t="s">
        <v>961</v>
      </c>
      <c r="B5" s="611">
        <v>1100</v>
      </c>
      <c r="C5" s="466">
        <v>221367</v>
      </c>
      <c r="D5" s="466">
        <v>25671</v>
      </c>
      <c r="E5" s="466">
        <v>1559</v>
      </c>
      <c r="F5" s="466">
        <v>24212</v>
      </c>
      <c r="G5" s="466">
        <v>1797</v>
      </c>
      <c r="H5" s="466">
        <v>0</v>
      </c>
      <c r="I5" s="467">
        <v>0</v>
      </c>
      <c r="J5" s="467">
        <v>0</v>
      </c>
      <c r="K5" s="1593">
        <f>SUM(C5:J5)</f>
        <v>274606</v>
      </c>
      <c r="L5" s="471">
        <v>262943</v>
      </c>
    </row>
    <row r="6" spans="1:14" x14ac:dyDescent="0.2">
      <c r="A6" s="1426" t="s">
        <v>1433</v>
      </c>
      <c r="B6" s="611" t="s">
        <v>1431</v>
      </c>
      <c r="C6" s="475"/>
      <c r="D6" s="475"/>
      <c r="E6" s="466">
        <v>0</v>
      </c>
      <c r="F6" s="475"/>
      <c r="G6" s="475"/>
      <c r="H6" s="475"/>
      <c r="I6" s="475"/>
      <c r="J6" s="475"/>
      <c r="K6" s="1593">
        <f>SUM(C6,E6)</f>
        <v>0</v>
      </c>
      <c r="L6" s="471">
        <v>0</v>
      </c>
    </row>
    <row r="7" spans="1:14" x14ac:dyDescent="0.2">
      <c r="A7" s="1426" t="s">
        <v>163</v>
      </c>
      <c r="B7" s="611" t="s">
        <v>967</v>
      </c>
      <c r="C7" s="467">
        <v>0</v>
      </c>
      <c r="D7" s="467">
        <v>0</v>
      </c>
      <c r="E7" s="467">
        <v>0</v>
      </c>
      <c r="F7" s="467">
        <v>0</v>
      </c>
      <c r="G7" s="467">
        <v>0</v>
      </c>
      <c r="H7" s="467">
        <v>0</v>
      </c>
      <c r="I7" s="467">
        <v>0</v>
      </c>
      <c r="J7" s="467">
        <v>0</v>
      </c>
      <c r="K7" s="1593">
        <f t="shared" ref="K7:K32" si="0">SUM(C7:J7)</f>
        <v>0</v>
      </c>
      <c r="L7" s="471">
        <v>0</v>
      </c>
    </row>
    <row r="8" spans="1:14" x14ac:dyDescent="0.2">
      <c r="A8" s="1426" t="s">
        <v>164</v>
      </c>
      <c r="B8" s="611">
        <v>1200</v>
      </c>
      <c r="C8" s="466">
        <v>1340863</v>
      </c>
      <c r="D8" s="466">
        <v>281620</v>
      </c>
      <c r="E8" s="466">
        <v>17125</v>
      </c>
      <c r="F8" s="466">
        <v>40950</v>
      </c>
      <c r="G8" s="466">
        <v>1600</v>
      </c>
      <c r="H8" s="466">
        <v>0</v>
      </c>
      <c r="I8" s="467">
        <v>0</v>
      </c>
      <c r="J8" s="467">
        <v>0</v>
      </c>
      <c r="K8" s="1593">
        <f t="shared" si="0"/>
        <v>1682158</v>
      </c>
      <c r="L8" s="471">
        <v>1761646</v>
      </c>
    </row>
    <row r="9" spans="1:14" x14ac:dyDescent="0.2">
      <c r="A9" s="1426" t="s">
        <v>721</v>
      </c>
      <c r="B9" s="611" t="s">
        <v>968</v>
      </c>
      <c r="C9" s="467">
        <v>0</v>
      </c>
      <c r="D9" s="467">
        <v>0</v>
      </c>
      <c r="E9" s="467">
        <v>0</v>
      </c>
      <c r="F9" s="467">
        <v>0</v>
      </c>
      <c r="G9" s="467">
        <v>0</v>
      </c>
      <c r="H9" s="467">
        <v>0</v>
      </c>
      <c r="I9" s="467">
        <v>0</v>
      </c>
      <c r="J9" s="467">
        <v>0</v>
      </c>
      <c r="K9" s="1593">
        <f t="shared" si="0"/>
        <v>0</v>
      </c>
      <c r="L9" s="471">
        <v>0</v>
      </c>
    </row>
    <row r="10" spans="1:14" x14ac:dyDescent="0.2">
      <c r="A10" s="1426" t="s">
        <v>722</v>
      </c>
      <c r="B10" s="611">
        <v>1250</v>
      </c>
      <c r="C10" s="466">
        <v>0</v>
      </c>
      <c r="D10" s="466">
        <v>0</v>
      </c>
      <c r="E10" s="466">
        <v>0</v>
      </c>
      <c r="F10" s="466">
        <v>0</v>
      </c>
      <c r="G10" s="466">
        <v>0</v>
      </c>
      <c r="H10" s="466">
        <v>0</v>
      </c>
      <c r="I10" s="467">
        <v>0</v>
      </c>
      <c r="J10" s="467">
        <v>0</v>
      </c>
      <c r="K10" s="1593">
        <f t="shared" si="0"/>
        <v>0</v>
      </c>
      <c r="L10" s="471">
        <v>0</v>
      </c>
    </row>
    <row r="11" spans="1:14" x14ac:dyDescent="0.2">
      <c r="A11" s="1426" t="s">
        <v>1130</v>
      </c>
      <c r="B11" s="611" t="s">
        <v>161</v>
      </c>
      <c r="C11" s="467">
        <v>0</v>
      </c>
      <c r="D11" s="467">
        <v>0</v>
      </c>
      <c r="E11" s="467">
        <v>0</v>
      </c>
      <c r="F11" s="467">
        <v>0</v>
      </c>
      <c r="G11" s="467">
        <v>0</v>
      </c>
      <c r="H11" s="467">
        <v>0</v>
      </c>
      <c r="I11" s="467">
        <v>0</v>
      </c>
      <c r="J11" s="467">
        <v>0</v>
      </c>
      <c r="K11" s="1593">
        <f t="shared" si="0"/>
        <v>0</v>
      </c>
      <c r="L11" s="471">
        <v>0</v>
      </c>
    </row>
    <row r="12" spans="1:14" x14ac:dyDescent="0.2">
      <c r="A12" s="1426" t="s">
        <v>962</v>
      </c>
      <c r="B12" s="611">
        <v>1300</v>
      </c>
      <c r="C12" s="466">
        <v>0</v>
      </c>
      <c r="D12" s="466">
        <v>0</v>
      </c>
      <c r="E12" s="466">
        <v>0</v>
      </c>
      <c r="F12" s="466">
        <v>0</v>
      </c>
      <c r="G12" s="466">
        <v>0</v>
      </c>
      <c r="H12" s="466">
        <v>0</v>
      </c>
      <c r="I12" s="467">
        <v>0</v>
      </c>
      <c r="J12" s="467">
        <v>0</v>
      </c>
      <c r="K12" s="1593">
        <f t="shared" si="0"/>
        <v>0</v>
      </c>
      <c r="L12" s="471">
        <v>0</v>
      </c>
    </row>
    <row r="13" spans="1:14" x14ac:dyDescent="0.2">
      <c r="A13" s="1426" t="s">
        <v>723</v>
      </c>
      <c r="B13" s="611">
        <v>1400</v>
      </c>
      <c r="C13" s="466">
        <v>0</v>
      </c>
      <c r="D13" s="466">
        <v>0</v>
      </c>
      <c r="E13" s="466">
        <v>0</v>
      </c>
      <c r="F13" s="466">
        <v>0</v>
      </c>
      <c r="G13" s="466">
        <v>0</v>
      </c>
      <c r="H13" s="466">
        <v>0</v>
      </c>
      <c r="I13" s="467">
        <v>0</v>
      </c>
      <c r="J13" s="467">
        <v>0</v>
      </c>
      <c r="K13" s="1593">
        <f t="shared" si="0"/>
        <v>0</v>
      </c>
      <c r="L13" s="471">
        <v>0</v>
      </c>
    </row>
    <row r="14" spans="1:14" x14ac:dyDescent="0.2">
      <c r="A14" s="1426" t="s">
        <v>963</v>
      </c>
      <c r="B14" s="611">
        <v>1500</v>
      </c>
      <c r="C14" s="466">
        <v>0</v>
      </c>
      <c r="D14" s="466">
        <v>0</v>
      </c>
      <c r="E14" s="466">
        <v>0</v>
      </c>
      <c r="F14" s="466">
        <v>0</v>
      </c>
      <c r="G14" s="466">
        <v>0</v>
      </c>
      <c r="H14" s="466">
        <v>0</v>
      </c>
      <c r="I14" s="467">
        <v>0</v>
      </c>
      <c r="J14" s="467">
        <v>0</v>
      </c>
      <c r="K14" s="1593">
        <f t="shared" si="0"/>
        <v>0</v>
      </c>
      <c r="L14" s="471">
        <v>0</v>
      </c>
    </row>
    <row r="15" spans="1:14" x14ac:dyDescent="0.2">
      <c r="A15" s="1426" t="s">
        <v>964</v>
      </c>
      <c r="B15" s="611">
        <v>1600</v>
      </c>
      <c r="C15" s="467">
        <v>0</v>
      </c>
      <c r="D15" s="466">
        <v>0</v>
      </c>
      <c r="E15" s="466">
        <v>0</v>
      </c>
      <c r="F15" s="466">
        <v>0</v>
      </c>
      <c r="G15" s="466">
        <v>0</v>
      </c>
      <c r="H15" s="466">
        <v>0</v>
      </c>
      <c r="I15" s="467">
        <v>0</v>
      </c>
      <c r="J15" s="467">
        <v>0</v>
      </c>
      <c r="K15" s="1593">
        <f t="shared" si="0"/>
        <v>0</v>
      </c>
      <c r="L15" s="471">
        <v>0</v>
      </c>
    </row>
    <row r="16" spans="1:14" x14ac:dyDescent="0.2">
      <c r="A16" s="1426" t="s">
        <v>987</v>
      </c>
      <c r="B16" s="611" t="s">
        <v>424</v>
      </c>
      <c r="C16" s="467">
        <v>0</v>
      </c>
      <c r="D16" s="466">
        <v>0</v>
      </c>
      <c r="E16" s="466">
        <v>0</v>
      </c>
      <c r="F16" s="466">
        <v>0</v>
      </c>
      <c r="G16" s="466">
        <v>0</v>
      </c>
      <c r="H16" s="466">
        <v>0</v>
      </c>
      <c r="I16" s="467">
        <v>0</v>
      </c>
      <c r="J16" s="467">
        <v>0</v>
      </c>
      <c r="K16" s="1593">
        <f t="shared" si="0"/>
        <v>0</v>
      </c>
      <c r="L16" s="471">
        <v>0</v>
      </c>
    </row>
    <row r="17" spans="1:12" x14ac:dyDescent="0.2">
      <c r="A17" s="1426" t="s">
        <v>724</v>
      </c>
      <c r="B17" s="611" t="s">
        <v>162</v>
      </c>
      <c r="C17" s="467">
        <v>0</v>
      </c>
      <c r="D17" s="467">
        <v>0</v>
      </c>
      <c r="E17" s="467">
        <v>0</v>
      </c>
      <c r="F17" s="467">
        <v>0</v>
      </c>
      <c r="G17" s="467">
        <v>0</v>
      </c>
      <c r="H17" s="467">
        <v>0</v>
      </c>
      <c r="I17" s="467">
        <v>0</v>
      </c>
      <c r="J17" s="467">
        <v>0</v>
      </c>
      <c r="K17" s="1593">
        <f t="shared" si="0"/>
        <v>0</v>
      </c>
      <c r="L17" s="471">
        <v>0</v>
      </c>
    </row>
    <row r="18" spans="1:12" x14ac:dyDescent="0.2">
      <c r="A18" s="1426" t="s">
        <v>1087</v>
      </c>
      <c r="B18" s="611">
        <v>1800</v>
      </c>
      <c r="C18" s="467">
        <v>0</v>
      </c>
      <c r="D18" s="467">
        <v>0</v>
      </c>
      <c r="E18" s="467">
        <v>0</v>
      </c>
      <c r="F18" s="466">
        <v>0</v>
      </c>
      <c r="G18" s="466">
        <v>0</v>
      </c>
      <c r="H18" s="466">
        <v>0</v>
      </c>
      <c r="I18" s="467">
        <v>0</v>
      </c>
      <c r="J18" s="467">
        <v>0</v>
      </c>
      <c r="K18" s="1593">
        <f t="shared" si="0"/>
        <v>0</v>
      </c>
      <c r="L18" s="471">
        <v>0</v>
      </c>
    </row>
    <row r="19" spans="1:12" x14ac:dyDescent="0.2">
      <c r="A19" s="1426" t="s">
        <v>134</v>
      </c>
      <c r="B19" s="611">
        <v>1900</v>
      </c>
      <c r="C19" s="466">
        <v>0</v>
      </c>
      <c r="D19" s="466">
        <v>0</v>
      </c>
      <c r="E19" s="466">
        <v>0</v>
      </c>
      <c r="F19" s="466">
        <v>0</v>
      </c>
      <c r="G19" s="466">
        <v>0</v>
      </c>
      <c r="H19" s="466">
        <v>0</v>
      </c>
      <c r="I19" s="467">
        <v>0</v>
      </c>
      <c r="J19" s="467">
        <v>0</v>
      </c>
      <c r="K19" s="1593">
        <f t="shared" si="0"/>
        <v>0</v>
      </c>
      <c r="L19" s="471">
        <v>0</v>
      </c>
    </row>
    <row r="20" spans="1:12" x14ac:dyDescent="0.2">
      <c r="A20" s="1427" t="s">
        <v>738</v>
      </c>
      <c r="B20" s="599" t="s">
        <v>725</v>
      </c>
      <c r="C20" s="475"/>
      <c r="D20" s="475"/>
      <c r="E20" s="475"/>
      <c r="F20" s="475"/>
      <c r="G20" s="475"/>
      <c r="H20" s="467">
        <v>0</v>
      </c>
      <c r="I20" s="613"/>
      <c r="J20" s="474"/>
      <c r="K20" s="1593">
        <f t="shared" si="0"/>
        <v>0</v>
      </c>
      <c r="L20" s="471">
        <v>0</v>
      </c>
    </row>
    <row r="21" spans="1:12" x14ac:dyDescent="0.2">
      <c r="A21" s="1427" t="s">
        <v>739</v>
      </c>
      <c r="B21" s="599" t="s">
        <v>726</v>
      </c>
      <c r="C21" s="475"/>
      <c r="D21" s="475"/>
      <c r="E21" s="475"/>
      <c r="F21" s="475"/>
      <c r="G21" s="475"/>
      <c r="H21" s="473">
        <v>0</v>
      </c>
      <c r="I21" s="613"/>
      <c r="J21" s="475"/>
      <c r="K21" s="1593">
        <f t="shared" si="0"/>
        <v>0</v>
      </c>
      <c r="L21" s="471">
        <v>0</v>
      </c>
    </row>
    <row r="22" spans="1:12" x14ac:dyDescent="0.2">
      <c r="A22" s="1427" t="s">
        <v>740</v>
      </c>
      <c r="B22" s="599" t="s">
        <v>727</v>
      </c>
      <c r="C22" s="475"/>
      <c r="D22" s="475"/>
      <c r="E22" s="475"/>
      <c r="F22" s="475"/>
      <c r="G22" s="475"/>
      <c r="H22" s="473">
        <v>0</v>
      </c>
      <c r="I22" s="613"/>
      <c r="J22" s="475"/>
      <c r="K22" s="1593">
        <f t="shared" si="0"/>
        <v>0</v>
      </c>
      <c r="L22" s="471">
        <v>0</v>
      </c>
    </row>
    <row r="23" spans="1:12" x14ac:dyDescent="0.2">
      <c r="A23" s="1427" t="s">
        <v>741</v>
      </c>
      <c r="B23" s="599" t="s">
        <v>728</v>
      </c>
      <c r="C23" s="475"/>
      <c r="D23" s="475"/>
      <c r="E23" s="475"/>
      <c r="F23" s="475"/>
      <c r="G23" s="475"/>
      <c r="H23" s="473">
        <v>0</v>
      </c>
      <c r="I23" s="613"/>
      <c r="J23" s="475"/>
      <c r="K23" s="1593">
        <f t="shared" si="0"/>
        <v>0</v>
      </c>
      <c r="L23" s="471">
        <v>0</v>
      </c>
    </row>
    <row r="24" spans="1:12" ht="12.75" customHeight="1" x14ac:dyDescent="0.2">
      <c r="A24" s="1427" t="s">
        <v>742</v>
      </c>
      <c r="B24" s="599" t="s">
        <v>729</v>
      </c>
      <c r="C24" s="475"/>
      <c r="D24" s="475"/>
      <c r="E24" s="475"/>
      <c r="F24" s="475"/>
      <c r="G24" s="475"/>
      <c r="H24" s="473">
        <v>0</v>
      </c>
      <c r="I24" s="613"/>
      <c r="J24" s="475"/>
      <c r="K24" s="1593">
        <f t="shared" si="0"/>
        <v>0</v>
      </c>
      <c r="L24" s="471">
        <v>0</v>
      </c>
    </row>
    <row r="25" spans="1:12" ht="12.75" customHeight="1" x14ac:dyDescent="0.2">
      <c r="A25" s="1427" t="s">
        <v>802</v>
      </c>
      <c r="B25" s="599" t="s">
        <v>730</v>
      </c>
      <c r="C25" s="475"/>
      <c r="D25" s="475"/>
      <c r="E25" s="475"/>
      <c r="F25" s="475"/>
      <c r="G25" s="475"/>
      <c r="H25" s="473">
        <v>0</v>
      </c>
      <c r="I25" s="613"/>
      <c r="J25" s="475"/>
      <c r="K25" s="1593">
        <f t="shared" si="0"/>
        <v>0</v>
      </c>
      <c r="L25" s="471">
        <v>0</v>
      </c>
    </row>
    <row r="26" spans="1:12" x14ac:dyDescent="0.2">
      <c r="A26" s="1427" t="s">
        <v>622</v>
      </c>
      <c r="B26" s="599" t="s">
        <v>731</v>
      </c>
      <c r="C26" s="475"/>
      <c r="D26" s="475"/>
      <c r="E26" s="475"/>
      <c r="F26" s="475"/>
      <c r="G26" s="475"/>
      <c r="H26" s="473">
        <v>0</v>
      </c>
      <c r="I26" s="613"/>
      <c r="J26" s="475"/>
      <c r="K26" s="1593">
        <f t="shared" si="0"/>
        <v>0</v>
      </c>
      <c r="L26" s="471">
        <v>0</v>
      </c>
    </row>
    <row r="27" spans="1:12" x14ac:dyDescent="0.2">
      <c r="A27" s="1427" t="s">
        <v>623</v>
      </c>
      <c r="B27" s="599" t="s">
        <v>732</v>
      </c>
      <c r="C27" s="475"/>
      <c r="D27" s="475"/>
      <c r="E27" s="475"/>
      <c r="F27" s="475"/>
      <c r="G27" s="475"/>
      <c r="H27" s="473">
        <v>0</v>
      </c>
      <c r="I27" s="613"/>
      <c r="J27" s="475"/>
      <c r="K27" s="1593">
        <f t="shared" si="0"/>
        <v>0</v>
      </c>
      <c r="L27" s="471">
        <v>0</v>
      </c>
    </row>
    <row r="28" spans="1:12" x14ac:dyDescent="0.2">
      <c r="A28" s="1427" t="s">
        <v>150</v>
      </c>
      <c r="B28" s="599" t="s">
        <v>733</v>
      </c>
      <c r="C28" s="475"/>
      <c r="D28" s="475"/>
      <c r="E28" s="475"/>
      <c r="F28" s="475"/>
      <c r="G28" s="475"/>
      <c r="H28" s="473">
        <v>0</v>
      </c>
      <c r="I28" s="613"/>
      <c r="J28" s="475"/>
      <c r="K28" s="1593">
        <f t="shared" si="0"/>
        <v>0</v>
      </c>
      <c r="L28" s="471">
        <v>0</v>
      </c>
    </row>
    <row r="29" spans="1:12" x14ac:dyDescent="0.2">
      <c r="A29" s="1427" t="s">
        <v>151</v>
      </c>
      <c r="B29" s="599" t="s">
        <v>734</v>
      </c>
      <c r="C29" s="475"/>
      <c r="D29" s="475"/>
      <c r="E29" s="475"/>
      <c r="F29" s="475"/>
      <c r="G29" s="475"/>
      <c r="H29" s="473">
        <v>0</v>
      </c>
      <c r="I29" s="613"/>
      <c r="J29" s="475"/>
      <c r="K29" s="1593">
        <f t="shared" si="0"/>
        <v>0</v>
      </c>
      <c r="L29" s="471">
        <v>0</v>
      </c>
    </row>
    <row r="30" spans="1:12" x14ac:dyDescent="0.2">
      <c r="A30" s="1427" t="s">
        <v>152</v>
      </c>
      <c r="B30" s="599" t="s">
        <v>735</v>
      </c>
      <c r="C30" s="475"/>
      <c r="D30" s="475"/>
      <c r="E30" s="475"/>
      <c r="F30" s="475"/>
      <c r="G30" s="475"/>
      <c r="H30" s="473">
        <v>0</v>
      </c>
      <c r="I30" s="613"/>
      <c r="J30" s="475"/>
      <c r="K30" s="1593">
        <f t="shared" si="0"/>
        <v>0</v>
      </c>
      <c r="L30" s="471">
        <v>0</v>
      </c>
    </row>
    <row r="31" spans="1:12" x14ac:dyDescent="0.2">
      <c r="A31" s="1427" t="s">
        <v>153</v>
      </c>
      <c r="B31" s="599" t="s">
        <v>736</v>
      </c>
      <c r="C31" s="475"/>
      <c r="D31" s="475"/>
      <c r="E31" s="475"/>
      <c r="F31" s="475"/>
      <c r="G31" s="475"/>
      <c r="H31" s="473">
        <v>0</v>
      </c>
      <c r="I31" s="613"/>
      <c r="J31" s="475"/>
      <c r="K31" s="1593">
        <f t="shared" si="0"/>
        <v>0</v>
      </c>
      <c r="L31" s="471">
        <v>0</v>
      </c>
    </row>
    <row r="32" spans="1:12" x14ac:dyDescent="0.2">
      <c r="A32" s="1428" t="s">
        <v>1129</v>
      </c>
      <c r="B32" s="611" t="s">
        <v>737</v>
      </c>
      <c r="C32" s="475"/>
      <c r="D32" s="475"/>
      <c r="E32" s="475"/>
      <c r="F32" s="475"/>
      <c r="G32" s="475"/>
      <c r="H32" s="473">
        <v>0</v>
      </c>
      <c r="I32" s="613"/>
      <c r="J32" s="478"/>
      <c r="K32" s="1593">
        <f t="shared" si="0"/>
        <v>0</v>
      </c>
      <c r="L32" s="471">
        <v>0</v>
      </c>
    </row>
    <row r="33" spans="1:14" ht="12.75" customHeight="1" thickBot="1" x14ac:dyDescent="0.25">
      <c r="A33" s="1590" t="s">
        <v>1666</v>
      </c>
      <c r="B33" s="1591" t="s">
        <v>570</v>
      </c>
      <c r="C33" s="1592">
        <f>SUM(C5:C32)</f>
        <v>1562230</v>
      </c>
      <c r="D33" s="1592">
        <f t="shared" ref="D33:L33" si="1">SUM(D5:D32)</f>
        <v>307291</v>
      </c>
      <c r="E33" s="1592">
        <f t="shared" si="1"/>
        <v>18684</v>
      </c>
      <c r="F33" s="1592">
        <f t="shared" si="1"/>
        <v>65162</v>
      </c>
      <c r="G33" s="1592">
        <f t="shared" si="1"/>
        <v>3397</v>
      </c>
      <c r="H33" s="1592">
        <f t="shared" si="1"/>
        <v>0</v>
      </c>
      <c r="I33" s="1592">
        <f t="shared" si="1"/>
        <v>0</v>
      </c>
      <c r="J33" s="1592">
        <f t="shared" si="1"/>
        <v>0</v>
      </c>
      <c r="K33" s="1592">
        <f t="shared" si="1"/>
        <v>1956764</v>
      </c>
      <c r="L33" s="1592">
        <f t="shared" si="1"/>
        <v>2024589</v>
      </c>
    </row>
    <row r="34" spans="1:14" s="617" customFormat="1" ht="15.75" customHeight="1" thickTop="1" x14ac:dyDescent="0.2">
      <c r="A34" s="1530" t="s">
        <v>46</v>
      </c>
      <c r="B34" s="1531"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426" t="s">
        <v>1089</v>
      </c>
      <c r="B36" s="611">
        <v>2110</v>
      </c>
      <c r="C36" s="479">
        <v>667913</v>
      </c>
      <c r="D36" s="479">
        <v>73814</v>
      </c>
      <c r="E36" s="479">
        <v>11532</v>
      </c>
      <c r="F36" s="479">
        <v>3038</v>
      </c>
      <c r="G36" s="479">
        <v>0</v>
      </c>
      <c r="H36" s="479">
        <v>0</v>
      </c>
      <c r="I36" s="467">
        <v>0</v>
      </c>
      <c r="J36" s="467">
        <v>0</v>
      </c>
      <c r="K36" s="1593">
        <f t="shared" ref="K36:K41" si="2">SUM(C36:J36)</f>
        <v>756297</v>
      </c>
      <c r="L36" s="466">
        <v>768387</v>
      </c>
    </row>
    <row r="37" spans="1:14" x14ac:dyDescent="0.2">
      <c r="A37" s="1426" t="s">
        <v>1090</v>
      </c>
      <c r="B37" s="611">
        <v>2120</v>
      </c>
      <c r="C37" s="466">
        <v>0</v>
      </c>
      <c r="D37" s="466">
        <v>0</v>
      </c>
      <c r="E37" s="466">
        <v>0</v>
      </c>
      <c r="F37" s="466">
        <v>0</v>
      </c>
      <c r="G37" s="466">
        <v>0</v>
      </c>
      <c r="H37" s="466">
        <v>0</v>
      </c>
      <c r="I37" s="467">
        <v>0</v>
      </c>
      <c r="J37" s="467">
        <v>0</v>
      </c>
      <c r="K37" s="1593">
        <f t="shared" si="2"/>
        <v>0</v>
      </c>
      <c r="L37" s="466">
        <v>0</v>
      </c>
    </row>
    <row r="38" spans="1:14" x14ac:dyDescent="0.2">
      <c r="A38" s="1426" t="s">
        <v>198</v>
      </c>
      <c r="B38" s="611">
        <v>2130</v>
      </c>
      <c r="C38" s="466">
        <v>250690</v>
      </c>
      <c r="D38" s="466">
        <v>59422</v>
      </c>
      <c r="E38" s="466">
        <v>62024</v>
      </c>
      <c r="F38" s="466">
        <v>2537</v>
      </c>
      <c r="G38" s="466">
        <v>0</v>
      </c>
      <c r="H38" s="466">
        <v>0</v>
      </c>
      <c r="I38" s="467">
        <v>0</v>
      </c>
      <c r="J38" s="467">
        <v>0</v>
      </c>
      <c r="K38" s="1593">
        <f t="shared" si="2"/>
        <v>374673</v>
      </c>
      <c r="L38" s="466">
        <v>365351</v>
      </c>
    </row>
    <row r="39" spans="1:14" x14ac:dyDescent="0.2">
      <c r="A39" s="1426" t="s">
        <v>199</v>
      </c>
      <c r="B39" s="611">
        <v>2140</v>
      </c>
      <c r="C39" s="466">
        <v>503026</v>
      </c>
      <c r="D39" s="466">
        <v>36248</v>
      </c>
      <c r="E39" s="466">
        <v>17813</v>
      </c>
      <c r="F39" s="466">
        <v>8197</v>
      </c>
      <c r="G39" s="466">
        <v>0</v>
      </c>
      <c r="H39" s="466">
        <v>0</v>
      </c>
      <c r="I39" s="467">
        <v>0</v>
      </c>
      <c r="J39" s="467">
        <v>0</v>
      </c>
      <c r="K39" s="1593">
        <f t="shared" si="2"/>
        <v>565284</v>
      </c>
      <c r="L39" s="466">
        <v>562378</v>
      </c>
    </row>
    <row r="40" spans="1:14" x14ac:dyDescent="0.2">
      <c r="A40" s="1426" t="s">
        <v>200</v>
      </c>
      <c r="B40" s="611">
        <v>2150</v>
      </c>
      <c r="C40" s="466">
        <v>378741</v>
      </c>
      <c r="D40" s="466">
        <v>41405</v>
      </c>
      <c r="E40" s="466">
        <v>6930</v>
      </c>
      <c r="F40" s="466">
        <v>1280</v>
      </c>
      <c r="G40" s="466">
        <v>0</v>
      </c>
      <c r="H40" s="466">
        <v>0</v>
      </c>
      <c r="I40" s="467">
        <v>0</v>
      </c>
      <c r="J40" s="467">
        <v>0</v>
      </c>
      <c r="K40" s="1593">
        <f t="shared" si="2"/>
        <v>428356</v>
      </c>
      <c r="L40" s="466">
        <v>439616</v>
      </c>
    </row>
    <row r="41" spans="1:14" x14ac:dyDescent="0.2">
      <c r="A41" s="1426" t="s">
        <v>1667</v>
      </c>
      <c r="B41" s="611">
        <v>2190</v>
      </c>
      <c r="C41" s="466">
        <v>0</v>
      </c>
      <c r="D41" s="466">
        <v>0</v>
      </c>
      <c r="E41" s="466">
        <v>0</v>
      </c>
      <c r="F41" s="466">
        <v>0</v>
      </c>
      <c r="G41" s="466">
        <v>0</v>
      </c>
      <c r="H41" s="466">
        <v>0</v>
      </c>
      <c r="I41" s="467">
        <v>0</v>
      </c>
      <c r="J41" s="467">
        <v>0</v>
      </c>
      <c r="K41" s="1593">
        <f t="shared" si="2"/>
        <v>0</v>
      </c>
      <c r="L41" s="466">
        <v>0</v>
      </c>
    </row>
    <row r="42" spans="1:14" ht="12.75" customHeight="1" thickBot="1" x14ac:dyDescent="0.25">
      <c r="A42" s="1590" t="s">
        <v>560</v>
      </c>
      <c r="B42" s="1591" t="s">
        <v>716</v>
      </c>
      <c r="C42" s="1592">
        <f>SUM(C36:C41)</f>
        <v>1800370</v>
      </c>
      <c r="D42" s="1592">
        <f t="shared" ref="D42:L42" si="3">SUM(D36:D41)</f>
        <v>210889</v>
      </c>
      <c r="E42" s="1592">
        <f t="shared" si="3"/>
        <v>98299</v>
      </c>
      <c r="F42" s="1592">
        <f t="shared" si="3"/>
        <v>15052</v>
      </c>
      <c r="G42" s="1592">
        <f t="shared" si="3"/>
        <v>0</v>
      </c>
      <c r="H42" s="1592">
        <f t="shared" si="3"/>
        <v>0</v>
      </c>
      <c r="I42" s="1592">
        <f t="shared" si="3"/>
        <v>0</v>
      </c>
      <c r="J42" s="1592">
        <f t="shared" si="3"/>
        <v>0</v>
      </c>
      <c r="K42" s="1592">
        <f t="shared" si="3"/>
        <v>2124610</v>
      </c>
      <c r="L42" s="1592">
        <f t="shared" si="3"/>
        <v>2135732</v>
      </c>
    </row>
    <row r="43" spans="1:14" ht="15.75" customHeight="1" thickTop="1" x14ac:dyDescent="0.2">
      <c r="A43" s="621" t="s">
        <v>592</v>
      </c>
      <c r="B43" s="622"/>
      <c r="C43" s="623"/>
      <c r="D43" s="623"/>
      <c r="E43" s="623"/>
      <c r="F43" s="623"/>
      <c r="G43" s="623"/>
      <c r="H43" s="623"/>
      <c r="I43" s="613"/>
      <c r="J43" s="613"/>
      <c r="K43" s="623"/>
      <c r="L43" s="623"/>
    </row>
    <row r="44" spans="1:14" x14ac:dyDescent="0.2">
      <c r="A44" s="1426" t="s">
        <v>814</v>
      </c>
      <c r="B44" s="611">
        <v>2210</v>
      </c>
      <c r="C44" s="479">
        <v>37686</v>
      </c>
      <c r="D44" s="479">
        <v>14501</v>
      </c>
      <c r="E44" s="479">
        <v>23491</v>
      </c>
      <c r="F44" s="479">
        <v>1215</v>
      </c>
      <c r="G44" s="479">
        <v>0</v>
      </c>
      <c r="H44" s="479">
        <v>0</v>
      </c>
      <c r="I44" s="467">
        <v>0</v>
      </c>
      <c r="J44" s="467">
        <v>0</v>
      </c>
      <c r="K44" s="1594">
        <f>SUM(C44:J44)</f>
        <v>76893</v>
      </c>
      <c r="L44" s="479">
        <v>76760</v>
      </c>
    </row>
    <row r="45" spans="1:14" x14ac:dyDescent="0.2">
      <c r="A45" s="1426" t="s">
        <v>815</v>
      </c>
      <c r="B45" s="611">
        <v>2220</v>
      </c>
      <c r="C45" s="466">
        <v>0</v>
      </c>
      <c r="D45" s="466">
        <v>0</v>
      </c>
      <c r="E45" s="466">
        <v>0</v>
      </c>
      <c r="F45" s="466">
        <v>0</v>
      </c>
      <c r="G45" s="466">
        <v>0</v>
      </c>
      <c r="H45" s="466">
        <v>0</v>
      </c>
      <c r="I45" s="467">
        <v>0</v>
      </c>
      <c r="J45" s="467">
        <v>0</v>
      </c>
      <c r="K45" s="1594">
        <f>SUM(C45:J45)</f>
        <v>0</v>
      </c>
      <c r="L45" s="466">
        <v>0</v>
      </c>
    </row>
    <row r="46" spans="1:14" x14ac:dyDescent="0.2">
      <c r="A46" s="1426" t="s">
        <v>816</v>
      </c>
      <c r="B46" s="611">
        <v>2230</v>
      </c>
      <c r="C46" s="466">
        <v>0</v>
      </c>
      <c r="D46" s="466">
        <v>0</v>
      </c>
      <c r="E46" s="466">
        <v>0</v>
      </c>
      <c r="F46" s="466">
        <v>0</v>
      </c>
      <c r="G46" s="466">
        <v>0</v>
      </c>
      <c r="H46" s="466">
        <v>0</v>
      </c>
      <c r="I46" s="467">
        <v>0</v>
      </c>
      <c r="J46" s="467">
        <v>0</v>
      </c>
      <c r="K46" s="1594">
        <f>SUM(C46:J46)</f>
        <v>0</v>
      </c>
      <c r="L46" s="466">
        <v>0</v>
      </c>
    </row>
    <row r="47" spans="1:14" ht="12.75" customHeight="1" thickBot="1" x14ac:dyDescent="0.25">
      <c r="A47" s="1590" t="s">
        <v>561</v>
      </c>
      <c r="B47" s="1591" t="s">
        <v>32</v>
      </c>
      <c r="C47" s="1592">
        <f>SUM(C44:C46)</f>
        <v>37686</v>
      </c>
      <c r="D47" s="1592">
        <f t="shared" ref="D47:K47" si="4">SUM(D44:D46)</f>
        <v>14501</v>
      </c>
      <c r="E47" s="1592">
        <f t="shared" si="4"/>
        <v>23491</v>
      </c>
      <c r="F47" s="1592">
        <f t="shared" si="4"/>
        <v>1215</v>
      </c>
      <c r="G47" s="1592">
        <f t="shared" si="4"/>
        <v>0</v>
      </c>
      <c r="H47" s="1592">
        <f t="shared" si="4"/>
        <v>0</v>
      </c>
      <c r="I47" s="1592">
        <f t="shared" si="4"/>
        <v>0</v>
      </c>
      <c r="J47" s="1592">
        <f t="shared" si="4"/>
        <v>0</v>
      </c>
      <c r="K47" s="1592">
        <f t="shared" si="4"/>
        <v>76893</v>
      </c>
      <c r="L47" s="1592">
        <f>SUM(L44:L46)</f>
        <v>76760</v>
      </c>
    </row>
    <row r="48" spans="1:14" ht="15.75" customHeight="1" thickTop="1" x14ac:dyDescent="0.2">
      <c r="A48" s="621" t="s">
        <v>610</v>
      </c>
      <c r="B48" s="622"/>
      <c r="C48" s="623"/>
      <c r="D48" s="623"/>
      <c r="E48" s="623"/>
      <c r="F48" s="623"/>
      <c r="G48" s="623"/>
      <c r="H48" s="623"/>
      <c r="I48" s="613"/>
      <c r="J48" s="613"/>
      <c r="K48" s="623"/>
      <c r="L48" s="623"/>
    </row>
    <row r="49" spans="1:14" x14ac:dyDescent="0.2">
      <c r="A49" s="1426" t="s">
        <v>817</v>
      </c>
      <c r="B49" s="611">
        <v>2310</v>
      </c>
      <c r="C49" s="479">
        <v>0</v>
      </c>
      <c r="D49" s="479">
        <v>0</v>
      </c>
      <c r="E49" s="479">
        <v>0</v>
      </c>
      <c r="F49" s="479">
        <v>0</v>
      </c>
      <c r="G49" s="479">
        <v>0</v>
      </c>
      <c r="H49" s="479">
        <v>0</v>
      </c>
      <c r="I49" s="467">
        <v>0</v>
      </c>
      <c r="J49" s="467">
        <v>0</v>
      </c>
      <c r="K49" s="1594">
        <f>SUM(C49:J49)</f>
        <v>0</v>
      </c>
      <c r="L49" s="479">
        <v>0</v>
      </c>
    </row>
    <row r="50" spans="1:14" x14ac:dyDescent="0.2">
      <c r="A50" s="1426" t="s">
        <v>818</v>
      </c>
      <c r="B50" s="611">
        <v>2320</v>
      </c>
      <c r="C50" s="467">
        <v>0</v>
      </c>
      <c r="D50" s="466">
        <v>0</v>
      </c>
      <c r="E50" s="466">
        <v>0</v>
      </c>
      <c r="F50" s="466">
        <v>0</v>
      </c>
      <c r="G50" s="466">
        <v>0</v>
      </c>
      <c r="H50" s="466">
        <v>0</v>
      </c>
      <c r="I50" s="467">
        <v>0</v>
      </c>
      <c r="J50" s="467">
        <v>0</v>
      </c>
      <c r="K50" s="1594">
        <f>SUM(C50:J50)</f>
        <v>0</v>
      </c>
      <c r="L50" s="466">
        <v>0</v>
      </c>
    </row>
    <row r="51" spans="1:14" x14ac:dyDescent="0.2">
      <c r="A51" s="1426" t="s">
        <v>42</v>
      </c>
      <c r="B51" s="611">
        <v>2330</v>
      </c>
      <c r="C51" s="466">
        <v>611131</v>
      </c>
      <c r="D51" s="466">
        <v>185139</v>
      </c>
      <c r="E51" s="466">
        <v>160606</v>
      </c>
      <c r="F51" s="466">
        <v>64917</v>
      </c>
      <c r="G51" s="466">
        <v>11217</v>
      </c>
      <c r="H51" s="466">
        <v>6924</v>
      </c>
      <c r="I51" s="467">
        <v>0</v>
      </c>
      <c r="J51" s="467">
        <v>0</v>
      </c>
      <c r="K51" s="1594">
        <f>SUM(C51:J51)</f>
        <v>1039934</v>
      </c>
      <c r="L51" s="466">
        <v>1064668</v>
      </c>
    </row>
    <row r="52" spans="1:14" ht="22.5" x14ac:dyDescent="0.2">
      <c r="A52" s="1427" t="s">
        <v>298</v>
      </c>
      <c r="B52" s="624" t="s">
        <v>366</v>
      </c>
      <c r="C52" s="473">
        <v>0</v>
      </c>
      <c r="D52" s="473">
        <v>0</v>
      </c>
      <c r="E52" s="473">
        <v>0</v>
      </c>
      <c r="F52" s="473">
        <v>0</v>
      </c>
      <c r="G52" s="473">
        <v>0</v>
      </c>
      <c r="H52" s="473">
        <v>0</v>
      </c>
      <c r="I52" s="473">
        <v>0</v>
      </c>
      <c r="J52" s="473">
        <v>0</v>
      </c>
      <c r="K52" s="1594">
        <f>SUM(C52:J52)</f>
        <v>0</v>
      </c>
      <c r="L52" s="473">
        <v>0</v>
      </c>
    </row>
    <row r="53" spans="1:14" ht="12.75" customHeight="1" thickBot="1" x14ac:dyDescent="0.25">
      <c r="A53" s="1590" t="s">
        <v>717</v>
      </c>
      <c r="B53" s="1591" t="s">
        <v>33</v>
      </c>
      <c r="C53" s="1592">
        <f>SUM(C49:C52)</f>
        <v>611131</v>
      </c>
      <c r="D53" s="1592">
        <f t="shared" ref="D53:L53" si="5">SUM(D49:D52)</f>
        <v>185139</v>
      </c>
      <c r="E53" s="1592">
        <f t="shared" si="5"/>
        <v>160606</v>
      </c>
      <c r="F53" s="1592">
        <f t="shared" si="5"/>
        <v>64917</v>
      </c>
      <c r="G53" s="1592">
        <f t="shared" si="5"/>
        <v>11217</v>
      </c>
      <c r="H53" s="1592">
        <f t="shared" si="5"/>
        <v>6924</v>
      </c>
      <c r="I53" s="1592">
        <f t="shared" si="5"/>
        <v>0</v>
      </c>
      <c r="J53" s="1592">
        <f t="shared" si="5"/>
        <v>0</v>
      </c>
      <c r="K53" s="1592">
        <f t="shared" si="5"/>
        <v>1039934</v>
      </c>
      <c r="L53" s="1592">
        <f t="shared" si="5"/>
        <v>1064668</v>
      </c>
    </row>
    <row r="54" spans="1:14" ht="15.75" customHeight="1" thickTop="1" x14ac:dyDescent="0.2">
      <c r="A54" s="621" t="s">
        <v>611</v>
      </c>
      <c r="B54" s="622"/>
      <c r="C54" s="623"/>
      <c r="D54" s="623"/>
      <c r="E54" s="623"/>
      <c r="F54" s="623"/>
      <c r="G54" s="623"/>
      <c r="H54" s="623"/>
      <c r="I54" s="613"/>
      <c r="J54" s="613"/>
      <c r="K54" s="623"/>
      <c r="L54" s="623"/>
    </row>
    <row r="55" spans="1:14" x14ac:dyDescent="0.2">
      <c r="A55" s="1426" t="s">
        <v>1067</v>
      </c>
      <c r="B55" s="611">
        <v>2410</v>
      </c>
      <c r="C55" s="479">
        <v>0</v>
      </c>
      <c r="D55" s="479">
        <v>0</v>
      </c>
      <c r="E55" s="479">
        <v>0</v>
      </c>
      <c r="F55" s="479">
        <v>0</v>
      </c>
      <c r="G55" s="479">
        <v>0</v>
      </c>
      <c r="H55" s="479">
        <v>0</v>
      </c>
      <c r="I55" s="467">
        <v>0</v>
      </c>
      <c r="J55" s="467">
        <v>0</v>
      </c>
      <c r="K55" s="1594">
        <f>SUM(C55:J55)</f>
        <v>0</v>
      </c>
      <c r="L55" s="479">
        <v>0</v>
      </c>
    </row>
    <row r="56" spans="1:14" ht="12.75" customHeight="1" x14ac:dyDescent="0.2">
      <c r="A56" s="1430" t="s">
        <v>376</v>
      </c>
      <c r="B56" s="625">
        <v>2490</v>
      </c>
      <c r="C56" s="466">
        <v>0</v>
      </c>
      <c r="D56" s="466">
        <v>0</v>
      </c>
      <c r="E56" s="466">
        <v>0</v>
      </c>
      <c r="F56" s="466">
        <v>0</v>
      </c>
      <c r="G56" s="466">
        <v>0</v>
      </c>
      <c r="H56" s="466">
        <v>0</v>
      </c>
      <c r="I56" s="467">
        <v>0</v>
      </c>
      <c r="J56" s="467">
        <v>0</v>
      </c>
      <c r="K56" s="1594">
        <f>SUM(C56:J56)</f>
        <v>0</v>
      </c>
      <c r="L56" s="466">
        <v>0</v>
      </c>
    </row>
    <row r="57" spans="1:14" s="343" customFormat="1" ht="12.75" customHeight="1" thickBot="1" x14ac:dyDescent="0.25">
      <c r="A57" s="1590" t="s">
        <v>263</v>
      </c>
      <c r="B57" s="1595" t="s">
        <v>34</v>
      </c>
      <c r="C57" s="1596">
        <f>SUM(C55:C56)</f>
        <v>0</v>
      </c>
      <c r="D57" s="1596">
        <f t="shared" ref="D57:K57" si="6">SUM(D55:D56)</f>
        <v>0</v>
      </c>
      <c r="E57" s="1596">
        <f t="shared" si="6"/>
        <v>0</v>
      </c>
      <c r="F57" s="1596">
        <f t="shared" si="6"/>
        <v>0</v>
      </c>
      <c r="G57" s="1596">
        <f t="shared" si="6"/>
        <v>0</v>
      </c>
      <c r="H57" s="1596">
        <f t="shared" si="6"/>
        <v>0</v>
      </c>
      <c r="I57" s="1596">
        <f t="shared" si="6"/>
        <v>0</v>
      </c>
      <c r="J57" s="1596">
        <f t="shared" si="6"/>
        <v>0</v>
      </c>
      <c r="K57" s="1596">
        <f t="shared" si="6"/>
        <v>0</v>
      </c>
      <c r="L57" s="1592">
        <f>SUM(L55:L56)</f>
        <v>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426" t="s">
        <v>1068</v>
      </c>
      <c r="B59" s="611">
        <v>2510</v>
      </c>
      <c r="C59" s="479">
        <v>0</v>
      </c>
      <c r="D59" s="479">
        <v>0</v>
      </c>
      <c r="E59" s="479">
        <v>0</v>
      </c>
      <c r="F59" s="479">
        <v>0</v>
      </c>
      <c r="G59" s="479">
        <v>0</v>
      </c>
      <c r="H59" s="479">
        <v>0</v>
      </c>
      <c r="I59" s="467">
        <v>0</v>
      </c>
      <c r="J59" s="467">
        <v>0</v>
      </c>
      <c r="K59" s="1594">
        <f t="shared" ref="K59:K64" si="7">SUM(C59:J59)</f>
        <v>0</v>
      </c>
      <c r="L59" s="479">
        <v>0</v>
      </c>
      <c r="M59" s="606"/>
      <c r="N59" s="606"/>
    </row>
    <row r="60" spans="1:14" s="343" customFormat="1" x14ac:dyDescent="0.2">
      <c r="A60" s="1426" t="s">
        <v>463</v>
      </c>
      <c r="B60" s="611">
        <v>2520</v>
      </c>
      <c r="C60" s="466">
        <v>0</v>
      </c>
      <c r="D60" s="466">
        <v>0</v>
      </c>
      <c r="E60" s="466">
        <v>9617</v>
      </c>
      <c r="F60" s="466">
        <v>0</v>
      </c>
      <c r="G60" s="466">
        <v>0</v>
      </c>
      <c r="H60" s="466">
        <v>0</v>
      </c>
      <c r="I60" s="467">
        <v>0</v>
      </c>
      <c r="J60" s="467">
        <v>0</v>
      </c>
      <c r="K60" s="1594">
        <f t="shared" si="7"/>
        <v>9617</v>
      </c>
      <c r="L60" s="466">
        <v>11500</v>
      </c>
      <c r="M60" s="606"/>
      <c r="N60" s="606"/>
    </row>
    <row r="61" spans="1:14" s="343" customFormat="1" x14ac:dyDescent="0.2">
      <c r="A61" s="1426" t="s">
        <v>197</v>
      </c>
      <c r="B61" s="611">
        <v>2540</v>
      </c>
      <c r="C61" s="466">
        <v>37716</v>
      </c>
      <c r="D61" s="466">
        <v>13638</v>
      </c>
      <c r="E61" s="466">
        <v>39955</v>
      </c>
      <c r="F61" s="466">
        <v>47916</v>
      </c>
      <c r="G61" s="466">
        <v>53243</v>
      </c>
      <c r="H61" s="466">
        <v>0</v>
      </c>
      <c r="I61" s="467">
        <v>0</v>
      </c>
      <c r="J61" s="467">
        <v>0</v>
      </c>
      <c r="K61" s="1594">
        <f t="shared" si="7"/>
        <v>192468</v>
      </c>
      <c r="L61" s="466">
        <v>131608</v>
      </c>
      <c r="M61" s="606"/>
      <c r="N61" s="606"/>
    </row>
    <row r="62" spans="1:14" s="343" customFormat="1" x14ac:dyDescent="0.2">
      <c r="A62" s="1426" t="s">
        <v>953</v>
      </c>
      <c r="B62" s="611">
        <v>2550</v>
      </c>
      <c r="C62" s="466">
        <v>0</v>
      </c>
      <c r="D62" s="466">
        <v>0</v>
      </c>
      <c r="E62" s="466">
        <v>7049</v>
      </c>
      <c r="F62" s="466">
        <v>0</v>
      </c>
      <c r="G62" s="466">
        <v>0</v>
      </c>
      <c r="H62" s="466">
        <v>0</v>
      </c>
      <c r="I62" s="467">
        <v>0</v>
      </c>
      <c r="J62" s="467">
        <v>0</v>
      </c>
      <c r="K62" s="1594">
        <f t="shared" si="7"/>
        <v>7049</v>
      </c>
      <c r="L62" s="466">
        <v>0</v>
      </c>
      <c r="M62" s="606"/>
      <c r="N62" s="606"/>
    </row>
    <row r="63" spans="1:14" s="606" customFormat="1" x14ac:dyDescent="0.2">
      <c r="A63" s="1426" t="s">
        <v>100</v>
      </c>
      <c r="B63" s="611">
        <v>2560</v>
      </c>
      <c r="C63" s="466">
        <v>0</v>
      </c>
      <c r="D63" s="466">
        <v>0</v>
      </c>
      <c r="E63" s="466">
        <v>15768</v>
      </c>
      <c r="F63" s="466">
        <v>8350</v>
      </c>
      <c r="G63" s="466">
        <v>0</v>
      </c>
      <c r="H63" s="466">
        <v>0</v>
      </c>
      <c r="I63" s="467">
        <v>0</v>
      </c>
      <c r="J63" s="467">
        <v>0</v>
      </c>
      <c r="K63" s="1594">
        <f t="shared" si="7"/>
        <v>24118</v>
      </c>
      <c r="L63" s="466">
        <v>35160</v>
      </c>
    </row>
    <row r="64" spans="1:14" s="606" customFormat="1" x14ac:dyDescent="0.2">
      <c r="A64" s="1431" t="s">
        <v>101</v>
      </c>
      <c r="B64" s="627">
        <v>2570</v>
      </c>
      <c r="C64" s="467">
        <v>0</v>
      </c>
      <c r="D64" s="479">
        <v>0</v>
      </c>
      <c r="E64" s="479">
        <v>0</v>
      </c>
      <c r="F64" s="479">
        <v>0</v>
      </c>
      <c r="G64" s="479">
        <v>0</v>
      </c>
      <c r="H64" s="479">
        <v>0</v>
      </c>
      <c r="I64" s="467">
        <v>0</v>
      </c>
      <c r="J64" s="467">
        <v>0</v>
      </c>
      <c r="K64" s="1594">
        <f t="shared" si="7"/>
        <v>0</v>
      </c>
      <c r="L64" s="479">
        <v>0</v>
      </c>
    </row>
    <row r="65" spans="1:14" s="343" customFormat="1" ht="12.75" customHeight="1" thickBot="1" x14ac:dyDescent="0.25">
      <c r="A65" s="1590" t="s">
        <v>719</v>
      </c>
      <c r="B65" s="1591" t="s">
        <v>35</v>
      </c>
      <c r="C65" s="1592">
        <f>SUM(C59:C64)</f>
        <v>37716</v>
      </c>
      <c r="D65" s="1592">
        <f t="shared" ref="D65:L65" si="8">SUM(D59:D64)</f>
        <v>13638</v>
      </c>
      <c r="E65" s="1592">
        <f t="shared" si="8"/>
        <v>72389</v>
      </c>
      <c r="F65" s="1592">
        <f t="shared" si="8"/>
        <v>56266</v>
      </c>
      <c r="G65" s="1592">
        <f t="shared" si="8"/>
        <v>53243</v>
      </c>
      <c r="H65" s="1592">
        <f t="shared" si="8"/>
        <v>0</v>
      </c>
      <c r="I65" s="1592">
        <f t="shared" si="8"/>
        <v>0</v>
      </c>
      <c r="J65" s="1592">
        <f t="shared" si="8"/>
        <v>0</v>
      </c>
      <c r="K65" s="1592">
        <f t="shared" si="8"/>
        <v>233252</v>
      </c>
      <c r="L65" s="1592">
        <f t="shared" si="8"/>
        <v>178268</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426" t="s">
        <v>1060</v>
      </c>
      <c r="B67" s="611">
        <v>2610</v>
      </c>
      <c r="C67" s="466">
        <v>0</v>
      </c>
      <c r="D67" s="466">
        <v>0</v>
      </c>
      <c r="E67" s="466">
        <v>0</v>
      </c>
      <c r="F67" s="466">
        <v>0</v>
      </c>
      <c r="G67" s="466">
        <v>0</v>
      </c>
      <c r="H67" s="466">
        <v>0</v>
      </c>
      <c r="I67" s="467">
        <v>0</v>
      </c>
      <c r="J67" s="467">
        <v>0</v>
      </c>
      <c r="K67" s="1594">
        <f>SUM(C67:J67)</f>
        <v>0</v>
      </c>
      <c r="L67" s="479">
        <v>0</v>
      </c>
      <c r="M67" s="606"/>
      <c r="N67" s="606"/>
    </row>
    <row r="68" spans="1:14" s="343" customFormat="1" x14ac:dyDescent="0.2">
      <c r="A68" s="1426" t="s">
        <v>607</v>
      </c>
      <c r="B68" s="611">
        <v>2620</v>
      </c>
      <c r="C68" s="466">
        <v>0</v>
      </c>
      <c r="D68" s="466">
        <v>0</v>
      </c>
      <c r="E68" s="466">
        <v>0</v>
      </c>
      <c r="F68" s="466">
        <v>0</v>
      </c>
      <c r="G68" s="466">
        <v>0</v>
      </c>
      <c r="H68" s="466">
        <v>0</v>
      </c>
      <c r="I68" s="467">
        <v>0</v>
      </c>
      <c r="J68" s="467">
        <v>0</v>
      </c>
      <c r="K68" s="1594">
        <f>SUM(C68:J68)</f>
        <v>0</v>
      </c>
      <c r="L68" s="466">
        <v>0</v>
      </c>
      <c r="M68" s="606"/>
      <c r="N68" s="606"/>
    </row>
    <row r="69" spans="1:14" s="343" customFormat="1" x14ac:dyDescent="0.2">
      <c r="A69" s="1426" t="s">
        <v>1061</v>
      </c>
      <c r="B69" s="611">
        <v>2630</v>
      </c>
      <c r="C69" s="466">
        <v>0</v>
      </c>
      <c r="D69" s="466">
        <v>0</v>
      </c>
      <c r="E69" s="466">
        <v>0</v>
      </c>
      <c r="F69" s="466">
        <v>0</v>
      </c>
      <c r="G69" s="466">
        <v>0</v>
      </c>
      <c r="H69" s="466">
        <v>0</v>
      </c>
      <c r="I69" s="467">
        <v>0</v>
      </c>
      <c r="J69" s="467">
        <v>0</v>
      </c>
      <c r="K69" s="1594">
        <f>SUM(C69:J69)</f>
        <v>0</v>
      </c>
      <c r="L69" s="466">
        <v>0</v>
      </c>
      <c r="M69" s="606"/>
      <c r="N69" s="606"/>
    </row>
    <row r="70" spans="1:14" s="343" customFormat="1" x14ac:dyDescent="0.2">
      <c r="A70" s="1426" t="s">
        <v>403</v>
      </c>
      <c r="B70" s="611">
        <v>2640</v>
      </c>
      <c r="C70" s="466">
        <v>0</v>
      </c>
      <c r="D70" s="466">
        <v>0</v>
      </c>
      <c r="E70" s="466">
        <v>0</v>
      </c>
      <c r="F70" s="466">
        <v>0</v>
      </c>
      <c r="G70" s="466">
        <v>0</v>
      </c>
      <c r="H70" s="466">
        <v>0</v>
      </c>
      <c r="I70" s="467">
        <v>0</v>
      </c>
      <c r="J70" s="467">
        <v>0</v>
      </c>
      <c r="K70" s="1594">
        <f>SUM(C70:J70)</f>
        <v>0</v>
      </c>
      <c r="L70" s="466">
        <v>0</v>
      </c>
      <c r="M70" s="606"/>
      <c r="N70" s="606"/>
    </row>
    <row r="71" spans="1:14" s="343" customFormat="1" x14ac:dyDescent="0.2">
      <c r="A71" s="1426" t="s">
        <v>404</v>
      </c>
      <c r="B71" s="611">
        <v>2660</v>
      </c>
      <c r="C71" s="466">
        <v>0</v>
      </c>
      <c r="D71" s="466">
        <v>0</v>
      </c>
      <c r="E71" s="466">
        <v>0</v>
      </c>
      <c r="F71" s="466">
        <v>0</v>
      </c>
      <c r="G71" s="466">
        <v>0</v>
      </c>
      <c r="H71" s="466">
        <v>0</v>
      </c>
      <c r="I71" s="467">
        <v>0</v>
      </c>
      <c r="J71" s="467">
        <v>0</v>
      </c>
      <c r="K71" s="1594">
        <f>SUM(C71:J71)</f>
        <v>0</v>
      </c>
      <c r="L71" s="466">
        <v>0</v>
      </c>
      <c r="M71" s="606"/>
      <c r="N71" s="606"/>
    </row>
    <row r="72" spans="1:14" s="343" customFormat="1" ht="12.75" customHeight="1" thickBot="1" x14ac:dyDescent="0.25">
      <c r="A72" s="1590" t="s">
        <v>37</v>
      </c>
      <c r="B72" s="1597" t="s">
        <v>36</v>
      </c>
      <c r="C72" s="1592">
        <f>SUM(C67:C71)</f>
        <v>0</v>
      </c>
      <c r="D72" s="1592">
        <f t="shared" ref="D72:K72" si="9">SUM(D67:D71)</f>
        <v>0</v>
      </c>
      <c r="E72" s="1592">
        <f t="shared" si="9"/>
        <v>0</v>
      </c>
      <c r="F72" s="1592">
        <f t="shared" si="9"/>
        <v>0</v>
      </c>
      <c r="G72" s="1592">
        <f t="shared" si="9"/>
        <v>0</v>
      </c>
      <c r="H72" s="1592">
        <f t="shared" si="9"/>
        <v>0</v>
      </c>
      <c r="I72" s="1592">
        <f t="shared" si="9"/>
        <v>0</v>
      </c>
      <c r="J72" s="1592">
        <f t="shared" si="9"/>
        <v>0</v>
      </c>
      <c r="K72" s="1592">
        <f t="shared" si="9"/>
        <v>0</v>
      </c>
      <c r="L72" s="1592">
        <f>SUM(L67:L71)</f>
        <v>0</v>
      </c>
      <c r="M72" s="606"/>
      <c r="N72" s="606"/>
    </row>
    <row r="73" spans="1:14" s="343" customFormat="1" ht="14.25" thickTop="1" thickBot="1" x14ac:dyDescent="0.25">
      <c r="A73" s="1432" t="s">
        <v>980</v>
      </c>
      <c r="B73" s="629" t="s">
        <v>574</v>
      </c>
      <c r="C73" s="467">
        <v>0</v>
      </c>
      <c r="D73" s="467">
        <v>0</v>
      </c>
      <c r="E73" s="467">
        <v>0</v>
      </c>
      <c r="F73" s="467">
        <v>0</v>
      </c>
      <c r="G73" s="467">
        <v>0</v>
      </c>
      <c r="H73" s="467">
        <v>0</v>
      </c>
      <c r="I73" s="467">
        <v>0</v>
      </c>
      <c r="J73" s="467">
        <v>0</v>
      </c>
      <c r="K73" s="1592">
        <f>SUM(C73:J73)</f>
        <v>0</v>
      </c>
      <c r="L73" s="573">
        <v>0</v>
      </c>
      <c r="M73" s="606"/>
      <c r="N73" s="606"/>
    </row>
    <row r="74" spans="1:14" ht="12.75" customHeight="1" thickTop="1" thickBot="1" x14ac:dyDescent="0.25">
      <c r="A74" s="1590" t="s">
        <v>811</v>
      </c>
      <c r="B74" s="1598">
        <v>2000</v>
      </c>
      <c r="C74" s="1599">
        <f>SUM(C42,C47,C53,C57,C65,C72,C73)</f>
        <v>2486903</v>
      </c>
      <c r="D74" s="1599">
        <f t="shared" ref="D74:K74" si="10">SUM(D42,D47,D53,D57,D65,D72,D73)</f>
        <v>424167</v>
      </c>
      <c r="E74" s="1599">
        <f t="shared" si="10"/>
        <v>354785</v>
      </c>
      <c r="F74" s="1599">
        <f t="shared" si="10"/>
        <v>137450</v>
      </c>
      <c r="G74" s="1599">
        <f t="shared" si="10"/>
        <v>64460</v>
      </c>
      <c r="H74" s="1599">
        <f t="shared" si="10"/>
        <v>6924</v>
      </c>
      <c r="I74" s="1599">
        <f t="shared" si="10"/>
        <v>0</v>
      </c>
      <c r="J74" s="1599">
        <f t="shared" si="10"/>
        <v>0</v>
      </c>
      <c r="K74" s="1599">
        <f t="shared" si="10"/>
        <v>3474689</v>
      </c>
      <c r="L74" s="1599">
        <f>SUM(L42,L47,L53,L57,L65,L72,L73)</f>
        <v>3455428</v>
      </c>
    </row>
    <row r="75" spans="1:14" s="259" customFormat="1" ht="15.75" customHeight="1" thickTop="1" thickBot="1" x14ac:dyDescent="0.25">
      <c r="A75" s="1532" t="s">
        <v>47</v>
      </c>
      <c r="B75" s="1533" t="s">
        <v>575</v>
      </c>
      <c r="C75" s="467">
        <v>59991</v>
      </c>
      <c r="D75" s="467">
        <v>12815</v>
      </c>
      <c r="E75" s="467">
        <v>3808</v>
      </c>
      <c r="F75" s="467">
        <v>755</v>
      </c>
      <c r="G75" s="467">
        <v>0</v>
      </c>
      <c r="H75" s="467">
        <v>0</v>
      </c>
      <c r="I75" s="467">
        <v>0</v>
      </c>
      <c r="J75" s="467">
        <v>0</v>
      </c>
      <c r="K75" s="1592">
        <f>SUM(C75:J75)</f>
        <v>77369</v>
      </c>
      <c r="L75" s="573">
        <v>57374</v>
      </c>
      <c r="M75" s="610"/>
      <c r="N75" s="610"/>
    </row>
    <row r="76" spans="1:14" s="630" customFormat="1" ht="15.75" customHeight="1" thickTop="1" x14ac:dyDescent="0.2">
      <c r="A76" s="1534" t="s">
        <v>365</v>
      </c>
      <c r="B76" s="1531"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426" t="s">
        <v>496</v>
      </c>
      <c r="B78" s="611">
        <v>4110</v>
      </c>
      <c r="C78" s="613"/>
      <c r="D78" s="613"/>
      <c r="E78" s="479">
        <v>0</v>
      </c>
      <c r="F78" s="613"/>
      <c r="G78" s="613"/>
      <c r="H78" s="631">
        <v>0</v>
      </c>
      <c r="I78" s="475"/>
      <c r="J78" s="475"/>
      <c r="K78" s="1593">
        <f t="shared" ref="K78:K83" si="11">SUM(C78:J78)</f>
        <v>0</v>
      </c>
      <c r="L78" s="479">
        <v>0</v>
      </c>
    </row>
    <row r="79" spans="1:14" x14ac:dyDescent="0.2">
      <c r="A79" s="1426" t="s">
        <v>304</v>
      </c>
      <c r="B79" s="611">
        <v>4120</v>
      </c>
      <c r="C79" s="613"/>
      <c r="D79" s="613"/>
      <c r="E79" s="466">
        <v>0</v>
      </c>
      <c r="F79" s="613"/>
      <c r="G79" s="613"/>
      <c r="H79" s="466">
        <v>0</v>
      </c>
      <c r="I79" s="475"/>
      <c r="J79" s="475"/>
      <c r="K79" s="1593">
        <f t="shared" si="11"/>
        <v>0</v>
      </c>
      <c r="L79" s="466">
        <v>0</v>
      </c>
    </row>
    <row r="80" spans="1:14" x14ac:dyDescent="0.2">
      <c r="A80" s="1426" t="s">
        <v>305</v>
      </c>
      <c r="B80" s="611">
        <v>4130</v>
      </c>
      <c r="C80" s="613"/>
      <c r="D80" s="613"/>
      <c r="E80" s="466">
        <v>0</v>
      </c>
      <c r="F80" s="613"/>
      <c r="G80" s="613"/>
      <c r="H80" s="466">
        <v>0</v>
      </c>
      <c r="I80" s="475"/>
      <c r="J80" s="475"/>
      <c r="K80" s="1593">
        <f t="shared" si="11"/>
        <v>0</v>
      </c>
      <c r="L80" s="466">
        <v>0</v>
      </c>
    </row>
    <row r="81" spans="1:12" x14ac:dyDescent="0.2">
      <c r="A81" s="1426" t="s">
        <v>697</v>
      </c>
      <c r="B81" s="611">
        <v>4140</v>
      </c>
      <c r="C81" s="613"/>
      <c r="D81" s="613"/>
      <c r="E81" s="466">
        <v>0</v>
      </c>
      <c r="F81" s="613"/>
      <c r="G81" s="613"/>
      <c r="H81" s="466">
        <v>0</v>
      </c>
      <c r="I81" s="475"/>
      <c r="J81" s="475"/>
      <c r="K81" s="1593">
        <f t="shared" si="11"/>
        <v>0</v>
      </c>
      <c r="L81" s="466">
        <v>0</v>
      </c>
    </row>
    <row r="82" spans="1:12" x14ac:dyDescent="0.2">
      <c r="A82" s="1426" t="s">
        <v>86</v>
      </c>
      <c r="B82" s="611">
        <v>4170</v>
      </c>
      <c r="C82" s="613"/>
      <c r="D82" s="613"/>
      <c r="E82" s="466">
        <v>0</v>
      </c>
      <c r="F82" s="613"/>
      <c r="G82" s="613"/>
      <c r="H82" s="466">
        <v>0</v>
      </c>
      <c r="I82" s="475"/>
      <c r="J82" s="475"/>
      <c r="K82" s="1593">
        <f t="shared" si="11"/>
        <v>0</v>
      </c>
      <c r="L82" s="466">
        <v>0</v>
      </c>
    </row>
    <row r="83" spans="1:12" x14ac:dyDescent="0.2">
      <c r="A83" s="1430" t="s">
        <v>698</v>
      </c>
      <c r="B83" s="625">
        <v>4190</v>
      </c>
      <c r="C83" s="613"/>
      <c r="D83" s="613"/>
      <c r="E83" s="466">
        <v>0</v>
      </c>
      <c r="F83" s="613"/>
      <c r="G83" s="613"/>
      <c r="H83" s="466">
        <v>7000</v>
      </c>
      <c r="I83" s="475"/>
      <c r="J83" s="475"/>
      <c r="K83" s="1593">
        <f t="shared" si="11"/>
        <v>7000</v>
      </c>
      <c r="L83" s="466">
        <v>7000</v>
      </c>
    </row>
    <row r="84" spans="1:12" ht="13.5" thickBot="1" x14ac:dyDescent="0.25">
      <c r="A84" s="1590" t="s">
        <v>1485</v>
      </c>
      <c r="B84" s="1600">
        <v>4100</v>
      </c>
      <c r="C84" s="613"/>
      <c r="D84" s="613"/>
      <c r="E84" s="1592">
        <f>SUM(E78:E83)</f>
        <v>0</v>
      </c>
      <c r="F84" s="613"/>
      <c r="G84" s="613"/>
      <c r="H84" s="1592">
        <f>SUM(H78:H83)</f>
        <v>7000</v>
      </c>
      <c r="I84" s="475"/>
      <c r="J84" s="475"/>
      <c r="K84" s="1592">
        <f>SUM(K78:K83)</f>
        <v>7000</v>
      </c>
      <c r="L84" s="1592">
        <f>SUM(L78:L83)</f>
        <v>7000</v>
      </c>
    </row>
    <row r="85" spans="1:12" ht="12.75" customHeight="1" thickTop="1" thickBot="1" x14ac:dyDescent="0.25">
      <c r="A85" s="1433" t="s">
        <v>255</v>
      </c>
      <c r="B85" s="632">
        <v>4210</v>
      </c>
      <c r="C85" s="613"/>
      <c r="D85" s="613"/>
      <c r="E85" s="633"/>
      <c r="F85" s="613"/>
      <c r="G85" s="613"/>
      <c r="H85" s="532">
        <v>0</v>
      </c>
      <c r="I85" s="475"/>
      <c r="J85" s="475"/>
      <c r="K85" s="1599">
        <f>H85</f>
        <v>0</v>
      </c>
      <c r="L85" s="527">
        <v>0</v>
      </c>
    </row>
    <row r="86" spans="1:12" ht="12.75" customHeight="1" thickTop="1" thickBot="1" x14ac:dyDescent="0.25">
      <c r="A86" s="1434" t="s">
        <v>699</v>
      </c>
      <c r="B86" s="634">
        <v>4220</v>
      </c>
      <c r="C86" s="613"/>
      <c r="D86" s="613"/>
      <c r="E86" s="635"/>
      <c r="F86" s="613"/>
      <c r="G86" s="613"/>
      <c r="H86" s="467">
        <v>0</v>
      </c>
      <c r="I86" s="475"/>
      <c r="J86" s="475"/>
      <c r="K86" s="1599">
        <f t="shared" ref="K86:K98" si="12">H86</f>
        <v>0</v>
      </c>
      <c r="L86" s="527">
        <v>0</v>
      </c>
    </row>
    <row r="87" spans="1:12" ht="14.25" thickTop="1" thickBot="1" x14ac:dyDescent="0.25">
      <c r="A87" s="1435" t="s">
        <v>700</v>
      </c>
      <c r="B87" s="636">
        <v>4230</v>
      </c>
      <c r="C87" s="613"/>
      <c r="D87" s="613"/>
      <c r="E87" s="635"/>
      <c r="F87" s="613"/>
      <c r="G87" s="613"/>
      <c r="H87" s="467">
        <v>0</v>
      </c>
      <c r="I87" s="475"/>
      <c r="J87" s="475"/>
      <c r="K87" s="1599">
        <f t="shared" si="12"/>
        <v>0</v>
      </c>
      <c r="L87" s="527">
        <v>0</v>
      </c>
    </row>
    <row r="88" spans="1:12" ht="12.75" customHeight="1" thickTop="1" thickBot="1" x14ac:dyDescent="0.25">
      <c r="A88" s="1435" t="s">
        <v>765</v>
      </c>
      <c r="B88" s="636">
        <v>4240</v>
      </c>
      <c r="C88" s="613"/>
      <c r="D88" s="613"/>
      <c r="E88" s="635"/>
      <c r="F88" s="613"/>
      <c r="G88" s="613"/>
      <c r="H88" s="467">
        <v>0</v>
      </c>
      <c r="I88" s="475"/>
      <c r="J88" s="475"/>
      <c r="K88" s="1599">
        <f t="shared" si="12"/>
        <v>0</v>
      </c>
      <c r="L88" s="527">
        <v>0</v>
      </c>
    </row>
    <row r="89" spans="1:12" ht="12.75" customHeight="1" thickTop="1" thickBot="1" x14ac:dyDescent="0.25">
      <c r="A89" s="1435" t="s">
        <v>701</v>
      </c>
      <c r="B89" s="636">
        <v>4270</v>
      </c>
      <c r="C89" s="613"/>
      <c r="D89" s="613"/>
      <c r="E89" s="635"/>
      <c r="F89" s="613"/>
      <c r="G89" s="613"/>
      <c r="H89" s="467">
        <v>0</v>
      </c>
      <c r="I89" s="475"/>
      <c r="J89" s="475"/>
      <c r="K89" s="1599">
        <f t="shared" si="12"/>
        <v>0</v>
      </c>
      <c r="L89" s="527">
        <v>0</v>
      </c>
    </row>
    <row r="90" spans="1:12" ht="12.75" customHeight="1" thickTop="1" thickBot="1" x14ac:dyDescent="0.25">
      <c r="A90" s="1435" t="s">
        <v>686</v>
      </c>
      <c r="B90" s="636">
        <v>4280</v>
      </c>
      <c r="C90" s="613"/>
      <c r="D90" s="613"/>
      <c r="E90" s="635"/>
      <c r="F90" s="613"/>
      <c r="G90" s="613"/>
      <c r="H90" s="467">
        <v>0</v>
      </c>
      <c r="I90" s="475"/>
      <c r="J90" s="475"/>
      <c r="K90" s="1599">
        <f t="shared" si="12"/>
        <v>0</v>
      </c>
      <c r="L90" s="527">
        <v>0</v>
      </c>
    </row>
    <row r="91" spans="1:12" ht="12.75" customHeight="1" thickTop="1" thickBot="1" x14ac:dyDescent="0.25">
      <c r="A91" s="1435" t="s">
        <v>687</v>
      </c>
      <c r="B91" s="636">
        <v>4290</v>
      </c>
      <c r="C91" s="613"/>
      <c r="D91" s="613"/>
      <c r="E91" s="635"/>
      <c r="F91" s="613"/>
      <c r="G91" s="613"/>
      <c r="H91" s="467">
        <v>0</v>
      </c>
      <c r="I91" s="475"/>
      <c r="J91" s="475"/>
      <c r="K91" s="1599">
        <f t="shared" si="12"/>
        <v>0</v>
      </c>
      <c r="L91" s="527">
        <v>0</v>
      </c>
    </row>
    <row r="92" spans="1:12" ht="14.25" thickTop="1" thickBot="1" x14ac:dyDescent="0.25">
      <c r="A92" s="1602" t="s">
        <v>1558</v>
      </c>
      <c r="B92" s="1600">
        <v>4200</v>
      </c>
      <c r="C92" s="613"/>
      <c r="D92" s="613"/>
      <c r="E92" s="635"/>
      <c r="F92" s="613"/>
      <c r="G92" s="613"/>
      <c r="H92" s="1592">
        <f>SUM(H85:H91)</f>
        <v>0</v>
      </c>
      <c r="I92" s="475"/>
      <c r="J92" s="475"/>
      <c r="K92" s="1599">
        <f t="shared" si="12"/>
        <v>0</v>
      </c>
      <c r="L92" s="1592">
        <f>SUM(L85:L91)</f>
        <v>0</v>
      </c>
    </row>
    <row r="93" spans="1:12" ht="14.25" thickTop="1" thickBot="1" x14ac:dyDescent="0.25">
      <c r="A93" s="1434" t="s">
        <v>688</v>
      </c>
      <c r="B93" s="637">
        <v>4310</v>
      </c>
      <c r="C93" s="613"/>
      <c r="D93" s="613"/>
      <c r="E93" s="635"/>
      <c r="F93" s="613"/>
      <c r="G93" s="613"/>
      <c r="H93" s="638">
        <v>0</v>
      </c>
      <c r="I93" s="475"/>
      <c r="J93" s="475"/>
      <c r="K93" s="1599">
        <f t="shared" si="12"/>
        <v>0</v>
      </c>
      <c r="L93" s="529">
        <v>0</v>
      </c>
    </row>
    <row r="94" spans="1:12" ht="12.75" customHeight="1" thickTop="1" thickBot="1" x14ac:dyDescent="0.25">
      <c r="A94" s="1435" t="s">
        <v>689</v>
      </c>
      <c r="B94" s="636">
        <v>4320</v>
      </c>
      <c r="C94" s="613"/>
      <c r="D94" s="613"/>
      <c r="E94" s="635"/>
      <c r="F94" s="613"/>
      <c r="G94" s="613"/>
      <c r="H94" s="467">
        <v>2219678</v>
      </c>
      <c r="I94" s="475"/>
      <c r="J94" s="475"/>
      <c r="K94" s="1599">
        <f t="shared" si="12"/>
        <v>2219678</v>
      </c>
      <c r="L94" s="527">
        <v>1910380</v>
      </c>
    </row>
    <row r="95" spans="1:12" ht="15" customHeight="1" thickTop="1" thickBot="1" x14ac:dyDescent="0.25">
      <c r="A95" s="1435" t="s">
        <v>1488</v>
      </c>
      <c r="B95" s="636">
        <v>4330</v>
      </c>
      <c r="C95" s="613"/>
      <c r="D95" s="613"/>
      <c r="E95" s="635"/>
      <c r="F95" s="613"/>
      <c r="G95" s="613"/>
      <c r="H95" s="467">
        <v>0</v>
      </c>
      <c r="I95" s="475"/>
      <c r="J95" s="475"/>
      <c r="K95" s="1599">
        <f t="shared" si="12"/>
        <v>0</v>
      </c>
      <c r="L95" s="527">
        <v>0</v>
      </c>
    </row>
    <row r="96" spans="1:12" ht="14.25" thickTop="1" thickBot="1" x14ac:dyDescent="0.25">
      <c r="A96" s="1435" t="s">
        <v>690</v>
      </c>
      <c r="B96" s="636">
        <v>4340</v>
      </c>
      <c r="C96" s="613"/>
      <c r="D96" s="613"/>
      <c r="E96" s="635"/>
      <c r="F96" s="613"/>
      <c r="G96" s="613"/>
      <c r="H96" s="467">
        <v>0</v>
      </c>
      <c r="I96" s="475"/>
      <c r="J96" s="475"/>
      <c r="K96" s="1599">
        <f t="shared" si="12"/>
        <v>0</v>
      </c>
      <c r="L96" s="527">
        <v>0</v>
      </c>
    </row>
    <row r="97" spans="1:14" ht="12.75" customHeight="1" thickTop="1" thickBot="1" x14ac:dyDescent="0.25">
      <c r="A97" s="1435" t="s">
        <v>763</v>
      </c>
      <c r="B97" s="636">
        <v>4370</v>
      </c>
      <c r="C97" s="613"/>
      <c r="D97" s="613"/>
      <c r="E97" s="635"/>
      <c r="F97" s="613"/>
      <c r="G97" s="613"/>
      <c r="H97" s="467">
        <v>0</v>
      </c>
      <c r="I97" s="475"/>
      <c r="J97" s="475"/>
      <c r="K97" s="1599">
        <f t="shared" si="12"/>
        <v>0</v>
      </c>
      <c r="L97" s="527">
        <v>0</v>
      </c>
    </row>
    <row r="98" spans="1:14" ht="14.25" thickTop="1" thickBot="1" x14ac:dyDescent="0.25">
      <c r="A98" s="1435" t="s">
        <v>764</v>
      </c>
      <c r="B98" s="636">
        <v>4380</v>
      </c>
      <c r="C98" s="613"/>
      <c r="D98" s="613"/>
      <c r="E98" s="639"/>
      <c r="F98" s="613"/>
      <c r="G98" s="613"/>
      <c r="H98" s="467">
        <v>0</v>
      </c>
      <c r="I98" s="475"/>
      <c r="J98" s="475"/>
      <c r="K98" s="1599">
        <f t="shared" si="12"/>
        <v>0</v>
      </c>
      <c r="L98" s="527">
        <v>0</v>
      </c>
    </row>
    <row r="99" spans="1:14" ht="14.25" thickTop="1" thickBot="1" x14ac:dyDescent="0.25">
      <c r="A99" s="1435" t="s">
        <v>367</v>
      </c>
      <c r="B99" s="636">
        <v>4390</v>
      </c>
      <c r="C99" s="613"/>
      <c r="D99" s="613"/>
      <c r="E99" s="529">
        <v>0</v>
      </c>
      <c r="F99" s="613"/>
      <c r="G99" s="613"/>
      <c r="H99" s="467">
        <v>0</v>
      </c>
      <c r="I99" s="475"/>
      <c r="J99" s="475"/>
      <c r="K99" s="1599">
        <f>SUM(E99,H99)</f>
        <v>0</v>
      </c>
      <c r="L99" s="527">
        <v>0</v>
      </c>
    </row>
    <row r="100" spans="1:14" ht="14.25" thickTop="1" thickBot="1" x14ac:dyDescent="0.25">
      <c r="A100" s="1602" t="s">
        <v>1486</v>
      </c>
      <c r="B100" s="1603">
        <v>4300</v>
      </c>
      <c r="C100" s="613"/>
      <c r="D100" s="613"/>
      <c r="E100" s="1599">
        <f>SUM(E93:E99)</f>
        <v>0</v>
      </c>
      <c r="F100" s="613"/>
      <c r="G100" s="613"/>
      <c r="H100" s="1599">
        <f>SUM(H93:H99)</f>
        <v>2219678</v>
      </c>
      <c r="I100" s="475"/>
      <c r="J100" s="475"/>
      <c r="K100" s="1599">
        <f>SUM(K93:K99)</f>
        <v>2219678</v>
      </c>
      <c r="L100" s="1599">
        <f>SUM(L93:L99)</f>
        <v>1910380</v>
      </c>
    </row>
    <row r="101" spans="1:14" ht="12.75" customHeight="1" thickTop="1" thickBot="1" x14ac:dyDescent="0.25">
      <c r="A101" s="1432" t="s">
        <v>1489</v>
      </c>
      <c r="B101" s="640" t="s">
        <v>931</v>
      </c>
      <c r="C101" s="613"/>
      <c r="D101" s="613"/>
      <c r="E101" s="528">
        <v>0</v>
      </c>
      <c r="F101" s="613"/>
      <c r="G101" s="613"/>
      <c r="H101" s="528">
        <v>0</v>
      </c>
      <c r="I101" s="475"/>
      <c r="J101" s="475"/>
      <c r="K101" s="1601">
        <f>SUM(C101:J101)</f>
        <v>0</v>
      </c>
      <c r="L101" s="527">
        <v>0</v>
      </c>
    </row>
    <row r="102" spans="1:14" ht="12.75" customHeight="1" thickTop="1" thickBot="1" x14ac:dyDescent="0.25">
      <c r="A102" s="1590" t="s">
        <v>1487</v>
      </c>
      <c r="B102" s="1600">
        <v>4000</v>
      </c>
      <c r="C102" s="613"/>
      <c r="D102" s="613"/>
      <c r="E102" s="1599">
        <f>SUM(E84,E92,E100,E101)</f>
        <v>0</v>
      </c>
      <c r="F102" s="613"/>
      <c r="G102" s="613"/>
      <c r="H102" s="1599">
        <f>SUM(H84,H92,H100,H101)</f>
        <v>2226678</v>
      </c>
      <c r="I102" s="475"/>
      <c r="J102" s="475"/>
      <c r="K102" s="1599">
        <f>SUM(K84,K92,K100,K101)</f>
        <v>2226678</v>
      </c>
      <c r="L102" s="1599">
        <f>SUM(L84,L92,L100,L101)</f>
        <v>1917380</v>
      </c>
    </row>
    <row r="103" spans="1:14" s="630" customFormat="1" ht="15.75" customHeight="1" thickTop="1" x14ac:dyDescent="0.2">
      <c r="A103" s="1534" t="s">
        <v>513</v>
      </c>
      <c r="B103" s="1531"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426" t="s">
        <v>87</v>
      </c>
      <c r="B105" s="611">
        <v>5110</v>
      </c>
      <c r="C105" s="613"/>
      <c r="D105" s="613"/>
      <c r="E105" s="613"/>
      <c r="F105" s="613"/>
      <c r="G105" s="613"/>
      <c r="H105" s="479">
        <v>0</v>
      </c>
      <c r="I105" s="468"/>
      <c r="J105" s="468"/>
      <c r="K105" s="1593">
        <f>H105</f>
        <v>0</v>
      </c>
      <c r="L105" s="479">
        <v>0</v>
      </c>
      <c r="M105" s="210"/>
      <c r="N105" s="210"/>
    </row>
    <row r="106" spans="1:14" s="594" customFormat="1" x14ac:dyDescent="0.2">
      <c r="A106" s="1426" t="s">
        <v>88</v>
      </c>
      <c r="B106" s="611">
        <v>5120</v>
      </c>
      <c r="C106" s="613"/>
      <c r="D106" s="613"/>
      <c r="E106" s="613"/>
      <c r="F106" s="613"/>
      <c r="G106" s="613"/>
      <c r="H106" s="466">
        <v>0</v>
      </c>
      <c r="I106" s="468"/>
      <c r="J106" s="468"/>
      <c r="K106" s="1593">
        <f>H106</f>
        <v>0</v>
      </c>
      <c r="L106" s="466">
        <v>0</v>
      </c>
      <c r="M106" s="210"/>
      <c r="N106" s="210"/>
    </row>
    <row r="107" spans="1:14" s="594" customFormat="1" ht="12.75" customHeight="1" x14ac:dyDescent="0.2">
      <c r="A107" s="1426" t="s">
        <v>1170</v>
      </c>
      <c r="B107" s="611">
        <v>5130</v>
      </c>
      <c r="C107" s="613"/>
      <c r="D107" s="613"/>
      <c r="E107" s="613"/>
      <c r="F107" s="613"/>
      <c r="G107" s="613"/>
      <c r="H107" s="466">
        <v>0</v>
      </c>
      <c r="I107" s="468"/>
      <c r="J107" s="468"/>
      <c r="K107" s="1593">
        <f>H107</f>
        <v>0</v>
      </c>
      <c r="L107" s="466">
        <v>0</v>
      </c>
      <c r="M107" s="210"/>
      <c r="N107" s="210"/>
    </row>
    <row r="108" spans="1:14" s="594" customFormat="1" x14ac:dyDescent="0.2">
      <c r="A108" s="1426" t="s">
        <v>89</v>
      </c>
      <c r="B108" s="611" t="s">
        <v>589</v>
      </c>
      <c r="C108" s="613"/>
      <c r="D108" s="613"/>
      <c r="E108" s="613"/>
      <c r="F108" s="613"/>
      <c r="G108" s="613"/>
      <c r="H108" s="466">
        <v>0</v>
      </c>
      <c r="I108" s="468"/>
      <c r="J108" s="468"/>
      <c r="K108" s="1593">
        <f>H108</f>
        <v>0</v>
      </c>
      <c r="L108" s="466">
        <v>0</v>
      </c>
      <c r="M108" s="210"/>
      <c r="N108" s="210"/>
    </row>
    <row r="109" spans="1:14" s="594" customFormat="1" x14ac:dyDescent="0.2">
      <c r="A109" s="1426" t="s">
        <v>254</v>
      </c>
      <c r="B109" s="625">
        <v>5150</v>
      </c>
      <c r="C109" s="613"/>
      <c r="D109" s="613"/>
      <c r="E109" s="613"/>
      <c r="F109" s="613"/>
      <c r="G109" s="613"/>
      <c r="H109" s="466">
        <v>0</v>
      </c>
      <c r="I109" s="468"/>
      <c r="J109" s="468"/>
      <c r="K109" s="1593">
        <f>H109</f>
        <v>0</v>
      </c>
      <c r="L109" s="466">
        <v>0</v>
      </c>
      <c r="M109" s="210"/>
      <c r="N109" s="210"/>
    </row>
    <row r="110" spans="1:14" s="594" customFormat="1" ht="12.75" customHeight="1" thickBot="1" x14ac:dyDescent="0.25">
      <c r="A110" s="1590" t="s">
        <v>1102</v>
      </c>
      <c r="B110" s="1597" t="s">
        <v>718</v>
      </c>
      <c r="C110" s="613"/>
      <c r="D110" s="613"/>
      <c r="E110" s="613"/>
      <c r="F110" s="613"/>
      <c r="G110" s="613"/>
      <c r="H110" s="1592">
        <f>SUM(H105:H109)</f>
        <v>0</v>
      </c>
      <c r="I110" s="468"/>
      <c r="J110" s="468"/>
      <c r="K110" s="1592">
        <f>SUM(K105:K109)</f>
        <v>0</v>
      </c>
      <c r="L110" s="1592">
        <f>SUM(L105:L109)</f>
        <v>0</v>
      </c>
      <c r="M110" s="210"/>
      <c r="N110" s="210"/>
    </row>
    <row r="111" spans="1:14" s="594" customFormat="1" ht="12.75" customHeight="1" thickTop="1" thickBot="1" x14ac:dyDescent="0.25">
      <c r="A111" s="1436" t="s">
        <v>368</v>
      </c>
      <c r="B111" s="644" t="s">
        <v>38</v>
      </c>
      <c r="C111" s="613"/>
      <c r="D111" s="613"/>
      <c r="E111" s="613"/>
      <c r="F111" s="613"/>
      <c r="G111" s="613"/>
      <c r="H111" s="532">
        <v>0</v>
      </c>
      <c r="I111" s="468"/>
      <c r="J111" s="468"/>
      <c r="K111" s="1605">
        <f>H111</f>
        <v>0</v>
      </c>
      <c r="L111" s="529">
        <v>0</v>
      </c>
      <c r="M111" s="210"/>
      <c r="N111" s="210"/>
    </row>
    <row r="112" spans="1:14" s="594" customFormat="1" ht="12.75" customHeight="1" thickTop="1" thickBot="1" x14ac:dyDescent="0.25">
      <c r="A112" s="1590" t="s">
        <v>638</v>
      </c>
      <c r="B112" s="1591" t="s">
        <v>492</v>
      </c>
      <c r="C112" s="613"/>
      <c r="D112" s="613"/>
      <c r="E112" s="613"/>
      <c r="F112" s="613"/>
      <c r="G112" s="613"/>
      <c r="H112" s="1592">
        <f>SUM(H110:H111)</f>
        <v>0</v>
      </c>
      <c r="I112" s="468"/>
      <c r="J112" s="468"/>
      <c r="K112" s="1592">
        <f>SUM(K110:K111)</f>
        <v>0</v>
      </c>
      <c r="L112" s="1599">
        <f>SUM(L110,L111)</f>
        <v>0</v>
      </c>
      <c r="M112" s="210"/>
      <c r="N112" s="210"/>
    </row>
    <row r="113" spans="1:14" s="259" customFormat="1" ht="15.75" customHeight="1" thickTop="1" thickBot="1" x14ac:dyDescent="0.25">
      <c r="A113" s="1528" t="s">
        <v>514</v>
      </c>
      <c r="B113" s="1535" t="s">
        <v>861</v>
      </c>
      <c r="C113" s="620"/>
      <c r="D113" s="620"/>
      <c r="E113" s="613"/>
      <c r="F113" s="613"/>
      <c r="G113" s="613"/>
      <c r="H113" s="620"/>
      <c r="I113" s="468"/>
      <c r="J113" s="468"/>
      <c r="K113" s="620"/>
      <c r="L113" s="528">
        <v>0</v>
      </c>
      <c r="M113" s="610"/>
      <c r="N113" s="610"/>
    </row>
    <row r="114" spans="1:14" ht="12.75" customHeight="1" thickTop="1" thickBot="1" x14ac:dyDescent="0.25">
      <c r="A114" s="1590" t="s">
        <v>48</v>
      </c>
      <c r="B114" s="1604"/>
      <c r="C114" s="1592">
        <f>SUM(C33,C74,C75,C102,C112,C113)</f>
        <v>4109124</v>
      </c>
      <c r="D114" s="1592">
        <f t="shared" ref="D114:K114" si="13">SUM(D33,D74,D75,D102,D112,D113)</f>
        <v>744273</v>
      </c>
      <c r="E114" s="1592">
        <f t="shared" si="13"/>
        <v>377277</v>
      </c>
      <c r="F114" s="1592">
        <f t="shared" si="13"/>
        <v>203367</v>
      </c>
      <c r="G114" s="1592">
        <f t="shared" si="13"/>
        <v>67857</v>
      </c>
      <c r="H114" s="1592">
        <f>SUM(H33,H74,H75,H102,H112,H113)</f>
        <v>2233602</v>
      </c>
      <c r="I114" s="1592">
        <f t="shared" si="13"/>
        <v>0</v>
      </c>
      <c r="J114" s="1592">
        <f t="shared" si="13"/>
        <v>0</v>
      </c>
      <c r="K114" s="1592">
        <f t="shared" si="13"/>
        <v>7735500</v>
      </c>
      <c r="L114" s="1592">
        <f>SUM(L33,L74,L75,L102,L112,L113)</f>
        <v>7454771</v>
      </c>
    </row>
    <row r="115" spans="1:14" ht="13.5" thickTop="1" x14ac:dyDescent="0.2">
      <c r="A115" s="2289" t="s">
        <v>996</v>
      </c>
      <c r="B115" s="2290"/>
      <c r="C115" s="615"/>
      <c r="D115" s="615"/>
      <c r="E115" s="615"/>
      <c r="F115" s="615"/>
      <c r="G115" s="615"/>
      <c r="H115" s="615"/>
      <c r="I115" s="615"/>
      <c r="J115" s="615"/>
      <c r="K115" s="1606">
        <f>'Revenues 9-14'!C268-'Expenditures 15-22'!K114</f>
        <v>54145</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67" t="s">
        <v>296</v>
      </c>
      <c r="B117" s="2268"/>
      <c r="C117" s="1548"/>
      <c r="D117" s="1549"/>
      <c r="E117" s="1549"/>
      <c r="F117" s="1549"/>
      <c r="G117" s="1549"/>
      <c r="H117" s="1549"/>
      <c r="I117" s="1549"/>
      <c r="J117" s="1549"/>
      <c r="K117" s="1549"/>
      <c r="L117" s="1550"/>
      <c r="M117" s="175"/>
      <c r="N117" s="175"/>
    </row>
    <row r="118" spans="1:14" ht="15.75" customHeight="1" x14ac:dyDescent="0.2">
      <c r="A118" s="1536" t="s">
        <v>1035</v>
      </c>
      <c r="B118" s="1537"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430" t="s">
        <v>2054</v>
      </c>
      <c r="B120" s="625" t="s">
        <v>716</v>
      </c>
      <c r="C120" s="466">
        <v>0</v>
      </c>
      <c r="D120" s="466">
        <v>0</v>
      </c>
      <c r="E120" s="466">
        <v>0</v>
      </c>
      <c r="F120" s="466">
        <v>0</v>
      </c>
      <c r="G120" s="466">
        <v>0</v>
      </c>
      <c r="H120" s="466">
        <v>0</v>
      </c>
      <c r="I120" s="467">
        <v>0</v>
      </c>
      <c r="J120" s="467">
        <v>0</v>
      </c>
      <c r="K120" s="1593">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426" t="s">
        <v>1068</v>
      </c>
      <c r="B122" s="611">
        <v>2510</v>
      </c>
      <c r="C122" s="466">
        <v>0</v>
      </c>
      <c r="D122" s="466">
        <v>0</v>
      </c>
      <c r="E122" s="466">
        <v>0</v>
      </c>
      <c r="F122" s="466">
        <v>0</v>
      </c>
      <c r="G122" s="466">
        <v>0</v>
      </c>
      <c r="H122" s="466">
        <v>0</v>
      </c>
      <c r="I122" s="467">
        <v>0</v>
      </c>
      <c r="J122" s="467">
        <v>0</v>
      </c>
      <c r="K122" s="1592">
        <f>SUM(C122:J122)</f>
        <v>0</v>
      </c>
      <c r="L122" s="466">
        <v>0</v>
      </c>
    </row>
    <row r="123" spans="1:14" ht="14.25" thickTop="1" thickBot="1" x14ac:dyDescent="0.25">
      <c r="A123" s="1426" t="s">
        <v>4</v>
      </c>
      <c r="B123" s="611">
        <v>2530</v>
      </c>
      <c r="C123" s="466">
        <v>0</v>
      </c>
      <c r="D123" s="466">
        <v>0</v>
      </c>
      <c r="E123" s="466">
        <v>0</v>
      </c>
      <c r="F123" s="466">
        <v>0</v>
      </c>
      <c r="G123" s="466">
        <v>0</v>
      </c>
      <c r="H123" s="466">
        <v>0</v>
      </c>
      <c r="I123" s="467">
        <v>0</v>
      </c>
      <c r="J123" s="467">
        <v>0</v>
      </c>
      <c r="K123" s="1592">
        <f>SUM(C123:J123)</f>
        <v>0</v>
      </c>
      <c r="L123" s="466">
        <v>0</v>
      </c>
    </row>
    <row r="124" spans="1:14" ht="14.25" thickTop="1" thickBot="1" x14ac:dyDescent="0.25">
      <c r="A124" s="1426" t="s">
        <v>197</v>
      </c>
      <c r="B124" s="611">
        <v>2540</v>
      </c>
      <c r="C124" s="466">
        <v>0</v>
      </c>
      <c r="D124" s="466">
        <v>0</v>
      </c>
      <c r="E124" s="466">
        <v>0</v>
      </c>
      <c r="F124" s="466">
        <v>0</v>
      </c>
      <c r="G124" s="466">
        <v>0</v>
      </c>
      <c r="H124" s="466">
        <v>0</v>
      </c>
      <c r="I124" s="467">
        <v>0</v>
      </c>
      <c r="J124" s="467">
        <v>0</v>
      </c>
      <c r="K124" s="1592">
        <f>SUM(C124:J124)</f>
        <v>0</v>
      </c>
      <c r="L124" s="466">
        <v>0</v>
      </c>
    </row>
    <row r="125" spans="1:14" ht="14.25" thickTop="1" thickBot="1" x14ac:dyDescent="0.25">
      <c r="A125" s="1426" t="s">
        <v>953</v>
      </c>
      <c r="B125" s="611">
        <v>2550</v>
      </c>
      <c r="C125" s="466">
        <v>0</v>
      </c>
      <c r="D125" s="466">
        <v>0</v>
      </c>
      <c r="E125" s="466">
        <v>0</v>
      </c>
      <c r="F125" s="466">
        <v>0</v>
      </c>
      <c r="G125" s="466">
        <v>0</v>
      </c>
      <c r="H125" s="466">
        <v>0</v>
      </c>
      <c r="I125" s="467">
        <v>0</v>
      </c>
      <c r="J125" s="467">
        <v>0</v>
      </c>
      <c r="K125" s="1592">
        <f>SUM(C125:J125)</f>
        <v>0</v>
      </c>
      <c r="L125" s="466">
        <v>0</v>
      </c>
    </row>
    <row r="126" spans="1:14" ht="14.25" thickTop="1" thickBot="1" x14ac:dyDescent="0.25">
      <c r="A126" s="1426" t="s">
        <v>100</v>
      </c>
      <c r="B126" s="611">
        <v>2560</v>
      </c>
      <c r="C126" s="651"/>
      <c r="D126" s="651"/>
      <c r="E126" s="651"/>
      <c r="F126" s="651"/>
      <c r="G126" s="466">
        <v>0</v>
      </c>
      <c r="H126" s="651"/>
      <c r="I126" s="473">
        <v>0</v>
      </c>
      <c r="J126" s="613"/>
      <c r="K126" s="1592">
        <f>SUM(C126:J126)</f>
        <v>0</v>
      </c>
      <c r="L126" s="466">
        <v>0</v>
      </c>
    </row>
    <row r="127" spans="1:14" ht="12.75" customHeight="1" thickTop="1" thickBot="1" x14ac:dyDescent="0.25">
      <c r="A127" s="1590" t="s">
        <v>719</v>
      </c>
      <c r="B127" s="1591" t="s">
        <v>35</v>
      </c>
      <c r="C127" s="1592">
        <f>SUM(C122:C126)</f>
        <v>0</v>
      </c>
      <c r="D127" s="1592">
        <f t="shared" ref="D127:L127" si="14">SUM(D122:D126)</f>
        <v>0</v>
      </c>
      <c r="E127" s="1592">
        <f t="shared" si="14"/>
        <v>0</v>
      </c>
      <c r="F127" s="1592">
        <f t="shared" si="14"/>
        <v>0</v>
      </c>
      <c r="G127" s="1592">
        <f t="shared" si="14"/>
        <v>0</v>
      </c>
      <c r="H127" s="1592">
        <f t="shared" si="14"/>
        <v>0</v>
      </c>
      <c r="I127" s="1592">
        <f t="shared" si="14"/>
        <v>0</v>
      </c>
      <c r="J127" s="1592">
        <f t="shared" si="14"/>
        <v>0</v>
      </c>
      <c r="K127" s="1592">
        <f t="shared" si="14"/>
        <v>0</v>
      </c>
      <c r="L127" s="1592">
        <f t="shared" si="14"/>
        <v>0</v>
      </c>
    </row>
    <row r="128" spans="1:14" ht="12.75" customHeight="1" thickTop="1" x14ac:dyDescent="0.2">
      <c r="A128" s="1433" t="s">
        <v>980</v>
      </c>
      <c r="B128" s="652" t="s">
        <v>574</v>
      </c>
      <c r="C128" s="653">
        <v>0</v>
      </c>
      <c r="D128" s="653">
        <v>0</v>
      </c>
      <c r="E128" s="653">
        <v>0</v>
      </c>
      <c r="F128" s="653">
        <v>0</v>
      </c>
      <c r="G128" s="653">
        <v>0</v>
      </c>
      <c r="H128" s="653">
        <v>0</v>
      </c>
      <c r="I128" s="532">
        <v>0</v>
      </c>
      <c r="J128" s="532">
        <v>0</v>
      </c>
      <c r="K128" s="1607">
        <f>SUM(C128:J128)</f>
        <v>0</v>
      </c>
      <c r="L128" s="653">
        <v>0</v>
      </c>
    </row>
    <row r="129" spans="1:14" ht="12.75" customHeight="1" thickBot="1" x14ac:dyDescent="0.25">
      <c r="A129" s="1608" t="s">
        <v>811</v>
      </c>
      <c r="B129" s="1609" t="s">
        <v>569</v>
      </c>
      <c r="C129" s="1599">
        <f>SUM(C120,C127,C128)</f>
        <v>0</v>
      </c>
      <c r="D129" s="1599">
        <f t="shared" ref="D129:L129" si="15">SUM(D120,D127,D128)</f>
        <v>0</v>
      </c>
      <c r="E129" s="1599">
        <f t="shared" si="15"/>
        <v>0</v>
      </c>
      <c r="F129" s="1599">
        <f t="shared" si="15"/>
        <v>0</v>
      </c>
      <c r="G129" s="1599">
        <f t="shared" si="15"/>
        <v>0</v>
      </c>
      <c r="H129" s="1599">
        <f t="shared" si="15"/>
        <v>0</v>
      </c>
      <c r="I129" s="1599">
        <f t="shared" si="15"/>
        <v>0</v>
      </c>
      <c r="J129" s="1599">
        <f t="shared" si="15"/>
        <v>0</v>
      </c>
      <c r="K129" s="1599">
        <f t="shared" si="15"/>
        <v>0</v>
      </c>
      <c r="L129" s="1599">
        <f t="shared" si="15"/>
        <v>0</v>
      </c>
    </row>
    <row r="130" spans="1:14" ht="15.75" customHeight="1" thickTop="1" thickBot="1" x14ac:dyDescent="0.25">
      <c r="A130" s="1532" t="s">
        <v>1036</v>
      </c>
      <c r="B130" s="1533" t="s">
        <v>575</v>
      </c>
      <c r="C130" s="573">
        <v>0</v>
      </c>
      <c r="D130" s="573">
        <v>0</v>
      </c>
      <c r="E130" s="573">
        <v>0</v>
      </c>
      <c r="F130" s="573">
        <v>0</v>
      </c>
      <c r="G130" s="573">
        <v>0</v>
      </c>
      <c r="H130" s="573">
        <v>0</v>
      </c>
      <c r="I130" s="528">
        <v>0</v>
      </c>
      <c r="J130" s="528">
        <v>0</v>
      </c>
      <c r="K130" s="1592">
        <f>SUM(C130:J130)</f>
        <v>0</v>
      </c>
      <c r="L130" s="573">
        <v>0</v>
      </c>
    </row>
    <row r="131" spans="1:14" ht="15.75" customHeight="1" thickTop="1" x14ac:dyDescent="0.2">
      <c r="A131" s="1538" t="s">
        <v>616</v>
      </c>
      <c r="B131" s="1531"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12" t="s">
        <v>496</v>
      </c>
      <c r="B133" s="1763" t="s">
        <v>1839</v>
      </c>
      <c r="C133" s="468"/>
      <c r="D133" s="468"/>
      <c r="E133" s="638">
        <v>0</v>
      </c>
      <c r="F133" s="468"/>
      <c r="G133" s="468"/>
      <c r="H133" s="638">
        <v>0</v>
      </c>
      <c r="I133" s="468"/>
      <c r="J133" s="468"/>
      <c r="K133" s="1743">
        <f>SUM(E133,H133)</f>
        <v>0</v>
      </c>
      <c r="L133" s="638">
        <v>0</v>
      </c>
      <c r="M133" s="206"/>
      <c r="N133" s="206"/>
    </row>
    <row r="134" spans="1:14" x14ac:dyDescent="0.2">
      <c r="A134" s="1426" t="s">
        <v>304</v>
      </c>
      <c r="B134" s="611">
        <v>4120</v>
      </c>
      <c r="C134" s="613"/>
      <c r="D134" s="613"/>
      <c r="E134" s="476">
        <v>0</v>
      </c>
      <c r="F134" s="613"/>
      <c r="G134" s="613"/>
      <c r="H134" s="479">
        <v>0</v>
      </c>
      <c r="I134" s="475"/>
      <c r="J134" s="613"/>
      <c r="K134" s="1594">
        <f>SUM(E134,H134)</f>
        <v>0</v>
      </c>
      <c r="L134" s="479">
        <v>0</v>
      </c>
    </row>
    <row r="135" spans="1:14" x14ac:dyDescent="0.2">
      <c r="A135" s="1426" t="s">
        <v>697</v>
      </c>
      <c r="B135" s="611">
        <v>4140</v>
      </c>
      <c r="C135" s="613"/>
      <c r="D135" s="613"/>
      <c r="E135" s="467">
        <v>0</v>
      </c>
      <c r="F135" s="613"/>
      <c r="G135" s="613"/>
      <c r="H135" s="466">
        <v>0</v>
      </c>
      <c r="I135" s="475"/>
      <c r="J135" s="613"/>
      <c r="K135" s="1594">
        <f>SUM(E135,H135)</f>
        <v>0</v>
      </c>
      <c r="L135" s="466">
        <v>0</v>
      </c>
    </row>
    <row r="136" spans="1:14" x14ac:dyDescent="0.2">
      <c r="A136" s="1430" t="s">
        <v>698</v>
      </c>
      <c r="B136" s="625">
        <v>4190</v>
      </c>
      <c r="C136" s="613"/>
      <c r="D136" s="613"/>
      <c r="E136" s="467">
        <v>0</v>
      </c>
      <c r="F136" s="613"/>
      <c r="G136" s="613"/>
      <c r="H136" s="466">
        <v>0</v>
      </c>
      <c r="I136" s="475"/>
      <c r="J136" s="613"/>
      <c r="K136" s="1594">
        <f>SUM(E136,H136)</f>
        <v>0</v>
      </c>
      <c r="L136" s="466">
        <v>0</v>
      </c>
    </row>
    <row r="137" spans="1:14" ht="12.75" customHeight="1" thickBot="1" x14ac:dyDescent="0.25">
      <c r="A137" s="1590" t="s">
        <v>480</v>
      </c>
      <c r="B137" s="1600">
        <v>4100</v>
      </c>
      <c r="C137" s="613"/>
      <c r="D137" s="613"/>
      <c r="E137" s="1592">
        <f>SUM(E133:E136)</f>
        <v>0</v>
      </c>
      <c r="F137" s="613"/>
      <c r="G137" s="613"/>
      <c r="H137" s="1592">
        <f>SUM(H133:H136)</f>
        <v>0</v>
      </c>
      <c r="I137" s="475"/>
      <c r="J137" s="613"/>
      <c r="K137" s="1592">
        <f>SUM(K133:K136)</f>
        <v>0</v>
      </c>
      <c r="L137" s="1592">
        <f>SUM(L133:L136)</f>
        <v>0</v>
      </c>
    </row>
    <row r="138" spans="1:14" ht="12.75" customHeight="1" thickTop="1" thickBot="1" x14ac:dyDescent="0.25">
      <c r="A138" s="1432" t="s">
        <v>96</v>
      </c>
      <c r="B138" s="640" t="s">
        <v>931</v>
      </c>
      <c r="C138" s="613"/>
      <c r="D138" s="613"/>
      <c r="E138" s="573">
        <v>0</v>
      </c>
      <c r="F138" s="613"/>
      <c r="G138" s="613"/>
      <c r="H138" s="573">
        <v>0</v>
      </c>
      <c r="I138" s="475"/>
      <c r="J138" s="613"/>
      <c r="K138" s="1594">
        <f>SUM(E138,H138)</f>
        <v>0</v>
      </c>
      <c r="L138" s="573">
        <v>0</v>
      </c>
    </row>
    <row r="139" spans="1:14" ht="12.75" customHeight="1" thickTop="1" thickBot="1" x14ac:dyDescent="0.25">
      <c r="A139" s="1590" t="s">
        <v>1487</v>
      </c>
      <c r="B139" s="1600">
        <v>4000</v>
      </c>
      <c r="C139" s="613"/>
      <c r="D139" s="613"/>
      <c r="E139" s="1592">
        <f>SUM(E137,E138)</f>
        <v>0</v>
      </c>
      <c r="F139" s="613"/>
      <c r="G139" s="613"/>
      <c r="H139" s="1601">
        <f>SUM(H137:H138)</f>
        <v>0</v>
      </c>
      <c r="I139" s="475"/>
      <c r="J139" s="613"/>
      <c r="K139" s="1594">
        <f>SUM(K137,K138)</f>
        <v>0</v>
      </c>
      <c r="L139" s="1601">
        <f>SUM(L137,L138)</f>
        <v>0</v>
      </c>
    </row>
    <row r="140" spans="1:14" ht="15.75" customHeight="1" thickTop="1" x14ac:dyDescent="0.2">
      <c r="A140" s="1534" t="s">
        <v>1037</v>
      </c>
      <c r="B140" s="1535"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426" t="s">
        <v>87</v>
      </c>
      <c r="B142" s="611">
        <v>5110</v>
      </c>
      <c r="C142" s="613"/>
      <c r="D142" s="613"/>
      <c r="E142" s="613"/>
      <c r="F142" s="613"/>
      <c r="G142" s="613"/>
      <c r="H142" s="479">
        <v>0</v>
      </c>
      <c r="I142" s="468"/>
      <c r="J142" s="613"/>
      <c r="K142" s="1594">
        <f>SUM(H142)</f>
        <v>0</v>
      </c>
      <c r="L142" s="479">
        <v>0</v>
      </c>
    </row>
    <row r="143" spans="1:14" x14ac:dyDescent="0.2">
      <c r="A143" s="1426" t="s">
        <v>88</v>
      </c>
      <c r="B143" s="611">
        <v>5120</v>
      </c>
      <c r="C143" s="613"/>
      <c r="D143" s="613"/>
      <c r="E143" s="613"/>
      <c r="F143" s="613"/>
      <c r="G143" s="613"/>
      <c r="H143" s="466">
        <v>0</v>
      </c>
      <c r="I143" s="468"/>
      <c r="J143" s="613"/>
      <c r="K143" s="1594">
        <f>SUM(H143)</f>
        <v>0</v>
      </c>
      <c r="L143" s="466">
        <v>0</v>
      </c>
    </row>
    <row r="144" spans="1:14" ht="12.75" customHeight="1" x14ac:dyDescent="0.2">
      <c r="A144" s="1426" t="s">
        <v>1170</v>
      </c>
      <c r="B144" s="625" t="s">
        <v>617</v>
      </c>
      <c r="C144" s="613"/>
      <c r="D144" s="613"/>
      <c r="E144" s="613"/>
      <c r="F144" s="613"/>
      <c r="G144" s="613"/>
      <c r="H144" s="466">
        <v>0</v>
      </c>
      <c r="I144" s="468"/>
      <c r="J144" s="613"/>
      <c r="K144" s="1594">
        <f>SUM(H144)</f>
        <v>0</v>
      </c>
      <c r="L144" s="466">
        <v>0</v>
      </c>
    </row>
    <row r="145" spans="1:14" x14ac:dyDescent="0.2">
      <c r="A145" s="1426" t="s">
        <v>89</v>
      </c>
      <c r="B145" s="611" t="s">
        <v>589</v>
      </c>
      <c r="C145" s="613"/>
      <c r="D145" s="613"/>
      <c r="E145" s="613"/>
      <c r="F145" s="613"/>
      <c r="G145" s="613"/>
      <c r="H145" s="466">
        <v>0</v>
      </c>
      <c r="I145" s="468"/>
      <c r="J145" s="613"/>
      <c r="K145" s="1594">
        <f>SUM(H145)</f>
        <v>0</v>
      </c>
      <c r="L145" s="466">
        <v>0</v>
      </c>
    </row>
    <row r="146" spans="1:14" ht="12.75" customHeight="1" x14ac:dyDescent="0.2">
      <c r="A146" s="1426" t="s">
        <v>619</v>
      </c>
      <c r="B146" s="611" t="s">
        <v>618</v>
      </c>
      <c r="C146" s="613"/>
      <c r="D146" s="613"/>
      <c r="E146" s="613"/>
      <c r="F146" s="613"/>
      <c r="G146" s="613"/>
      <c r="H146" s="466">
        <v>0</v>
      </c>
      <c r="I146" s="468"/>
      <c r="J146" s="613"/>
      <c r="K146" s="1594">
        <f>SUM(H146)</f>
        <v>0</v>
      </c>
      <c r="L146" s="466">
        <v>0</v>
      </c>
    </row>
    <row r="147" spans="1:14" ht="12.75" customHeight="1" thickBot="1" x14ac:dyDescent="0.25">
      <c r="A147" s="1437" t="s">
        <v>626</v>
      </c>
      <c r="B147" s="656" t="s">
        <v>718</v>
      </c>
      <c r="C147" s="613"/>
      <c r="D147" s="613"/>
      <c r="E147" s="613"/>
      <c r="F147" s="613"/>
      <c r="G147" s="613"/>
      <c r="H147" s="1610">
        <f>SUM(H142:H146)</f>
        <v>0</v>
      </c>
      <c r="I147" s="468"/>
      <c r="J147" s="613"/>
      <c r="K147" s="1592">
        <f>SUM(K142:K146)</f>
        <v>0</v>
      </c>
      <c r="L147" s="1610">
        <f>SUM(L142:L146)</f>
        <v>0</v>
      </c>
    </row>
    <row r="148" spans="1:14" ht="15.75" customHeight="1" thickTop="1" x14ac:dyDescent="0.2">
      <c r="A148" s="657" t="s">
        <v>1103</v>
      </c>
      <c r="B148" s="658" t="s">
        <v>38</v>
      </c>
      <c r="C148" s="613"/>
      <c r="D148" s="613"/>
      <c r="E148" s="613"/>
      <c r="F148" s="613"/>
      <c r="G148" s="613"/>
      <c r="H148" s="477">
        <v>0</v>
      </c>
      <c r="I148" s="468"/>
      <c r="J148" s="613"/>
      <c r="K148" s="1594">
        <f>SUM(H148)</f>
        <v>0</v>
      </c>
      <c r="L148" s="489">
        <v>0</v>
      </c>
    </row>
    <row r="149" spans="1:14" ht="12.75" customHeight="1" thickBot="1" x14ac:dyDescent="0.25">
      <c r="A149" s="1429" t="s">
        <v>638</v>
      </c>
      <c r="B149" s="614" t="s">
        <v>492</v>
      </c>
      <c r="C149" s="613"/>
      <c r="D149" s="613"/>
      <c r="E149" s="613"/>
      <c r="F149" s="613"/>
      <c r="G149" s="613"/>
      <c r="H149" s="1592">
        <f>SUM(H147,H148)</f>
        <v>0</v>
      </c>
      <c r="I149" s="468"/>
      <c r="J149" s="613"/>
      <c r="K149" s="1592">
        <f>SUM(K147:K148)</f>
        <v>0</v>
      </c>
      <c r="L149" s="1592">
        <f>SUM(L142:L146,L148)</f>
        <v>0</v>
      </c>
    </row>
    <row r="150" spans="1:14" ht="15.75" customHeight="1" thickTop="1" thickBot="1" x14ac:dyDescent="0.25">
      <c r="A150" s="1528" t="s">
        <v>1038</v>
      </c>
      <c r="B150" s="1535" t="s">
        <v>861</v>
      </c>
      <c r="C150" s="613"/>
      <c r="D150" s="613"/>
      <c r="E150" s="613"/>
      <c r="F150" s="613"/>
      <c r="G150" s="613"/>
      <c r="H150" s="659"/>
      <c r="I150" s="518"/>
      <c r="J150" s="613"/>
      <c r="K150" s="620"/>
      <c r="L150" s="570">
        <v>0</v>
      </c>
    </row>
    <row r="151" spans="1:14" ht="12.75" customHeight="1" thickTop="1" thickBot="1" x14ac:dyDescent="0.25">
      <c r="A151" s="2279" t="s">
        <v>620</v>
      </c>
      <c r="B151" s="2261"/>
      <c r="C151" s="1592">
        <f>SUM(C129,C130,C139,C149,C150)</f>
        <v>0</v>
      </c>
      <c r="D151" s="1592">
        <f t="shared" ref="D151:K151" si="16">SUM(D129,D130,D139,D149,D150)</f>
        <v>0</v>
      </c>
      <c r="E151" s="1592">
        <f t="shared" si="16"/>
        <v>0</v>
      </c>
      <c r="F151" s="1592">
        <f t="shared" si="16"/>
        <v>0</v>
      </c>
      <c r="G151" s="1592">
        <f t="shared" si="16"/>
        <v>0</v>
      </c>
      <c r="H151" s="1592">
        <f t="shared" si="16"/>
        <v>0</v>
      </c>
      <c r="I151" s="1592">
        <f t="shared" si="16"/>
        <v>0</v>
      </c>
      <c r="J151" s="1592">
        <f t="shared" si="16"/>
        <v>0</v>
      </c>
      <c r="K151" s="1592">
        <f t="shared" si="16"/>
        <v>0</v>
      </c>
      <c r="L151" s="1592">
        <f>SUM(L129,L130,L139,L149,L150)</f>
        <v>0</v>
      </c>
    </row>
    <row r="152" spans="1:14" ht="12.75" customHeight="1" thickTop="1" x14ac:dyDescent="0.2">
      <c r="A152" s="2282" t="s">
        <v>1178</v>
      </c>
      <c r="B152" s="2283"/>
      <c r="C152" s="615"/>
      <c r="D152" s="615"/>
      <c r="E152" s="615"/>
      <c r="F152" s="615"/>
      <c r="G152" s="615"/>
      <c r="H152" s="615"/>
      <c r="I152" s="615"/>
      <c r="J152" s="613"/>
      <c r="K152" s="1606">
        <f>'Revenues 9-14'!D268-'Expenditures 15-22'!K151</f>
        <v>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67" t="s">
        <v>621</v>
      </c>
      <c r="B154" s="2269"/>
      <c r="C154" s="1548"/>
      <c r="D154" s="1549"/>
      <c r="E154" s="1549"/>
      <c r="F154" s="1549"/>
      <c r="G154" s="1549"/>
      <c r="H154" s="1549"/>
      <c r="I154" s="1549"/>
      <c r="J154" s="1549"/>
      <c r="K154" s="1549"/>
      <c r="L154" s="1550"/>
      <c r="M154" s="664"/>
      <c r="N154" s="664"/>
    </row>
    <row r="155" spans="1:14" s="617" customFormat="1" ht="15.75" customHeight="1" thickBot="1" x14ac:dyDescent="0.25">
      <c r="A155" s="1539" t="s">
        <v>81</v>
      </c>
      <c r="B155" s="1540" t="s">
        <v>860</v>
      </c>
      <c r="C155" s="613"/>
      <c r="D155" s="613"/>
      <c r="E155" s="613"/>
      <c r="F155" s="613"/>
      <c r="G155" s="613"/>
      <c r="H155" s="1764"/>
      <c r="I155" s="613"/>
      <c r="J155" s="613"/>
      <c r="K155" s="1747"/>
      <c r="L155" s="1764"/>
      <c r="M155" s="616"/>
      <c r="N155" s="616"/>
    </row>
    <row r="156" spans="1:14" s="617" customFormat="1" ht="15.75" customHeight="1" thickTop="1" x14ac:dyDescent="0.2">
      <c r="A156" s="1744" t="s">
        <v>1840</v>
      </c>
      <c r="B156" s="1745"/>
      <c r="C156" s="613"/>
      <c r="D156" s="613"/>
      <c r="E156" s="613"/>
      <c r="F156" s="613"/>
      <c r="G156" s="613"/>
      <c r="H156" s="1765"/>
      <c r="I156" s="613"/>
      <c r="J156" s="613"/>
      <c r="K156" s="1746"/>
      <c r="L156" s="1765"/>
      <c r="M156" s="616"/>
      <c r="N156" s="616"/>
    </row>
    <row r="157" spans="1:14" s="617" customFormat="1" ht="12" x14ac:dyDescent="0.2">
      <c r="A157" s="1748" t="s">
        <v>496</v>
      </c>
      <c r="B157" s="1749" t="s">
        <v>1839</v>
      </c>
      <c r="C157" s="613"/>
      <c r="D157" s="613"/>
      <c r="E157" s="613"/>
      <c r="F157" s="613"/>
      <c r="G157" s="613"/>
      <c r="H157" s="638">
        <v>0</v>
      </c>
      <c r="I157" s="613"/>
      <c r="J157" s="613"/>
      <c r="K157" s="1593">
        <f>H157</f>
        <v>0</v>
      </c>
      <c r="L157" s="467">
        <v>0</v>
      </c>
      <c r="M157" s="616"/>
      <c r="N157" s="616"/>
    </row>
    <row r="158" spans="1:14" s="617" customFormat="1" ht="12" x14ac:dyDescent="0.2">
      <c r="A158" s="1748" t="s">
        <v>304</v>
      </c>
      <c r="B158" s="1749" t="s">
        <v>1841</v>
      </c>
      <c r="C158" s="613"/>
      <c r="D158" s="613"/>
      <c r="E158" s="613"/>
      <c r="F158" s="613"/>
      <c r="G158" s="613"/>
      <c r="H158" s="467">
        <v>0</v>
      </c>
      <c r="I158" s="613"/>
      <c r="J158" s="613"/>
      <c r="K158" s="1593">
        <f>H158</f>
        <v>0</v>
      </c>
      <c r="L158" s="467">
        <v>0</v>
      </c>
      <c r="M158" s="616"/>
      <c r="N158" s="616"/>
    </row>
    <row r="159" spans="1:14" s="617" customFormat="1" ht="12" x14ac:dyDescent="0.2">
      <c r="A159" s="1748" t="s">
        <v>1842</v>
      </c>
      <c r="B159" s="1749" t="s">
        <v>558</v>
      </c>
      <c r="C159" s="613"/>
      <c r="D159" s="613"/>
      <c r="E159" s="613"/>
      <c r="F159" s="613"/>
      <c r="G159" s="613"/>
      <c r="H159" s="467">
        <v>0</v>
      </c>
      <c r="I159" s="613"/>
      <c r="J159" s="613"/>
      <c r="K159" s="1593">
        <f>H159</f>
        <v>0</v>
      </c>
      <c r="L159" s="467">
        <v>0</v>
      </c>
      <c r="M159" s="616"/>
      <c r="N159" s="616"/>
    </row>
    <row r="160" spans="1:14" s="617" customFormat="1" ht="15.75" customHeight="1" thickBot="1" x14ac:dyDescent="0.25">
      <c r="A160" s="1750" t="s">
        <v>1843</v>
      </c>
      <c r="B160" s="1751" t="s">
        <v>860</v>
      </c>
      <c r="C160" s="613"/>
      <c r="D160" s="613"/>
      <c r="E160" s="613"/>
      <c r="F160" s="613"/>
      <c r="G160" s="613"/>
      <c r="H160" s="1610">
        <f>SUM(H157:H159)</f>
        <v>0</v>
      </c>
      <c r="I160" s="613"/>
      <c r="J160" s="613"/>
      <c r="K160" s="1592">
        <f>SUM(K157:K159)</f>
        <v>0</v>
      </c>
      <c r="L160" s="1610">
        <f>SUM(L157:L159)</f>
        <v>0</v>
      </c>
      <c r="M160" s="616"/>
      <c r="N160" s="616"/>
    </row>
    <row r="161" spans="1:14" s="259" customFormat="1" ht="15.75" customHeight="1" thickTop="1" x14ac:dyDescent="0.2">
      <c r="A161" s="1534" t="s">
        <v>82</v>
      </c>
      <c r="B161" s="1535"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426" t="s">
        <v>87</v>
      </c>
      <c r="B163" s="611">
        <v>5110</v>
      </c>
      <c r="C163" s="613"/>
      <c r="D163" s="613"/>
      <c r="E163" s="613"/>
      <c r="F163" s="613"/>
      <c r="G163" s="613"/>
      <c r="H163" s="466">
        <v>0</v>
      </c>
      <c r="I163" s="613"/>
      <c r="J163" s="613"/>
      <c r="K163" s="1593">
        <f>SUM(C163:J163)</f>
        <v>0</v>
      </c>
      <c r="L163" s="466">
        <v>0</v>
      </c>
    </row>
    <row r="164" spans="1:14" x14ac:dyDescent="0.2">
      <c r="A164" s="1426" t="s">
        <v>88</v>
      </c>
      <c r="B164" s="611">
        <v>5120</v>
      </c>
      <c r="C164" s="613"/>
      <c r="D164" s="613"/>
      <c r="E164" s="613"/>
      <c r="F164" s="613"/>
      <c r="G164" s="613"/>
      <c r="H164" s="466">
        <v>0</v>
      </c>
      <c r="I164" s="613"/>
      <c r="J164" s="613"/>
      <c r="K164" s="1593">
        <f>SUM(C164:J164)</f>
        <v>0</v>
      </c>
      <c r="L164" s="466">
        <v>0</v>
      </c>
    </row>
    <row r="165" spans="1:14" ht="12.75" customHeight="1" x14ac:dyDescent="0.2">
      <c r="A165" s="1426" t="s">
        <v>1170</v>
      </c>
      <c r="B165" s="611" t="s">
        <v>617</v>
      </c>
      <c r="C165" s="613"/>
      <c r="D165" s="613"/>
      <c r="E165" s="613"/>
      <c r="F165" s="613"/>
      <c r="G165" s="613"/>
      <c r="H165" s="466">
        <v>0</v>
      </c>
      <c r="I165" s="613"/>
      <c r="J165" s="613"/>
      <c r="K165" s="1593">
        <f>SUM(C165:J165)</f>
        <v>0</v>
      </c>
      <c r="L165" s="466">
        <v>0</v>
      </c>
    </row>
    <row r="166" spans="1:14" x14ac:dyDescent="0.2">
      <c r="A166" s="1426" t="s">
        <v>89</v>
      </c>
      <c r="B166" s="625" t="s">
        <v>589</v>
      </c>
      <c r="C166" s="613"/>
      <c r="D166" s="613"/>
      <c r="E166" s="613"/>
      <c r="F166" s="613"/>
      <c r="G166" s="613"/>
      <c r="H166" s="466">
        <v>0</v>
      </c>
      <c r="I166" s="613"/>
      <c r="J166" s="613"/>
      <c r="K166" s="1593">
        <f>SUM(C166:J166)</f>
        <v>0</v>
      </c>
      <c r="L166" s="466">
        <v>0</v>
      </c>
    </row>
    <row r="167" spans="1:14" ht="12.75" customHeight="1" x14ac:dyDescent="0.2">
      <c r="A167" s="1426" t="s">
        <v>619</v>
      </c>
      <c r="B167" s="611" t="s">
        <v>618</v>
      </c>
      <c r="C167" s="613"/>
      <c r="D167" s="613"/>
      <c r="E167" s="613"/>
      <c r="F167" s="613"/>
      <c r="G167" s="613"/>
      <c r="H167" s="466">
        <v>0</v>
      </c>
      <c r="I167" s="613"/>
      <c r="J167" s="613"/>
      <c r="K167" s="1593">
        <f>SUM(C167:J167)</f>
        <v>0</v>
      </c>
      <c r="L167" s="466">
        <v>0</v>
      </c>
    </row>
    <row r="168" spans="1:14" ht="13.5" thickBot="1" x14ac:dyDescent="0.25">
      <c r="A168" s="1590" t="s">
        <v>276</v>
      </c>
      <c r="B168" s="1597" t="s">
        <v>718</v>
      </c>
      <c r="C168" s="613"/>
      <c r="D168" s="613"/>
      <c r="E168" s="613"/>
      <c r="F168" s="613"/>
      <c r="G168" s="613"/>
      <c r="H168" s="1592">
        <f>SUM(H163:H167)</f>
        <v>0</v>
      </c>
      <c r="I168" s="613"/>
      <c r="J168" s="613"/>
      <c r="K168" s="1592">
        <f>SUM(K163:K167)</f>
        <v>0</v>
      </c>
      <c r="L168" s="1592">
        <f>SUM(L163:L167)</f>
        <v>0</v>
      </c>
    </row>
    <row r="169" spans="1:14" ht="15.75" customHeight="1" thickTop="1" x14ac:dyDescent="0.2">
      <c r="A169" s="666" t="s">
        <v>83</v>
      </c>
      <c r="B169" s="667" t="s">
        <v>38</v>
      </c>
      <c r="C169" s="613"/>
      <c r="D169" s="613"/>
      <c r="E169" s="613"/>
      <c r="F169" s="613"/>
      <c r="G169" s="613"/>
      <c r="H169" s="653">
        <v>0</v>
      </c>
      <c r="I169" s="613"/>
      <c r="J169" s="613"/>
      <c r="K169" s="1593">
        <f>SUM(C169:H169)</f>
        <v>0</v>
      </c>
      <c r="L169" s="653">
        <v>0</v>
      </c>
    </row>
    <row r="170" spans="1:14" ht="33.75" customHeight="1" x14ac:dyDescent="0.2">
      <c r="A170" s="666" t="s">
        <v>1668</v>
      </c>
      <c r="B170" s="668" t="s">
        <v>31</v>
      </c>
      <c r="C170" s="613"/>
      <c r="D170" s="613"/>
      <c r="E170" s="613"/>
      <c r="F170" s="613"/>
      <c r="G170" s="613"/>
      <c r="H170" s="566">
        <v>0</v>
      </c>
      <c r="I170" s="613"/>
      <c r="J170" s="613"/>
      <c r="K170" s="1593">
        <f>SUM(C170:J170)</f>
        <v>0</v>
      </c>
      <c r="L170" s="566">
        <v>0</v>
      </c>
    </row>
    <row r="171" spans="1:14" ht="15.75" customHeight="1" x14ac:dyDescent="0.2">
      <c r="A171" s="618" t="s">
        <v>766</v>
      </c>
      <c r="B171" s="669" t="s">
        <v>84</v>
      </c>
      <c r="C171" s="613"/>
      <c r="D171" s="613"/>
      <c r="E171" s="466">
        <v>0</v>
      </c>
      <c r="F171" s="613"/>
      <c r="G171" s="613"/>
      <c r="H171" s="566">
        <v>0</v>
      </c>
      <c r="I171" s="475"/>
      <c r="J171" s="613"/>
      <c r="K171" s="1593">
        <f>SUM(C171:J171)</f>
        <v>0</v>
      </c>
      <c r="L171" s="566">
        <v>0</v>
      </c>
    </row>
    <row r="172" spans="1:14" ht="12.75" customHeight="1" thickBot="1" x14ac:dyDescent="0.25">
      <c r="A172" s="1590" t="s">
        <v>638</v>
      </c>
      <c r="B172" s="1591" t="s">
        <v>492</v>
      </c>
      <c r="C172" s="613"/>
      <c r="D172" s="613"/>
      <c r="E172" s="1599">
        <f>SUM(E168,E169,E170,E171)</f>
        <v>0</v>
      </c>
      <c r="F172" s="613"/>
      <c r="G172" s="613"/>
      <c r="H172" s="1599">
        <f>SUM(H168,H169,H170,H171)</f>
        <v>0</v>
      </c>
      <c r="I172" s="635"/>
      <c r="J172" s="613"/>
      <c r="K172" s="1599">
        <f>SUM(K168,K169,K170,K171)</f>
        <v>0</v>
      </c>
      <c r="L172" s="1599">
        <f>SUM(L168,L169,L170,L171)</f>
        <v>0</v>
      </c>
    </row>
    <row r="173" spans="1:14" ht="15.75" customHeight="1" thickTop="1" thickBot="1" x14ac:dyDescent="0.25">
      <c r="A173" s="1541" t="s">
        <v>85</v>
      </c>
      <c r="B173" s="1533" t="s">
        <v>861</v>
      </c>
      <c r="C173" s="613"/>
      <c r="D173" s="613"/>
      <c r="E173" s="620"/>
      <c r="F173" s="613"/>
      <c r="G173" s="613"/>
      <c r="H173" s="623"/>
      <c r="I173" s="635"/>
      <c r="J173" s="613"/>
      <c r="K173" s="620"/>
      <c r="L173" s="573">
        <v>0</v>
      </c>
    </row>
    <row r="174" spans="1:14" ht="12.75" customHeight="1" thickTop="1" thickBot="1" x14ac:dyDescent="0.25">
      <c r="A174" s="1611" t="s">
        <v>90</v>
      </c>
      <c r="B174" s="1612"/>
      <c r="C174" s="613"/>
      <c r="D174" s="613"/>
      <c r="E174" s="1599">
        <f>SUM(E172,E173)</f>
        <v>0</v>
      </c>
      <c r="F174" s="613"/>
      <c r="G174" s="613"/>
      <c r="H174" s="1599">
        <f>SUM(H160,H172,H173)</f>
        <v>0</v>
      </c>
      <c r="I174" s="635"/>
      <c r="J174" s="613"/>
      <c r="K174" s="1599">
        <f>SUM(K160,K172,K173)</f>
        <v>0</v>
      </c>
      <c r="L174" s="1599">
        <f>SUM(L160,L172,L173)</f>
        <v>0</v>
      </c>
    </row>
    <row r="175" spans="1:14" ht="13.5" thickTop="1" x14ac:dyDescent="0.2">
      <c r="A175" s="2289" t="s">
        <v>996</v>
      </c>
      <c r="B175" s="2290"/>
      <c r="C175" s="613"/>
      <c r="D175" s="613"/>
      <c r="E175" s="613"/>
      <c r="F175" s="613"/>
      <c r="G175" s="613"/>
      <c r="H175" s="615"/>
      <c r="I175" s="613"/>
      <c r="J175" s="613"/>
      <c r="K175" s="1606">
        <f>'Revenues 9-14'!E268-'Expenditures 15-22'!K174</f>
        <v>0</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476" t="s">
        <v>937</v>
      </c>
      <c r="B177" s="1477"/>
      <c r="C177" s="1473"/>
      <c r="D177" s="1474"/>
      <c r="E177" s="1474"/>
      <c r="F177" s="1474"/>
      <c r="G177" s="1474"/>
      <c r="H177" s="1474"/>
      <c r="I177" s="1474"/>
      <c r="J177" s="1474"/>
      <c r="K177" s="1474"/>
      <c r="L177" s="1475"/>
      <c r="M177" s="606"/>
      <c r="N177" s="606"/>
    </row>
    <row r="178" spans="1:14" s="671" customFormat="1" ht="15.75" customHeight="1" x14ac:dyDescent="0.2">
      <c r="A178" s="1542" t="s">
        <v>938</v>
      </c>
      <c r="B178" s="1543"/>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426" t="s">
        <v>2054</v>
      </c>
      <c r="B180" s="611" t="s">
        <v>716</v>
      </c>
      <c r="C180" s="466">
        <v>0</v>
      </c>
      <c r="D180" s="466">
        <v>0</v>
      </c>
      <c r="E180" s="466">
        <v>0</v>
      </c>
      <c r="F180" s="466">
        <v>0</v>
      </c>
      <c r="G180" s="466">
        <v>0</v>
      </c>
      <c r="H180" s="466">
        <v>0</v>
      </c>
      <c r="I180" s="467">
        <v>0</v>
      </c>
      <c r="J180" s="467">
        <v>0</v>
      </c>
      <c r="K180" s="1593">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426" t="s">
        <v>953</v>
      </c>
      <c r="B182" s="611">
        <v>2550</v>
      </c>
      <c r="C182" s="466">
        <v>0</v>
      </c>
      <c r="D182" s="466">
        <v>0</v>
      </c>
      <c r="E182" s="466">
        <v>0</v>
      </c>
      <c r="F182" s="466">
        <v>0</v>
      </c>
      <c r="G182" s="466">
        <v>0</v>
      </c>
      <c r="H182" s="466">
        <v>0</v>
      </c>
      <c r="I182" s="467">
        <v>0</v>
      </c>
      <c r="J182" s="467">
        <v>0</v>
      </c>
      <c r="K182" s="1593">
        <f>SUM(C182:J182)</f>
        <v>0</v>
      </c>
      <c r="L182" s="466">
        <v>0</v>
      </c>
    </row>
    <row r="183" spans="1:14" ht="12.75" customHeight="1" thickBot="1" x14ac:dyDescent="0.25">
      <c r="A183" s="1431" t="s">
        <v>980</v>
      </c>
      <c r="B183" s="674">
        <v>2900</v>
      </c>
      <c r="C183" s="570">
        <v>0</v>
      </c>
      <c r="D183" s="570">
        <v>0</v>
      </c>
      <c r="E183" s="570">
        <v>0</v>
      </c>
      <c r="F183" s="570">
        <v>0</v>
      </c>
      <c r="G183" s="570">
        <v>0</v>
      </c>
      <c r="H183" s="570">
        <v>0</v>
      </c>
      <c r="I183" s="529">
        <v>0</v>
      </c>
      <c r="J183" s="529">
        <v>0</v>
      </c>
      <c r="K183" s="1599">
        <f>SUM(C183:J183)</f>
        <v>0</v>
      </c>
      <c r="L183" s="570">
        <v>0</v>
      </c>
    </row>
    <row r="184" spans="1:14" ht="12.75" customHeight="1" thickTop="1" thickBot="1" x14ac:dyDescent="0.25">
      <c r="A184" s="1613" t="s">
        <v>811</v>
      </c>
      <c r="B184" s="1591" t="s">
        <v>569</v>
      </c>
      <c r="C184" s="1599">
        <f>SUM(C180,C182,C183)</f>
        <v>0</v>
      </c>
      <c r="D184" s="1599">
        <f t="shared" ref="D184:J184" si="17">SUM(D180,D182,D183)</f>
        <v>0</v>
      </c>
      <c r="E184" s="1599">
        <f t="shared" si="17"/>
        <v>0</v>
      </c>
      <c r="F184" s="1599">
        <f t="shared" si="17"/>
        <v>0</v>
      </c>
      <c r="G184" s="1599">
        <f t="shared" si="17"/>
        <v>0</v>
      </c>
      <c r="H184" s="1599">
        <f t="shared" si="17"/>
        <v>0</v>
      </c>
      <c r="I184" s="1599">
        <f t="shared" si="17"/>
        <v>0</v>
      </c>
      <c r="J184" s="1599">
        <f t="shared" si="17"/>
        <v>0</v>
      </c>
      <c r="K184" s="1599">
        <f>SUM(K180,K182,K183)</f>
        <v>0</v>
      </c>
      <c r="L184" s="1599">
        <f>SUM(L180, L182:L183)</f>
        <v>0</v>
      </c>
    </row>
    <row r="185" spans="1:14" ht="15.75" customHeight="1" thickTop="1" thickBot="1" x14ac:dyDescent="0.25">
      <c r="A185" s="1544" t="s">
        <v>939</v>
      </c>
      <c r="B185" s="1533">
        <v>3000</v>
      </c>
      <c r="C185" s="573">
        <v>0</v>
      </c>
      <c r="D185" s="573">
        <v>0</v>
      </c>
      <c r="E185" s="573">
        <v>0</v>
      </c>
      <c r="F185" s="573">
        <v>0</v>
      </c>
      <c r="G185" s="573">
        <v>0</v>
      </c>
      <c r="H185" s="573">
        <v>0</v>
      </c>
      <c r="I185" s="528">
        <v>0</v>
      </c>
      <c r="J185" s="528">
        <v>0</v>
      </c>
      <c r="K185" s="1592">
        <f>SUM(C185:J185)</f>
        <v>0</v>
      </c>
      <c r="L185" s="573">
        <v>0</v>
      </c>
    </row>
    <row r="186" spans="1:14" s="671" customFormat="1" ht="15.75" customHeight="1" thickTop="1" x14ac:dyDescent="0.2">
      <c r="A186" s="1528" t="s">
        <v>91</v>
      </c>
      <c r="B186" s="1531"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426" t="s">
        <v>496</v>
      </c>
      <c r="B188" s="611">
        <v>4110</v>
      </c>
      <c r="C188" s="613"/>
      <c r="D188" s="613"/>
      <c r="E188" s="466">
        <v>0</v>
      </c>
      <c r="F188" s="613"/>
      <c r="G188" s="613"/>
      <c r="H188" s="466">
        <v>0</v>
      </c>
      <c r="I188" s="475"/>
      <c r="J188" s="613"/>
      <c r="K188" s="1593">
        <f t="shared" ref="K188:K193" si="18">SUM(E188,H188)</f>
        <v>0</v>
      </c>
      <c r="L188" s="466">
        <v>0</v>
      </c>
    </row>
    <row r="189" spans="1:14" x14ac:dyDescent="0.2">
      <c r="A189" s="1426" t="s">
        <v>304</v>
      </c>
      <c r="B189" s="611">
        <v>4120</v>
      </c>
      <c r="C189" s="613"/>
      <c r="D189" s="613"/>
      <c r="E189" s="466">
        <v>0</v>
      </c>
      <c r="F189" s="613"/>
      <c r="G189" s="613"/>
      <c r="H189" s="466">
        <v>0</v>
      </c>
      <c r="I189" s="475"/>
      <c r="J189" s="613"/>
      <c r="K189" s="1593">
        <f t="shared" si="18"/>
        <v>0</v>
      </c>
      <c r="L189" s="466">
        <v>0</v>
      </c>
    </row>
    <row r="190" spans="1:14" x14ac:dyDescent="0.2">
      <c r="A190" s="1426" t="s">
        <v>305</v>
      </c>
      <c r="B190" s="625">
        <v>4130</v>
      </c>
      <c r="C190" s="613"/>
      <c r="D190" s="613"/>
      <c r="E190" s="466">
        <v>0</v>
      </c>
      <c r="F190" s="613"/>
      <c r="G190" s="613"/>
      <c r="H190" s="466">
        <v>0</v>
      </c>
      <c r="I190" s="475"/>
      <c r="J190" s="613"/>
      <c r="K190" s="1593">
        <f t="shared" si="18"/>
        <v>0</v>
      </c>
      <c r="L190" s="466">
        <v>0</v>
      </c>
    </row>
    <row r="191" spans="1:14" x14ac:dyDescent="0.2">
      <c r="A191" s="1426" t="s">
        <v>697</v>
      </c>
      <c r="B191" s="611">
        <v>4140</v>
      </c>
      <c r="C191" s="613"/>
      <c r="D191" s="613"/>
      <c r="E191" s="466">
        <v>0</v>
      </c>
      <c r="F191" s="613"/>
      <c r="G191" s="613"/>
      <c r="H191" s="466">
        <v>0</v>
      </c>
      <c r="I191" s="475"/>
      <c r="J191" s="613"/>
      <c r="K191" s="1593">
        <f t="shared" si="18"/>
        <v>0</v>
      </c>
      <c r="L191" s="466">
        <v>0</v>
      </c>
    </row>
    <row r="192" spans="1:14" x14ac:dyDescent="0.2">
      <c r="A192" s="1426" t="s">
        <v>86</v>
      </c>
      <c r="B192" s="611">
        <v>4170</v>
      </c>
      <c r="C192" s="613"/>
      <c r="D192" s="613"/>
      <c r="E192" s="466">
        <v>0</v>
      </c>
      <c r="F192" s="613"/>
      <c r="G192" s="613"/>
      <c r="H192" s="466">
        <v>0</v>
      </c>
      <c r="I192" s="475"/>
      <c r="J192" s="613"/>
      <c r="K192" s="1593">
        <f t="shared" si="18"/>
        <v>0</v>
      </c>
      <c r="L192" s="466">
        <v>0</v>
      </c>
    </row>
    <row r="193" spans="1:14" x14ac:dyDescent="0.2">
      <c r="A193" s="1430" t="s">
        <v>698</v>
      </c>
      <c r="B193" s="625">
        <v>4190</v>
      </c>
      <c r="C193" s="613"/>
      <c r="D193" s="613"/>
      <c r="E193" s="466">
        <v>0</v>
      </c>
      <c r="F193" s="613"/>
      <c r="G193" s="613"/>
      <c r="H193" s="466">
        <v>0</v>
      </c>
      <c r="I193" s="475"/>
      <c r="J193" s="613"/>
      <c r="K193" s="1593">
        <f t="shared" si="18"/>
        <v>0</v>
      </c>
      <c r="L193" s="466">
        <v>0</v>
      </c>
    </row>
    <row r="194" spans="1:14" ht="12.75" customHeight="1" thickBot="1" x14ac:dyDescent="0.25">
      <c r="A194" s="1590" t="s">
        <v>1140</v>
      </c>
      <c r="B194" s="1591" t="s">
        <v>559</v>
      </c>
      <c r="C194" s="613"/>
      <c r="D194" s="613"/>
      <c r="E194" s="1592">
        <f>SUM(E188:E193)</f>
        <v>0</v>
      </c>
      <c r="F194" s="613"/>
      <c r="G194" s="613"/>
      <c r="H194" s="1592">
        <f>SUM(H188:H193)</f>
        <v>0</v>
      </c>
      <c r="I194" s="475"/>
      <c r="J194" s="613"/>
      <c r="K194" s="1592">
        <f>SUM(K188:K193)</f>
        <v>0</v>
      </c>
      <c r="L194" s="1592">
        <f>SUM(L188:L193)</f>
        <v>0</v>
      </c>
    </row>
    <row r="195" spans="1:14" ht="15.75" customHeight="1" thickTop="1" x14ac:dyDescent="0.2">
      <c r="A195" s="666" t="s">
        <v>92</v>
      </c>
      <c r="B195" s="675" t="s">
        <v>931</v>
      </c>
      <c r="C195" s="613"/>
      <c r="D195" s="613"/>
      <c r="E195" s="653">
        <v>0</v>
      </c>
      <c r="F195" s="613"/>
      <c r="G195" s="613"/>
      <c r="H195" s="653">
        <v>0</v>
      </c>
      <c r="I195" s="475"/>
      <c r="J195" s="613"/>
      <c r="K195" s="1607">
        <f>SUM(E195,H195)</f>
        <v>0</v>
      </c>
      <c r="L195" s="653">
        <v>0</v>
      </c>
    </row>
    <row r="196" spans="1:14" ht="12.75" customHeight="1" thickBot="1" x14ac:dyDescent="0.25">
      <c r="A196" s="1590" t="s">
        <v>1487</v>
      </c>
      <c r="B196" s="1591" t="s">
        <v>860</v>
      </c>
      <c r="C196" s="613"/>
      <c r="D196" s="613"/>
      <c r="E196" s="1599">
        <f>SUM(E194,E195)</f>
        <v>0</v>
      </c>
      <c r="F196" s="613"/>
      <c r="G196" s="613"/>
      <c r="H196" s="1599">
        <f>SUM(H194,H195)</f>
        <v>0</v>
      </c>
      <c r="I196" s="475"/>
      <c r="J196" s="613"/>
      <c r="K196" s="1599">
        <f>SUM(K194,K195)</f>
        <v>0</v>
      </c>
      <c r="L196" s="1599">
        <f>SUM(L194,L195)</f>
        <v>0</v>
      </c>
    </row>
    <row r="197" spans="1:14" s="671" customFormat="1" ht="15.75" customHeight="1" thickTop="1" x14ac:dyDescent="0.2">
      <c r="A197" s="1534" t="s">
        <v>940</v>
      </c>
      <c r="B197" s="1531"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426" t="s">
        <v>87</v>
      </c>
      <c r="B199" s="611">
        <v>5110</v>
      </c>
      <c r="C199" s="613"/>
      <c r="D199" s="613"/>
      <c r="E199" s="613"/>
      <c r="F199" s="613"/>
      <c r="G199" s="613"/>
      <c r="H199" s="466">
        <v>0</v>
      </c>
      <c r="I199" s="613"/>
      <c r="J199" s="613"/>
      <c r="K199" s="1593">
        <f>SUM(H199)</f>
        <v>0</v>
      </c>
      <c r="L199" s="466">
        <v>0</v>
      </c>
    </row>
    <row r="200" spans="1:14" x14ac:dyDescent="0.2">
      <c r="A200" s="1426" t="s">
        <v>88</v>
      </c>
      <c r="B200" s="611">
        <v>5120</v>
      </c>
      <c r="C200" s="613"/>
      <c r="D200" s="613"/>
      <c r="E200" s="613"/>
      <c r="F200" s="613"/>
      <c r="G200" s="613"/>
      <c r="H200" s="466">
        <v>0</v>
      </c>
      <c r="I200" s="613"/>
      <c r="J200" s="613"/>
      <c r="K200" s="1593">
        <f>SUM(H200)</f>
        <v>0</v>
      </c>
      <c r="L200" s="466">
        <v>0</v>
      </c>
    </row>
    <row r="201" spans="1:14" ht="12.75" customHeight="1" x14ac:dyDescent="0.2">
      <c r="A201" s="1426" t="s">
        <v>1170</v>
      </c>
      <c r="B201" s="625" t="s">
        <v>617</v>
      </c>
      <c r="C201" s="613"/>
      <c r="D201" s="613"/>
      <c r="E201" s="613"/>
      <c r="F201" s="613"/>
      <c r="G201" s="613"/>
      <c r="H201" s="466">
        <v>0</v>
      </c>
      <c r="I201" s="613"/>
      <c r="J201" s="613"/>
      <c r="K201" s="1593">
        <f>SUM(H201)</f>
        <v>0</v>
      </c>
      <c r="L201" s="466">
        <v>0</v>
      </c>
    </row>
    <row r="202" spans="1:14" x14ac:dyDescent="0.2">
      <c r="A202" s="1426" t="s">
        <v>89</v>
      </c>
      <c r="B202" s="611" t="s">
        <v>589</v>
      </c>
      <c r="C202" s="613"/>
      <c r="D202" s="613"/>
      <c r="E202" s="613"/>
      <c r="F202" s="613"/>
      <c r="G202" s="613"/>
      <c r="H202" s="466">
        <v>0</v>
      </c>
      <c r="I202" s="613"/>
      <c r="J202" s="613"/>
      <c r="K202" s="1593">
        <f>SUM(H202)</f>
        <v>0</v>
      </c>
      <c r="L202" s="466">
        <v>0</v>
      </c>
    </row>
    <row r="203" spans="1:14" x14ac:dyDescent="0.2">
      <c r="A203" s="1438" t="s">
        <v>619</v>
      </c>
      <c r="B203" s="611" t="s">
        <v>618</v>
      </c>
      <c r="C203" s="613"/>
      <c r="D203" s="613"/>
      <c r="E203" s="613"/>
      <c r="F203" s="613"/>
      <c r="G203" s="613"/>
      <c r="H203" s="471">
        <v>0</v>
      </c>
      <c r="I203" s="613"/>
      <c r="J203" s="613"/>
      <c r="K203" s="1593">
        <f>SUM(H203)</f>
        <v>0</v>
      </c>
      <c r="L203" s="471">
        <v>0</v>
      </c>
    </row>
    <row r="204" spans="1:14" ht="13.5" thickBot="1" x14ac:dyDescent="0.25">
      <c r="A204" s="1590" t="s">
        <v>276</v>
      </c>
      <c r="B204" s="1591" t="s">
        <v>718</v>
      </c>
      <c r="C204" s="613"/>
      <c r="D204" s="613"/>
      <c r="E204" s="613"/>
      <c r="F204" s="613"/>
      <c r="G204" s="613"/>
      <c r="H204" s="1592">
        <f>SUM(H199:H203)</f>
        <v>0</v>
      </c>
      <c r="I204" s="613"/>
      <c r="J204" s="613"/>
      <c r="K204" s="1592">
        <f>SUM(K199:K203)</f>
        <v>0</v>
      </c>
      <c r="L204" s="1592">
        <f>SUM(L199:L203)</f>
        <v>0</v>
      </c>
    </row>
    <row r="205" spans="1:14" ht="15.75" customHeight="1" thickTop="1" x14ac:dyDescent="0.2">
      <c r="A205" s="676" t="s">
        <v>83</v>
      </c>
      <c r="B205" s="677" t="s">
        <v>38</v>
      </c>
      <c r="C205" s="613"/>
      <c r="D205" s="613"/>
      <c r="E205" s="613"/>
      <c r="F205" s="613"/>
      <c r="G205" s="613"/>
      <c r="H205" s="532">
        <v>0</v>
      </c>
      <c r="I205" s="613"/>
      <c r="J205" s="613"/>
      <c r="K205" s="1607">
        <f>SUM(H205)</f>
        <v>0</v>
      </c>
      <c r="L205" s="532">
        <v>0</v>
      </c>
    </row>
    <row r="206" spans="1:14" ht="30" customHeight="1" x14ac:dyDescent="0.2">
      <c r="A206" s="678" t="s">
        <v>1669</v>
      </c>
      <c r="B206" s="669" t="s">
        <v>31</v>
      </c>
      <c r="C206" s="613"/>
      <c r="D206" s="613"/>
      <c r="E206" s="613"/>
      <c r="F206" s="613"/>
      <c r="G206" s="613"/>
      <c r="H206" s="466">
        <v>0</v>
      </c>
      <c r="I206" s="613"/>
      <c r="J206" s="613"/>
      <c r="K206" s="1593">
        <f>SUM(H206)</f>
        <v>0</v>
      </c>
      <c r="L206" s="466">
        <v>0</v>
      </c>
    </row>
    <row r="207" spans="1:14" ht="15.75" customHeight="1" x14ac:dyDescent="0.2">
      <c r="A207" s="618" t="s">
        <v>766</v>
      </c>
      <c r="B207" s="669" t="s">
        <v>84</v>
      </c>
      <c r="C207" s="613"/>
      <c r="D207" s="613"/>
      <c r="E207" s="613"/>
      <c r="F207" s="613"/>
      <c r="G207" s="613"/>
      <c r="H207" s="467">
        <v>0</v>
      </c>
      <c r="I207" s="613"/>
      <c r="J207" s="613"/>
      <c r="K207" s="1593">
        <f>H207</f>
        <v>0</v>
      </c>
      <c r="L207" s="466">
        <v>0</v>
      </c>
    </row>
    <row r="208" spans="1:14" ht="12.75" customHeight="1" thickBot="1" x14ac:dyDescent="0.25">
      <c r="A208" s="1608" t="s">
        <v>638</v>
      </c>
      <c r="B208" s="1609" t="s">
        <v>492</v>
      </c>
      <c r="C208" s="613"/>
      <c r="D208" s="613"/>
      <c r="E208" s="613"/>
      <c r="F208" s="613"/>
      <c r="G208" s="613"/>
      <c r="H208" s="1599">
        <f>SUM(H204,H205,H206,H207)</f>
        <v>0</v>
      </c>
      <c r="I208" s="613"/>
      <c r="J208" s="613"/>
      <c r="K208" s="1599">
        <f>SUM(K204,K205,K206,K207)</f>
        <v>0</v>
      </c>
      <c r="L208" s="1599">
        <f>SUM(L204,L205,L206,L207)</f>
        <v>0</v>
      </c>
    </row>
    <row r="209" spans="1:14" ht="15.75" customHeight="1" thickTop="1" thickBot="1" x14ac:dyDescent="0.25">
      <c r="A209" s="1528" t="s">
        <v>872</v>
      </c>
      <c r="B209" s="1535" t="s">
        <v>861</v>
      </c>
      <c r="C209" s="620"/>
      <c r="D209" s="620"/>
      <c r="E209" s="620"/>
      <c r="F209" s="620"/>
      <c r="G209" s="620"/>
      <c r="H209" s="620"/>
      <c r="I209" s="613"/>
      <c r="J209" s="613"/>
      <c r="K209" s="620"/>
      <c r="L209" s="573">
        <v>0</v>
      </c>
    </row>
    <row r="210" spans="1:14" ht="12.75" customHeight="1" thickTop="1" thickBot="1" x14ac:dyDescent="0.25">
      <c r="A210" s="1614" t="s">
        <v>277</v>
      </c>
      <c r="B210" s="1615"/>
      <c r="C210" s="1592">
        <f>SUM(C184,C185)</f>
        <v>0</v>
      </c>
      <c r="D210" s="1592">
        <f>SUM(D184,D185)</f>
        <v>0</v>
      </c>
      <c r="E210" s="1592">
        <f>SUM(E184,E185,E196)</f>
        <v>0</v>
      </c>
      <c r="F210" s="1592">
        <f>SUM(F184,F185)</f>
        <v>0</v>
      </c>
      <c r="G210" s="1592">
        <f>SUM(G184,G185)</f>
        <v>0</v>
      </c>
      <c r="H210" s="1592">
        <f>SUM(H184,H185,H196,H208,H209)</f>
        <v>0</v>
      </c>
      <c r="I210" s="1592">
        <f>SUM(I184,I185)</f>
        <v>0</v>
      </c>
      <c r="J210" s="1592">
        <f>SUM(J184,J185)</f>
        <v>0</v>
      </c>
      <c r="K210" s="1593">
        <f>SUM(K184,K185,K196,K208,K209)</f>
        <v>0</v>
      </c>
      <c r="L210" s="1592">
        <f>SUM(L184,L185,L196,L208,L209)</f>
        <v>0</v>
      </c>
    </row>
    <row r="211" spans="1:14" ht="13.5" thickTop="1" x14ac:dyDescent="0.2">
      <c r="A211" s="2289" t="s">
        <v>996</v>
      </c>
      <c r="B211" s="2290"/>
      <c r="C211" s="615"/>
      <c r="D211" s="615"/>
      <c r="E211" s="615"/>
      <c r="F211" s="615"/>
      <c r="G211" s="615"/>
      <c r="H211" s="615"/>
      <c r="I211" s="613"/>
      <c r="J211" s="613"/>
      <c r="K211" s="1606">
        <f>'Revenues 9-14'!F268-'Expenditures 15-22'!K210</f>
        <v>0</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84" t="s">
        <v>965</v>
      </c>
      <c r="B213" s="2285"/>
      <c r="C213" s="1473"/>
      <c r="D213" s="1474"/>
      <c r="E213" s="1474"/>
      <c r="F213" s="1474"/>
      <c r="G213" s="1474"/>
      <c r="H213" s="1474"/>
      <c r="I213" s="1474"/>
      <c r="J213" s="1474"/>
      <c r="K213" s="1474"/>
      <c r="L213" s="1475"/>
      <c r="M213" s="606"/>
      <c r="N213" s="606"/>
    </row>
    <row r="214" spans="1:14" s="671" customFormat="1" ht="15.75" customHeight="1" x14ac:dyDescent="0.2">
      <c r="A214" s="1545" t="s">
        <v>873</v>
      </c>
      <c r="B214" s="1537" t="s">
        <v>570</v>
      </c>
      <c r="C214" s="613"/>
      <c r="D214" s="620"/>
      <c r="E214" s="613"/>
      <c r="F214" s="613"/>
      <c r="G214" s="613"/>
      <c r="H214" s="613"/>
      <c r="I214" s="613"/>
      <c r="J214" s="613"/>
      <c r="K214" s="620"/>
      <c r="L214" s="620"/>
      <c r="M214" s="662"/>
      <c r="N214" s="662"/>
    </row>
    <row r="215" spans="1:14" x14ac:dyDescent="0.2">
      <c r="A215" s="1426" t="s">
        <v>961</v>
      </c>
      <c r="B215" s="611">
        <v>1100</v>
      </c>
      <c r="C215" s="613"/>
      <c r="D215" s="466">
        <v>0</v>
      </c>
      <c r="E215" s="613"/>
      <c r="F215" s="613"/>
      <c r="G215" s="613"/>
      <c r="H215" s="613"/>
      <c r="I215" s="613"/>
      <c r="J215" s="613"/>
      <c r="K215" s="1593">
        <f>D215</f>
        <v>0</v>
      </c>
      <c r="L215" s="466">
        <v>0</v>
      </c>
    </row>
    <row r="216" spans="1:14" x14ac:dyDescent="0.2">
      <c r="A216" s="1426" t="s">
        <v>163</v>
      </c>
      <c r="B216" s="611" t="s">
        <v>967</v>
      </c>
      <c r="C216" s="613"/>
      <c r="D216" s="467">
        <v>0</v>
      </c>
      <c r="E216" s="613"/>
      <c r="F216" s="613"/>
      <c r="G216" s="613"/>
      <c r="H216" s="613"/>
      <c r="I216" s="613"/>
      <c r="J216" s="613"/>
      <c r="K216" s="1593">
        <f t="shared" ref="K216:K228" si="19">D216</f>
        <v>0</v>
      </c>
      <c r="L216" s="466">
        <v>0</v>
      </c>
    </row>
    <row r="217" spans="1:14" x14ac:dyDescent="0.2">
      <c r="A217" s="1426" t="s">
        <v>164</v>
      </c>
      <c r="B217" s="611">
        <v>1200</v>
      </c>
      <c r="C217" s="613"/>
      <c r="D217" s="466">
        <v>0</v>
      </c>
      <c r="E217" s="613"/>
      <c r="F217" s="613"/>
      <c r="G217" s="613"/>
      <c r="H217" s="613"/>
      <c r="I217" s="613"/>
      <c r="J217" s="613"/>
      <c r="K217" s="1593">
        <f t="shared" si="19"/>
        <v>0</v>
      </c>
      <c r="L217" s="466">
        <v>0</v>
      </c>
    </row>
    <row r="218" spans="1:14" x14ac:dyDescent="0.2">
      <c r="A218" s="1426" t="s">
        <v>278</v>
      </c>
      <c r="B218" s="611" t="s">
        <v>968</v>
      </c>
      <c r="C218" s="613"/>
      <c r="D218" s="467">
        <v>0</v>
      </c>
      <c r="E218" s="613"/>
      <c r="F218" s="613"/>
      <c r="G218" s="613"/>
      <c r="H218" s="613"/>
      <c r="I218" s="613"/>
      <c r="J218" s="613"/>
      <c r="K218" s="1593">
        <f t="shared" si="19"/>
        <v>0</v>
      </c>
      <c r="L218" s="466">
        <v>0</v>
      </c>
    </row>
    <row r="219" spans="1:14" x14ac:dyDescent="0.2">
      <c r="A219" s="1426" t="s">
        <v>279</v>
      </c>
      <c r="B219" s="611">
        <v>1250</v>
      </c>
      <c r="C219" s="613"/>
      <c r="D219" s="466">
        <v>0</v>
      </c>
      <c r="E219" s="613"/>
      <c r="F219" s="613"/>
      <c r="G219" s="613"/>
      <c r="H219" s="613"/>
      <c r="I219" s="613"/>
      <c r="J219" s="613"/>
      <c r="K219" s="1593">
        <f t="shared" si="19"/>
        <v>0</v>
      </c>
      <c r="L219" s="466">
        <v>0</v>
      </c>
    </row>
    <row r="220" spans="1:14" x14ac:dyDescent="0.2">
      <c r="A220" s="1426" t="s">
        <v>280</v>
      </c>
      <c r="B220" s="611" t="s">
        <v>161</v>
      </c>
      <c r="C220" s="613"/>
      <c r="D220" s="467">
        <v>0</v>
      </c>
      <c r="E220" s="613"/>
      <c r="F220" s="613"/>
      <c r="G220" s="613"/>
      <c r="H220" s="613"/>
      <c r="I220" s="613"/>
      <c r="J220" s="613"/>
      <c r="K220" s="1593">
        <f t="shared" si="19"/>
        <v>0</v>
      </c>
      <c r="L220" s="466">
        <v>0</v>
      </c>
    </row>
    <row r="221" spans="1:14" x14ac:dyDescent="0.2">
      <c r="A221" s="1426" t="s">
        <v>962</v>
      </c>
      <c r="B221" s="611">
        <v>1300</v>
      </c>
      <c r="C221" s="613"/>
      <c r="D221" s="466">
        <v>0</v>
      </c>
      <c r="E221" s="613"/>
      <c r="F221" s="613"/>
      <c r="G221" s="613"/>
      <c r="H221" s="613"/>
      <c r="I221" s="613"/>
      <c r="J221" s="613"/>
      <c r="K221" s="1593">
        <f t="shared" si="19"/>
        <v>0</v>
      </c>
      <c r="L221" s="466">
        <v>0</v>
      </c>
    </row>
    <row r="222" spans="1:14" x14ac:dyDescent="0.2">
      <c r="A222" s="1426" t="s">
        <v>723</v>
      </c>
      <c r="B222" s="611">
        <v>1400</v>
      </c>
      <c r="C222" s="613"/>
      <c r="D222" s="466">
        <v>0</v>
      </c>
      <c r="E222" s="613"/>
      <c r="F222" s="613"/>
      <c r="G222" s="613"/>
      <c r="H222" s="613"/>
      <c r="I222" s="613"/>
      <c r="J222" s="613"/>
      <c r="K222" s="1593">
        <f t="shared" si="19"/>
        <v>0</v>
      </c>
      <c r="L222" s="466">
        <v>0</v>
      </c>
    </row>
    <row r="223" spans="1:14" x14ac:dyDescent="0.2">
      <c r="A223" s="1426" t="s">
        <v>963</v>
      </c>
      <c r="B223" s="611">
        <v>1500</v>
      </c>
      <c r="C223" s="613"/>
      <c r="D223" s="466">
        <v>0</v>
      </c>
      <c r="E223" s="613"/>
      <c r="F223" s="613"/>
      <c r="G223" s="613"/>
      <c r="H223" s="613"/>
      <c r="I223" s="613"/>
      <c r="J223" s="613"/>
      <c r="K223" s="1593">
        <f t="shared" si="19"/>
        <v>0</v>
      </c>
      <c r="L223" s="466">
        <v>0</v>
      </c>
    </row>
    <row r="224" spans="1:14" x14ac:dyDescent="0.2">
      <c r="A224" s="1426" t="s">
        <v>964</v>
      </c>
      <c r="B224" s="611">
        <v>1600</v>
      </c>
      <c r="C224" s="613"/>
      <c r="D224" s="466">
        <v>0</v>
      </c>
      <c r="E224" s="613"/>
      <c r="F224" s="613"/>
      <c r="G224" s="613"/>
      <c r="H224" s="613"/>
      <c r="I224" s="613"/>
      <c r="J224" s="613"/>
      <c r="K224" s="1593">
        <f t="shared" si="19"/>
        <v>0</v>
      </c>
      <c r="L224" s="466">
        <v>0</v>
      </c>
    </row>
    <row r="225" spans="1:12" x14ac:dyDescent="0.2">
      <c r="A225" s="1426" t="s">
        <v>987</v>
      </c>
      <c r="B225" s="611">
        <v>1650</v>
      </c>
      <c r="C225" s="613"/>
      <c r="D225" s="466">
        <v>0</v>
      </c>
      <c r="E225" s="613"/>
      <c r="F225" s="613"/>
      <c r="G225" s="613"/>
      <c r="H225" s="613"/>
      <c r="I225" s="613"/>
      <c r="J225" s="613"/>
      <c r="K225" s="1593">
        <f t="shared" si="19"/>
        <v>0</v>
      </c>
      <c r="L225" s="466">
        <v>0</v>
      </c>
    </row>
    <row r="226" spans="1:12" x14ac:dyDescent="0.2">
      <c r="A226" s="1426" t="s">
        <v>724</v>
      </c>
      <c r="B226" s="611" t="s">
        <v>162</v>
      </c>
      <c r="C226" s="613"/>
      <c r="D226" s="467">
        <v>0</v>
      </c>
      <c r="E226" s="613"/>
      <c r="F226" s="613"/>
      <c r="G226" s="613"/>
      <c r="H226" s="613"/>
      <c r="I226" s="613"/>
      <c r="J226" s="613"/>
      <c r="K226" s="1593">
        <f t="shared" si="19"/>
        <v>0</v>
      </c>
      <c r="L226" s="466">
        <v>0</v>
      </c>
    </row>
    <row r="227" spans="1:12" x14ac:dyDescent="0.2">
      <c r="A227" s="1426" t="s">
        <v>1087</v>
      </c>
      <c r="B227" s="611">
        <v>1800</v>
      </c>
      <c r="C227" s="613"/>
      <c r="D227" s="466">
        <v>0</v>
      </c>
      <c r="E227" s="613"/>
      <c r="F227" s="613"/>
      <c r="G227" s="613"/>
      <c r="H227" s="613"/>
      <c r="I227" s="613"/>
      <c r="J227" s="613"/>
      <c r="K227" s="1593">
        <f t="shared" si="19"/>
        <v>0</v>
      </c>
      <c r="L227" s="466">
        <v>0</v>
      </c>
    </row>
    <row r="228" spans="1:12" x14ac:dyDescent="0.2">
      <c r="A228" s="1426" t="s">
        <v>1088</v>
      </c>
      <c r="B228" s="611">
        <v>1900</v>
      </c>
      <c r="C228" s="613"/>
      <c r="D228" s="466">
        <v>0</v>
      </c>
      <c r="E228" s="613"/>
      <c r="F228" s="613"/>
      <c r="G228" s="613"/>
      <c r="H228" s="613"/>
      <c r="I228" s="613"/>
      <c r="J228" s="613"/>
      <c r="K228" s="1593">
        <f t="shared" si="19"/>
        <v>0</v>
      </c>
      <c r="L228" s="466">
        <v>0</v>
      </c>
    </row>
    <row r="229" spans="1:12" ht="12.75" customHeight="1" thickBot="1" x14ac:dyDescent="0.25">
      <c r="A229" s="1590" t="s">
        <v>715</v>
      </c>
      <c r="B229" s="1597" t="s">
        <v>570</v>
      </c>
      <c r="C229" s="613"/>
      <c r="D229" s="1592">
        <f>SUM(D215:D228)</f>
        <v>0</v>
      </c>
      <c r="E229" s="613"/>
      <c r="F229" s="613"/>
      <c r="G229" s="613"/>
      <c r="H229" s="613"/>
      <c r="I229" s="613"/>
      <c r="J229" s="613"/>
      <c r="K229" s="1592">
        <f>SUM(K215:K228)</f>
        <v>0</v>
      </c>
      <c r="L229" s="1592">
        <f>SUM(L215:L228)</f>
        <v>0</v>
      </c>
    </row>
    <row r="230" spans="1:12" ht="15.75" customHeight="1" thickTop="1" x14ac:dyDescent="0.2">
      <c r="A230" s="1534" t="s">
        <v>874</v>
      </c>
      <c r="B230" s="1535"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426" t="s">
        <v>1089</v>
      </c>
      <c r="B232" s="611">
        <v>2110</v>
      </c>
      <c r="C232" s="613"/>
      <c r="D232" s="466">
        <v>0</v>
      </c>
      <c r="E232" s="613"/>
      <c r="F232" s="613"/>
      <c r="G232" s="613"/>
      <c r="H232" s="613"/>
      <c r="I232" s="613"/>
      <c r="J232" s="613"/>
      <c r="K232" s="1593">
        <f t="shared" ref="K232:K237" si="20">D232</f>
        <v>0</v>
      </c>
      <c r="L232" s="466">
        <v>0</v>
      </c>
    </row>
    <row r="233" spans="1:12" x14ac:dyDescent="0.2">
      <c r="A233" s="1426" t="s">
        <v>1090</v>
      </c>
      <c r="B233" s="611">
        <v>2120</v>
      </c>
      <c r="C233" s="613"/>
      <c r="D233" s="466">
        <v>0</v>
      </c>
      <c r="E233" s="613"/>
      <c r="F233" s="613"/>
      <c r="G233" s="613"/>
      <c r="H233" s="613"/>
      <c r="I233" s="613"/>
      <c r="J233" s="613"/>
      <c r="K233" s="1593">
        <f t="shared" si="20"/>
        <v>0</v>
      </c>
      <c r="L233" s="466">
        <v>0</v>
      </c>
    </row>
    <row r="234" spans="1:12" x14ac:dyDescent="0.2">
      <c r="A234" s="1426" t="s">
        <v>198</v>
      </c>
      <c r="B234" s="611">
        <v>2130</v>
      </c>
      <c r="C234" s="613"/>
      <c r="D234" s="466">
        <v>0</v>
      </c>
      <c r="E234" s="613"/>
      <c r="F234" s="613"/>
      <c r="G234" s="613"/>
      <c r="H234" s="613"/>
      <c r="I234" s="613"/>
      <c r="J234" s="613"/>
      <c r="K234" s="1593">
        <f t="shared" si="20"/>
        <v>0</v>
      </c>
      <c r="L234" s="466">
        <v>0</v>
      </c>
    </row>
    <row r="235" spans="1:12" x14ac:dyDescent="0.2">
      <c r="A235" s="1426" t="s">
        <v>199</v>
      </c>
      <c r="B235" s="611">
        <v>2140</v>
      </c>
      <c r="C235" s="613"/>
      <c r="D235" s="466">
        <v>0</v>
      </c>
      <c r="E235" s="613"/>
      <c r="F235" s="613"/>
      <c r="G235" s="613"/>
      <c r="H235" s="613"/>
      <c r="I235" s="613"/>
      <c r="J235" s="613"/>
      <c r="K235" s="1593">
        <f t="shared" si="20"/>
        <v>0</v>
      </c>
      <c r="L235" s="466">
        <v>0</v>
      </c>
    </row>
    <row r="236" spans="1:12" x14ac:dyDescent="0.2">
      <c r="A236" s="1426" t="s">
        <v>200</v>
      </c>
      <c r="B236" s="611">
        <v>2150</v>
      </c>
      <c r="C236" s="613"/>
      <c r="D236" s="466">
        <v>0</v>
      </c>
      <c r="E236" s="613"/>
      <c r="F236" s="613"/>
      <c r="G236" s="613"/>
      <c r="H236" s="613"/>
      <c r="I236" s="613"/>
      <c r="J236" s="613"/>
      <c r="K236" s="1593">
        <f t="shared" si="20"/>
        <v>0</v>
      </c>
      <c r="L236" s="466">
        <v>0</v>
      </c>
    </row>
    <row r="237" spans="1:12" x14ac:dyDescent="0.2">
      <c r="A237" s="1426" t="s">
        <v>165</v>
      </c>
      <c r="B237" s="611">
        <v>2190</v>
      </c>
      <c r="C237" s="613"/>
      <c r="D237" s="466">
        <v>0</v>
      </c>
      <c r="E237" s="613"/>
      <c r="F237" s="613"/>
      <c r="G237" s="613"/>
      <c r="H237" s="613"/>
      <c r="I237" s="613"/>
      <c r="J237" s="613"/>
      <c r="K237" s="1593">
        <f t="shared" si="20"/>
        <v>0</v>
      </c>
      <c r="L237" s="466">
        <v>0</v>
      </c>
    </row>
    <row r="238" spans="1:12" ht="12.75" customHeight="1" thickBot="1" x14ac:dyDescent="0.25">
      <c r="A238" s="1590" t="s">
        <v>560</v>
      </c>
      <c r="B238" s="1597" t="s">
        <v>716</v>
      </c>
      <c r="C238" s="613"/>
      <c r="D238" s="1592">
        <f>SUM(D232:D237)</f>
        <v>0</v>
      </c>
      <c r="E238" s="613"/>
      <c r="F238" s="613"/>
      <c r="G238" s="613"/>
      <c r="H238" s="613"/>
      <c r="I238" s="613"/>
      <c r="J238" s="613"/>
      <c r="K238" s="1592">
        <f>SUM(K232:K237)</f>
        <v>0</v>
      </c>
      <c r="L238" s="1592">
        <f>SUM(L232:L237)</f>
        <v>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426" t="s">
        <v>814</v>
      </c>
      <c r="B240" s="611">
        <v>2210</v>
      </c>
      <c r="C240" s="613"/>
      <c r="D240" s="479">
        <v>0</v>
      </c>
      <c r="E240" s="613"/>
      <c r="F240" s="613"/>
      <c r="G240" s="613"/>
      <c r="H240" s="613"/>
      <c r="I240" s="613"/>
      <c r="J240" s="613"/>
      <c r="K240" s="1594">
        <f>D240</f>
        <v>0</v>
      </c>
      <c r="L240" s="479">
        <v>0</v>
      </c>
    </row>
    <row r="241" spans="1:12" x14ac:dyDescent="0.2">
      <c r="A241" s="1426" t="s">
        <v>815</v>
      </c>
      <c r="B241" s="611">
        <v>2220</v>
      </c>
      <c r="C241" s="613"/>
      <c r="D241" s="466">
        <v>0</v>
      </c>
      <c r="E241" s="613"/>
      <c r="F241" s="613"/>
      <c r="G241" s="613"/>
      <c r="H241" s="613"/>
      <c r="I241" s="613"/>
      <c r="J241" s="613"/>
      <c r="K241" s="1594">
        <f>D241</f>
        <v>0</v>
      </c>
      <c r="L241" s="466">
        <v>0</v>
      </c>
    </row>
    <row r="242" spans="1:12" x14ac:dyDescent="0.2">
      <c r="A242" s="1426" t="s">
        <v>816</v>
      </c>
      <c r="B242" s="611">
        <v>2230</v>
      </c>
      <c r="C242" s="613"/>
      <c r="D242" s="466">
        <v>0</v>
      </c>
      <c r="E242" s="613"/>
      <c r="F242" s="613"/>
      <c r="G242" s="613"/>
      <c r="H242" s="613"/>
      <c r="I242" s="613"/>
      <c r="J242" s="613"/>
      <c r="K242" s="1594">
        <f>D242</f>
        <v>0</v>
      </c>
      <c r="L242" s="466">
        <v>0</v>
      </c>
    </row>
    <row r="243" spans="1:12" ht="12.75" customHeight="1" thickBot="1" x14ac:dyDescent="0.25">
      <c r="A243" s="1616" t="s">
        <v>561</v>
      </c>
      <c r="B243" s="1617">
        <v>2200</v>
      </c>
      <c r="C243" s="613"/>
      <c r="D243" s="1592">
        <f>SUM(D240:D242)</f>
        <v>0</v>
      </c>
      <c r="E243" s="613"/>
      <c r="F243" s="613"/>
      <c r="G243" s="613"/>
      <c r="H243" s="613"/>
      <c r="I243" s="613"/>
      <c r="J243" s="613"/>
      <c r="K243" s="1592">
        <f>SUM(K240:K242)</f>
        <v>0</v>
      </c>
      <c r="L243" s="1592">
        <f>SUM(L240:L242)</f>
        <v>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426" t="s">
        <v>817</v>
      </c>
      <c r="B245" s="611">
        <v>2310</v>
      </c>
      <c r="C245" s="613"/>
      <c r="D245" s="479">
        <v>0</v>
      </c>
      <c r="E245" s="613"/>
      <c r="F245" s="613"/>
      <c r="G245" s="613"/>
      <c r="H245" s="613"/>
      <c r="I245" s="613"/>
      <c r="J245" s="613"/>
      <c r="K245" s="1594">
        <f>D245</f>
        <v>0</v>
      </c>
      <c r="L245" s="479">
        <v>0</v>
      </c>
    </row>
    <row r="246" spans="1:12" x14ac:dyDescent="0.2">
      <c r="A246" s="1426" t="s">
        <v>818</v>
      </c>
      <c r="B246" s="611">
        <v>2320</v>
      </c>
      <c r="C246" s="613"/>
      <c r="D246" s="466">
        <v>0</v>
      </c>
      <c r="E246" s="613"/>
      <c r="F246" s="613"/>
      <c r="G246" s="613"/>
      <c r="H246" s="613"/>
      <c r="I246" s="613"/>
      <c r="J246" s="613"/>
      <c r="K246" s="1594">
        <f t="shared" ref="K246:K256" si="21">D246</f>
        <v>0</v>
      </c>
      <c r="L246" s="466">
        <v>0</v>
      </c>
    </row>
    <row r="247" spans="1:12" x14ac:dyDescent="0.2">
      <c r="A247" s="1426" t="s">
        <v>819</v>
      </c>
      <c r="B247" s="611">
        <v>2330</v>
      </c>
      <c r="C247" s="613"/>
      <c r="D247" s="466">
        <v>0</v>
      </c>
      <c r="E247" s="613"/>
      <c r="F247" s="613"/>
      <c r="G247" s="613"/>
      <c r="H247" s="613"/>
      <c r="I247" s="613"/>
      <c r="J247" s="613"/>
      <c r="K247" s="1594">
        <f t="shared" si="21"/>
        <v>0</v>
      </c>
      <c r="L247" s="466">
        <v>0</v>
      </c>
    </row>
    <row r="248" spans="1:12" x14ac:dyDescent="0.2">
      <c r="A248" s="1427" t="s">
        <v>299</v>
      </c>
      <c r="B248" s="599" t="s">
        <v>281</v>
      </c>
      <c r="C248" s="613"/>
      <c r="D248" s="473">
        <v>0</v>
      </c>
      <c r="E248" s="613"/>
      <c r="F248" s="613"/>
      <c r="G248" s="613"/>
      <c r="H248" s="613"/>
      <c r="I248" s="613"/>
      <c r="J248" s="613"/>
      <c r="K248" s="1594">
        <f t="shared" si="21"/>
        <v>0</v>
      </c>
      <c r="L248" s="466">
        <v>0</v>
      </c>
    </row>
    <row r="249" spans="1:12" x14ac:dyDescent="0.2">
      <c r="A249" s="1428" t="s">
        <v>1800</v>
      </c>
      <c r="B249" s="680" t="s">
        <v>282</v>
      </c>
      <c r="C249" s="613"/>
      <c r="D249" s="473">
        <v>0</v>
      </c>
      <c r="E249" s="613"/>
      <c r="F249" s="613"/>
      <c r="G249" s="613"/>
      <c r="H249" s="613"/>
      <c r="I249" s="613"/>
      <c r="J249" s="613"/>
      <c r="K249" s="1594">
        <f t="shared" si="21"/>
        <v>0</v>
      </c>
      <c r="L249" s="466">
        <v>0</v>
      </c>
    </row>
    <row r="250" spans="1:12" x14ac:dyDescent="0.2">
      <c r="A250" s="1427" t="s">
        <v>1801</v>
      </c>
      <c r="B250" s="599" t="s">
        <v>283</v>
      </c>
      <c r="C250" s="613"/>
      <c r="D250" s="473">
        <v>0</v>
      </c>
      <c r="E250" s="613"/>
      <c r="F250" s="613"/>
      <c r="G250" s="613"/>
      <c r="H250" s="613"/>
      <c r="I250" s="613"/>
      <c r="J250" s="613"/>
      <c r="K250" s="1594">
        <f t="shared" si="21"/>
        <v>0</v>
      </c>
      <c r="L250" s="466">
        <v>0</v>
      </c>
    </row>
    <row r="251" spans="1:12" x14ac:dyDescent="0.2">
      <c r="A251" s="1427" t="s">
        <v>238</v>
      </c>
      <c r="B251" s="599" t="s">
        <v>284</v>
      </c>
      <c r="C251" s="613"/>
      <c r="D251" s="473">
        <v>0</v>
      </c>
      <c r="E251" s="613"/>
      <c r="F251" s="613"/>
      <c r="G251" s="613"/>
      <c r="H251" s="613"/>
      <c r="I251" s="613"/>
      <c r="J251" s="613"/>
      <c r="K251" s="1594">
        <f t="shared" si="21"/>
        <v>0</v>
      </c>
      <c r="L251" s="466">
        <v>0</v>
      </c>
    </row>
    <row r="252" spans="1:12" x14ac:dyDescent="0.2">
      <c r="A252" s="1427" t="s">
        <v>702</v>
      </c>
      <c r="B252" s="599" t="s">
        <v>285</v>
      </c>
      <c r="C252" s="613"/>
      <c r="D252" s="473">
        <v>0</v>
      </c>
      <c r="E252" s="613"/>
      <c r="F252" s="613"/>
      <c r="G252" s="613"/>
      <c r="H252" s="613"/>
      <c r="I252" s="613"/>
      <c r="J252" s="613"/>
      <c r="K252" s="1594">
        <f t="shared" si="21"/>
        <v>0</v>
      </c>
      <c r="L252" s="466">
        <v>0</v>
      </c>
    </row>
    <row r="253" spans="1:12" x14ac:dyDescent="0.2">
      <c r="A253" s="1427" t="s">
        <v>239</v>
      </c>
      <c r="B253" s="599" t="s">
        <v>286</v>
      </c>
      <c r="C253" s="613"/>
      <c r="D253" s="473">
        <v>0</v>
      </c>
      <c r="E253" s="613"/>
      <c r="F253" s="613"/>
      <c r="G253" s="613"/>
      <c r="H253" s="613"/>
      <c r="I253" s="613"/>
      <c r="J253" s="613"/>
      <c r="K253" s="1594">
        <f t="shared" si="21"/>
        <v>0</v>
      </c>
      <c r="L253" s="466">
        <v>0</v>
      </c>
    </row>
    <row r="254" spans="1:12" ht="22.5" x14ac:dyDescent="0.2">
      <c r="A254" s="1427" t="s">
        <v>1029</v>
      </c>
      <c r="B254" s="680" t="s">
        <v>287</v>
      </c>
      <c r="C254" s="613"/>
      <c r="D254" s="473">
        <v>0</v>
      </c>
      <c r="E254" s="613"/>
      <c r="F254" s="613"/>
      <c r="G254" s="613"/>
      <c r="H254" s="613"/>
      <c r="I254" s="613"/>
      <c r="J254" s="613"/>
      <c r="K254" s="1594">
        <f t="shared" si="21"/>
        <v>0</v>
      </c>
      <c r="L254" s="466">
        <v>0</v>
      </c>
    </row>
    <row r="255" spans="1:12" x14ac:dyDescent="0.2">
      <c r="A255" s="1427" t="s">
        <v>1030</v>
      </c>
      <c r="B255" s="599" t="s">
        <v>288</v>
      </c>
      <c r="C255" s="613"/>
      <c r="D255" s="473">
        <v>0</v>
      </c>
      <c r="E255" s="613"/>
      <c r="F255" s="613"/>
      <c r="G255" s="613"/>
      <c r="H255" s="613"/>
      <c r="I255" s="613"/>
      <c r="J255" s="613"/>
      <c r="K255" s="1594">
        <f t="shared" si="21"/>
        <v>0</v>
      </c>
      <c r="L255" s="466">
        <v>0</v>
      </c>
    </row>
    <row r="256" spans="1:12" x14ac:dyDescent="0.2">
      <c r="A256" s="1427" t="s">
        <v>971</v>
      </c>
      <c r="B256" s="611" t="s">
        <v>289</v>
      </c>
      <c r="C256" s="613"/>
      <c r="D256" s="473">
        <v>0</v>
      </c>
      <c r="E256" s="613"/>
      <c r="F256" s="613"/>
      <c r="G256" s="613"/>
      <c r="H256" s="613"/>
      <c r="I256" s="613"/>
      <c r="J256" s="613"/>
      <c r="K256" s="1594">
        <f t="shared" si="21"/>
        <v>0</v>
      </c>
      <c r="L256" s="466">
        <v>0</v>
      </c>
    </row>
    <row r="257" spans="1:14" ht="12.75" customHeight="1" thickBot="1" x14ac:dyDescent="0.25">
      <c r="A257" s="1590" t="s">
        <v>717</v>
      </c>
      <c r="B257" s="1618">
        <v>2300</v>
      </c>
      <c r="C257" s="613"/>
      <c r="D257" s="1592">
        <f>SUM(D245:D256)</f>
        <v>0</v>
      </c>
      <c r="E257" s="613"/>
      <c r="F257" s="613"/>
      <c r="G257" s="613"/>
      <c r="H257" s="613"/>
      <c r="I257" s="613"/>
      <c r="J257" s="613"/>
      <c r="K257" s="1592">
        <f>SUM(K245:K256)</f>
        <v>0</v>
      </c>
      <c r="L257" s="1592">
        <f>SUM(L245:L256)</f>
        <v>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426" t="s">
        <v>1067</v>
      </c>
      <c r="B259" s="682">
        <v>2410</v>
      </c>
      <c r="C259" s="613"/>
      <c r="D259" s="479">
        <v>0</v>
      </c>
      <c r="E259" s="613"/>
      <c r="F259" s="613"/>
      <c r="G259" s="613"/>
      <c r="H259" s="613"/>
      <c r="I259" s="613"/>
      <c r="J259" s="613"/>
      <c r="K259" s="1594">
        <f>D259</f>
        <v>0</v>
      </c>
      <c r="L259" s="479">
        <v>0</v>
      </c>
    </row>
    <row r="260" spans="1:14" s="594" customFormat="1" x14ac:dyDescent="0.2">
      <c r="A260" s="1444" t="s">
        <v>1799</v>
      </c>
      <c r="B260" s="625">
        <v>2490</v>
      </c>
      <c r="C260" s="613"/>
      <c r="D260" s="466">
        <v>0</v>
      </c>
      <c r="E260" s="613"/>
      <c r="F260" s="613"/>
      <c r="G260" s="613"/>
      <c r="H260" s="613"/>
      <c r="I260" s="613"/>
      <c r="J260" s="613"/>
      <c r="K260" s="1594">
        <f>D260</f>
        <v>0</v>
      </c>
      <c r="L260" s="466">
        <v>0</v>
      </c>
      <c r="M260" s="210"/>
      <c r="N260" s="210"/>
    </row>
    <row r="261" spans="1:14" ht="12.75" customHeight="1" thickBot="1" x14ac:dyDescent="0.25">
      <c r="A261" s="1614" t="s">
        <v>263</v>
      </c>
      <c r="B261" s="1619" t="s">
        <v>34</v>
      </c>
      <c r="C261" s="613"/>
      <c r="D261" s="1592">
        <f>SUM(D259:D260)</f>
        <v>0</v>
      </c>
      <c r="E261" s="613"/>
      <c r="F261" s="613"/>
      <c r="G261" s="613"/>
      <c r="H261" s="613"/>
      <c r="I261" s="613"/>
      <c r="J261" s="613"/>
      <c r="K261" s="1592">
        <f>SUM(K259:K260)</f>
        <v>0</v>
      </c>
      <c r="L261" s="1592">
        <f>SUM(L259:L260)</f>
        <v>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426" t="s">
        <v>1068</v>
      </c>
      <c r="B263" s="682">
        <v>2510</v>
      </c>
      <c r="C263" s="613"/>
      <c r="D263" s="466">
        <v>0</v>
      </c>
      <c r="E263" s="613"/>
      <c r="F263" s="613"/>
      <c r="G263" s="613"/>
      <c r="H263" s="613"/>
      <c r="I263" s="613"/>
      <c r="J263" s="613"/>
      <c r="K263" s="1594">
        <f>D263</f>
        <v>0</v>
      </c>
      <c r="L263" s="479">
        <v>0</v>
      </c>
    </row>
    <row r="264" spans="1:14" x14ac:dyDescent="0.2">
      <c r="A264" s="1426" t="s">
        <v>463</v>
      </c>
      <c r="B264" s="682">
        <v>2520</v>
      </c>
      <c r="C264" s="613"/>
      <c r="D264" s="466">
        <v>0</v>
      </c>
      <c r="E264" s="613"/>
      <c r="F264" s="613"/>
      <c r="G264" s="613"/>
      <c r="H264" s="613"/>
      <c r="I264" s="613"/>
      <c r="J264" s="613"/>
      <c r="K264" s="1594">
        <f t="shared" ref="K264:K269" si="22">D264</f>
        <v>0</v>
      </c>
      <c r="L264" s="466">
        <v>0</v>
      </c>
    </row>
    <row r="265" spans="1:14" x14ac:dyDescent="0.2">
      <c r="A265" s="1426" t="s">
        <v>4</v>
      </c>
      <c r="B265" s="611">
        <v>2530</v>
      </c>
      <c r="C265" s="613"/>
      <c r="D265" s="466">
        <v>0</v>
      </c>
      <c r="E265" s="613"/>
      <c r="F265" s="613"/>
      <c r="G265" s="613"/>
      <c r="H265" s="613"/>
      <c r="I265" s="613"/>
      <c r="J265" s="613"/>
      <c r="K265" s="1594">
        <f t="shared" si="22"/>
        <v>0</v>
      </c>
      <c r="L265" s="466">
        <v>0</v>
      </c>
    </row>
    <row r="266" spans="1:14" x14ac:dyDescent="0.2">
      <c r="A266" s="1426" t="s">
        <v>197</v>
      </c>
      <c r="B266" s="611">
        <v>2540</v>
      </c>
      <c r="C266" s="613"/>
      <c r="D266" s="466">
        <v>0</v>
      </c>
      <c r="E266" s="613"/>
      <c r="F266" s="613"/>
      <c r="G266" s="613"/>
      <c r="H266" s="613"/>
      <c r="I266" s="613"/>
      <c r="J266" s="613"/>
      <c r="K266" s="1594">
        <f t="shared" si="22"/>
        <v>0</v>
      </c>
      <c r="L266" s="466">
        <v>0</v>
      </c>
    </row>
    <row r="267" spans="1:14" x14ac:dyDescent="0.2">
      <c r="A267" s="1426" t="s">
        <v>953</v>
      </c>
      <c r="B267" s="611">
        <v>2550</v>
      </c>
      <c r="C267" s="613"/>
      <c r="D267" s="466">
        <v>0</v>
      </c>
      <c r="E267" s="613"/>
      <c r="F267" s="613"/>
      <c r="G267" s="613"/>
      <c r="H267" s="613"/>
      <c r="I267" s="613"/>
      <c r="J267" s="613"/>
      <c r="K267" s="1594">
        <f t="shared" si="22"/>
        <v>0</v>
      </c>
      <c r="L267" s="466">
        <v>0</v>
      </c>
    </row>
    <row r="268" spans="1:14" x14ac:dyDescent="0.2">
      <c r="A268" s="1426" t="s">
        <v>100</v>
      </c>
      <c r="B268" s="611">
        <v>2560</v>
      </c>
      <c r="C268" s="613"/>
      <c r="D268" s="466">
        <v>0</v>
      </c>
      <c r="E268" s="613"/>
      <c r="F268" s="613"/>
      <c r="G268" s="613"/>
      <c r="H268" s="613"/>
      <c r="I268" s="613"/>
      <c r="J268" s="613"/>
      <c r="K268" s="1594">
        <f t="shared" si="22"/>
        <v>0</v>
      </c>
      <c r="L268" s="466">
        <v>0</v>
      </c>
    </row>
    <row r="269" spans="1:14" x14ac:dyDescent="0.2">
      <c r="A269" s="1426" t="s">
        <v>101</v>
      </c>
      <c r="B269" s="611">
        <v>2570</v>
      </c>
      <c r="C269" s="613"/>
      <c r="D269" s="466">
        <v>0</v>
      </c>
      <c r="E269" s="613"/>
      <c r="F269" s="613"/>
      <c r="G269" s="613"/>
      <c r="H269" s="613"/>
      <c r="I269" s="613"/>
      <c r="J269" s="613"/>
      <c r="K269" s="1594">
        <f t="shared" si="22"/>
        <v>0</v>
      </c>
      <c r="L269" s="466">
        <v>0</v>
      </c>
    </row>
    <row r="270" spans="1:14" ht="12.75" customHeight="1" thickBot="1" x14ac:dyDescent="0.25">
      <c r="A270" s="1590" t="s">
        <v>719</v>
      </c>
      <c r="B270" s="1597" t="s">
        <v>35</v>
      </c>
      <c r="C270" s="613"/>
      <c r="D270" s="1592">
        <f>SUM(D263:D269)</f>
        <v>0</v>
      </c>
      <c r="E270" s="613"/>
      <c r="F270" s="613"/>
      <c r="G270" s="613"/>
      <c r="H270" s="613"/>
      <c r="I270" s="613"/>
      <c r="J270" s="613"/>
      <c r="K270" s="1592">
        <f>SUM(K263:K269)</f>
        <v>0</v>
      </c>
      <c r="L270" s="1592">
        <f>SUM(L263:L269)</f>
        <v>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426" t="s">
        <v>1060</v>
      </c>
      <c r="B272" s="611">
        <v>2610</v>
      </c>
      <c r="C272" s="613"/>
      <c r="D272" s="479">
        <v>0</v>
      </c>
      <c r="E272" s="613"/>
      <c r="F272" s="613"/>
      <c r="G272" s="613"/>
      <c r="H272" s="613"/>
      <c r="I272" s="613"/>
      <c r="J272" s="613"/>
      <c r="K272" s="1594">
        <f>D272</f>
        <v>0</v>
      </c>
      <c r="L272" s="479">
        <v>0</v>
      </c>
    </row>
    <row r="273" spans="1:12" x14ac:dyDescent="0.2">
      <c r="A273" s="1426" t="s">
        <v>607</v>
      </c>
      <c r="B273" s="625">
        <v>2620</v>
      </c>
      <c r="C273" s="613"/>
      <c r="D273" s="466">
        <v>0</v>
      </c>
      <c r="E273" s="613"/>
      <c r="F273" s="613"/>
      <c r="G273" s="613"/>
      <c r="H273" s="613"/>
      <c r="I273" s="613"/>
      <c r="J273" s="613"/>
      <c r="K273" s="1594">
        <f>D273</f>
        <v>0</v>
      </c>
      <c r="L273" s="466">
        <v>0</v>
      </c>
    </row>
    <row r="274" spans="1:12" ht="12" customHeight="1" x14ac:dyDescent="0.2">
      <c r="A274" s="1426" t="s">
        <v>1061</v>
      </c>
      <c r="B274" s="611">
        <v>2630</v>
      </c>
      <c r="C274" s="613"/>
      <c r="D274" s="466">
        <v>0</v>
      </c>
      <c r="E274" s="613"/>
      <c r="F274" s="613"/>
      <c r="G274" s="613"/>
      <c r="H274" s="613"/>
      <c r="I274" s="613"/>
      <c r="J274" s="613"/>
      <c r="K274" s="1594">
        <f>D274</f>
        <v>0</v>
      </c>
      <c r="L274" s="466">
        <v>0</v>
      </c>
    </row>
    <row r="275" spans="1:12" x14ac:dyDescent="0.2">
      <c r="A275" s="1426" t="s">
        <v>403</v>
      </c>
      <c r="B275" s="611">
        <v>2640</v>
      </c>
      <c r="C275" s="613"/>
      <c r="D275" s="466">
        <v>0</v>
      </c>
      <c r="E275" s="613"/>
      <c r="F275" s="613"/>
      <c r="G275" s="613"/>
      <c r="H275" s="613"/>
      <c r="I275" s="613"/>
      <c r="J275" s="613"/>
      <c r="K275" s="1594">
        <f>D275</f>
        <v>0</v>
      </c>
      <c r="L275" s="466">
        <v>0</v>
      </c>
    </row>
    <row r="276" spans="1:12" x14ac:dyDescent="0.2">
      <c r="A276" s="1426" t="s">
        <v>404</v>
      </c>
      <c r="B276" s="611">
        <v>2660</v>
      </c>
      <c r="C276" s="613"/>
      <c r="D276" s="466">
        <v>0</v>
      </c>
      <c r="E276" s="613"/>
      <c r="F276" s="613"/>
      <c r="G276" s="613"/>
      <c r="H276" s="613"/>
      <c r="I276" s="613"/>
      <c r="J276" s="613"/>
      <c r="K276" s="1594">
        <f>D276</f>
        <v>0</v>
      </c>
      <c r="L276" s="466">
        <v>0</v>
      </c>
    </row>
    <row r="277" spans="1:12" ht="12.75" customHeight="1" thickBot="1" x14ac:dyDescent="0.25">
      <c r="A277" s="1613" t="s">
        <v>37</v>
      </c>
      <c r="B277" s="1591" t="s">
        <v>36</v>
      </c>
      <c r="C277" s="613"/>
      <c r="D277" s="1592">
        <f>SUM(D272:D276)</f>
        <v>0</v>
      </c>
      <c r="E277" s="613"/>
      <c r="F277" s="613"/>
      <c r="G277" s="613"/>
      <c r="H277" s="613"/>
      <c r="I277" s="613"/>
      <c r="J277" s="613"/>
      <c r="K277" s="1592">
        <f>SUM(K272:K276)</f>
        <v>0</v>
      </c>
      <c r="L277" s="1592">
        <f>SUM(L272:L276)</f>
        <v>0</v>
      </c>
    </row>
    <row r="278" spans="1:12" ht="13.5" customHeight="1" thickTop="1" x14ac:dyDescent="0.2">
      <c r="A278" s="1432" t="s">
        <v>980</v>
      </c>
      <c r="B278" s="652" t="s">
        <v>574</v>
      </c>
      <c r="C278" s="613"/>
      <c r="D278" s="653">
        <v>0</v>
      </c>
      <c r="E278" s="613"/>
      <c r="F278" s="613"/>
      <c r="G278" s="613"/>
      <c r="H278" s="613"/>
      <c r="I278" s="613"/>
      <c r="J278" s="613"/>
      <c r="K278" s="1607">
        <f>D278</f>
        <v>0</v>
      </c>
      <c r="L278" s="653">
        <v>0</v>
      </c>
    </row>
    <row r="279" spans="1:12" ht="12.75" customHeight="1" thickBot="1" x14ac:dyDescent="0.25">
      <c r="A279" s="1620" t="s">
        <v>811</v>
      </c>
      <c r="B279" s="1603">
        <v>2000</v>
      </c>
      <c r="C279" s="613"/>
      <c r="D279" s="1599">
        <f>SUM(D238,D243,D257,D261,D270,D277,D278)</f>
        <v>0</v>
      </c>
      <c r="E279" s="613"/>
      <c r="F279" s="613"/>
      <c r="G279" s="613"/>
      <c r="H279" s="613"/>
      <c r="I279" s="613"/>
      <c r="J279" s="613"/>
      <c r="K279" s="1599">
        <f>SUM(K238,K243,K257,K261,K270,K277,K278)</f>
        <v>0</v>
      </c>
      <c r="L279" s="1599">
        <f>SUM(L238,L243,L257,L261,L270,L277,L278)</f>
        <v>0</v>
      </c>
    </row>
    <row r="280" spans="1:12" ht="15.75" customHeight="1" thickTop="1" thickBot="1" x14ac:dyDescent="0.25">
      <c r="A280" s="1546" t="s">
        <v>875</v>
      </c>
      <c r="B280" s="1535">
        <v>3000</v>
      </c>
      <c r="C280" s="613"/>
      <c r="D280" s="573">
        <v>0</v>
      </c>
      <c r="E280" s="613"/>
      <c r="F280" s="613"/>
      <c r="G280" s="613"/>
      <c r="H280" s="613"/>
      <c r="I280" s="613"/>
      <c r="J280" s="613"/>
      <c r="K280" s="1601">
        <f>D280</f>
        <v>0</v>
      </c>
      <c r="L280" s="573">
        <v>0</v>
      </c>
    </row>
    <row r="281" spans="1:12" ht="15.75" customHeight="1" thickTop="1" x14ac:dyDescent="0.2">
      <c r="A281" s="1536" t="s">
        <v>142</v>
      </c>
      <c r="B281" s="1537" t="s">
        <v>860</v>
      </c>
      <c r="C281" s="613"/>
      <c r="D281" s="563"/>
      <c r="E281" s="613"/>
      <c r="F281" s="613"/>
      <c r="G281" s="613"/>
      <c r="H281" s="613"/>
      <c r="I281" s="613"/>
      <c r="J281" s="613"/>
      <c r="K281" s="613"/>
      <c r="L281" s="613"/>
    </row>
    <row r="282" spans="1:12" ht="15.75" customHeight="1" x14ac:dyDescent="0.2">
      <c r="A282" s="1752" t="s">
        <v>496</v>
      </c>
      <c r="B282" s="687" t="s">
        <v>1839</v>
      </c>
      <c r="C282" s="613"/>
      <c r="D282" s="467">
        <v>0</v>
      </c>
      <c r="E282" s="613"/>
      <c r="F282" s="613"/>
      <c r="G282" s="613"/>
      <c r="H282" s="613"/>
      <c r="I282" s="613"/>
      <c r="J282" s="613"/>
      <c r="K282" s="1593">
        <f>D282</f>
        <v>0</v>
      </c>
      <c r="L282" s="467">
        <v>0</v>
      </c>
    </row>
    <row r="283" spans="1:12" x14ac:dyDescent="0.2">
      <c r="A283" s="1426" t="s">
        <v>304</v>
      </c>
      <c r="B283" s="611">
        <v>4120</v>
      </c>
      <c r="C283" s="613"/>
      <c r="D283" s="466">
        <v>0</v>
      </c>
      <c r="E283" s="613"/>
      <c r="F283" s="613"/>
      <c r="G283" s="613"/>
      <c r="H283" s="613"/>
      <c r="I283" s="613"/>
      <c r="J283" s="613"/>
      <c r="K283" s="1593">
        <f>D283</f>
        <v>0</v>
      </c>
      <c r="L283" s="466">
        <v>0</v>
      </c>
    </row>
    <row r="284" spans="1:12" x14ac:dyDescent="0.2">
      <c r="A284" s="1426" t="s">
        <v>697</v>
      </c>
      <c r="B284" s="611">
        <v>4140</v>
      </c>
      <c r="C284" s="613"/>
      <c r="D284" s="467">
        <v>0</v>
      </c>
      <c r="E284" s="613"/>
      <c r="F284" s="613"/>
      <c r="G284" s="613"/>
      <c r="H284" s="613"/>
      <c r="I284" s="613"/>
      <c r="J284" s="613"/>
      <c r="K284" s="1593">
        <f>D284</f>
        <v>0</v>
      </c>
      <c r="L284" s="466">
        <v>0</v>
      </c>
    </row>
    <row r="285" spans="1:12" ht="12.75" customHeight="1" thickBot="1" x14ac:dyDescent="0.25">
      <c r="A285" s="1590" t="s">
        <v>1487</v>
      </c>
      <c r="B285" s="1591" t="s">
        <v>860</v>
      </c>
      <c r="C285" s="613"/>
      <c r="D285" s="1592">
        <f>SUM(D282:D284)</f>
        <v>0</v>
      </c>
      <c r="E285" s="613"/>
      <c r="F285" s="613"/>
      <c r="G285" s="613"/>
      <c r="H285" s="613"/>
      <c r="I285" s="613"/>
      <c r="J285" s="613"/>
      <c r="K285" s="1592">
        <f>SUM(K282:K284)</f>
        <v>0</v>
      </c>
      <c r="L285" s="1592">
        <f>SUM(L282:L284)</f>
        <v>0</v>
      </c>
    </row>
    <row r="286" spans="1:12" ht="15.75" customHeight="1" thickTop="1" x14ac:dyDescent="0.2">
      <c r="A286" s="1534" t="s">
        <v>876</v>
      </c>
      <c r="B286" s="1531"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426" t="s">
        <v>87</v>
      </c>
      <c r="B288" s="611">
        <v>5110</v>
      </c>
      <c r="C288" s="613"/>
      <c r="D288" s="613"/>
      <c r="E288" s="613"/>
      <c r="F288" s="613"/>
      <c r="G288" s="613"/>
      <c r="H288" s="466">
        <v>0</v>
      </c>
      <c r="I288" s="613"/>
      <c r="J288" s="613"/>
      <c r="K288" s="1593">
        <f>H288</f>
        <v>0</v>
      </c>
      <c r="L288" s="466">
        <v>0</v>
      </c>
    </row>
    <row r="289" spans="1:14" x14ac:dyDescent="0.2">
      <c r="A289" s="1426" t="s">
        <v>88</v>
      </c>
      <c r="B289" s="611">
        <v>5120</v>
      </c>
      <c r="C289" s="613"/>
      <c r="D289" s="613"/>
      <c r="E289" s="613"/>
      <c r="F289" s="613"/>
      <c r="G289" s="613"/>
      <c r="H289" s="466">
        <v>0</v>
      </c>
      <c r="I289" s="613"/>
      <c r="J289" s="613"/>
      <c r="K289" s="1593">
        <f>H289</f>
        <v>0</v>
      </c>
      <c r="L289" s="466">
        <v>0</v>
      </c>
    </row>
    <row r="290" spans="1:14" ht="12.75" customHeight="1" x14ac:dyDescent="0.2">
      <c r="A290" s="1426" t="s">
        <v>1170</v>
      </c>
      <c r="B290" s="625" t="s">
        <v>617</v>
      </c>
      <c r="C290" s="613"/>
      <c r="D290" s="613"/>
      <c r="E290" s="613"/>
      <c r="F290" s="613"/>
      <c r="G290" s="613"/>
      <c r="H290" s="466">
        <v>0</v>
      </c>
      <c r="I290" s="613"/>
      <c r="J290" s="613"/>
      <c r="K290" s="1593">
        <f>H290</f>
        <v>0</v>
      </c>
      <c r="L290" s="466">
        <v>0</v>
      </c>
    </row>
    <row r="291" spans="1:14" x14ac:dyDescent="0.2">
      <c r="A291" s="1426" t="s">
        <v>89</v>
      </c>
      <c r="B291" s="611" t="s">
        <v>589</v>
      </c>
      <c r="C291" s="613"/>
      <c r="D291" s="613"/>
      <c r="E291" s="613"/>
      <c r="F291" s="613"/>
      <c r="G291" s="613"/>
      <c r="H291" s="466">
        <v>0</v>
      </c>
      <c r="I291" s="613"/>
      <c r="J291" s="613"/>
      <c r="K291" s="1593">
        <f>H291</f>
        <v>0</v>
      </c>
      <c r="L291" s="466">
        <v>0</v>
      </c>
    </row>
    <row r="292" spans="1:14" x14ac:dyDescent="0.2">
      <c r="A292" s="1426" t="s">
        <v>762</v>
      </c>
      <c r="B292" s="611" t="s">
        <v>618</v>
      </c>
      <c r="C292" s="613"/>
      <c r="D292" s="613"/>
      <c r="E292" s="613"/>
      <c r="F292" s="613"/>
      <c r="G292" s="613"/>
      <c r="H292" s="466">
        <v>0</v>
      </c>
      <c r="I292" s="613"/>
      <c r="J292" s="613"/>
      <c r="K292" s="1593">
        <f>H292</f>
        <v>0</v>
      </c>
      <c r="L292" s="466">
        <v>0</v>
      </c>
    </row>
    <row r="293" spans="1:14" ht="12.75" customHeight="1" thickBot="1" x14ac:dyDescent="0.25">
      <c r="A293" s="1590" t="s">
        <v>484</v>
      </c>
      <c r="B293" s="1591" t="s">
        <v>492</v>
      </c>
      <c r="C293" s="613"/>
      <c r="D293" s="613"/>
      <c r="E293" s="613"/>
      <c r="F293" s="613"/>
      <c r="G293" s="613"/>
      <c r="H293" s="1592">
        <f>SUM(H288:H292)</f>
        <v>0</v>
      </c>
      <c r="I293" s="613"/>
      <c r="J293" s="613"/>
      <c r="K293" s="1592">
        <f>SUM(K288:K292)</f>
        <v>0</v>
      </c>
      <c r="L293" s="1592">
        <f>SUM(L288:L292)</f>
        <v>0</v>
      </c>
    </row>
    <row r="294" spans="1:14" ht="15.75" customHeight="1" thickTop="1" thickBot="1" x14ac:dyDescent="0.25">
      <c r="A294" s="1547" t="s">
        <v>877</v>
      </c>
      <c r="B294" s="1535" t="s">
        <v>861</v>
      </c>
      <c r="C294" s="613"/>
      <c r="D294" s="620"/>
      <c r="E294" s="613"/>
      <c r="F294" s="613"/>
      <c r="G294" s="613"/>
      <c r="H294" s="683"/>
      <c r="I294" s="613"/>
      <c r="J294" s="613"/>
      <c r="K294" s="683"/>
      <c r="L294" s="575">
        <v>0</v>
      </c>
    </row>
    <row r="295" spans="1:14" ht="12.75" customHeight="1" thickTop="1" thickBot="1" x14ac:dyDescent="0.25">
      <c r="A295" s="2280" t="s">
        <v>505</v>
      </c>
      <c r="B295" s="2281"/>
      <c r="C295" s="613"/>
      <c r="D295" s="1592">
        <f>SUM(D229,D279,D280,D285)</f>
        <v>0</v>
      </c>
      <c r="E295" s="613"/>
      <c r="F295" s="613"/>
      <c r="G295" s="613"/>
      <c r="H295" s="1592">
        <f>H293</f>
        <v>0</v>
      </c>
      <c r="I295" s="613"/>
      <c r="J295" s="613"/>
      <c r="K295" s="1592">
        <f>SUM(K229,K279,K280,K285,K293,K294)</f>
        <v>0</v>
      </c>
      <c r="L295" s="1592">
        <f>SUM(L229,L279,L280,L285,L293,L294)</f>
        <v>0</v>
      </c>
    </row>
    <row r="296" spans="1:14" ht="13.5" thickTop="1" x14ac:dyDescent="0.2">
      <c r="A296" s="2289" t="s">
        <v>996</v>
      </c>
      <c r="B296" s="2290"/>
      <c r="C296" s="613"/>
      <c r="D296" s="615"/>
      <c r="E296" s="613"/>
      <c r="F296" s="613"/>
      <c r="G296" s="613"/>
      <c r="H296" s="684"/>
      <c r="I296" s="613"/>
      <c r="J296" s="613"/>
      <c r="K296" s="1606">
        <f>'Revenues 9-14'!G268-'Expenditures 15-22'!K295</f>
        <v>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72" t="s">
        <v>143</v>
      </c>
      <c r="B298" s="2266"/>
      <c r="C298" s="1473"/>
      <c r="D298" s="1474"/>
      <c r="E298" s="1474"/>
      <c r="F298" s="1474"/>
      <c r="G298" s="1474"/>
      <c r="H298" s="1474"/>
      <c r="I298" s="1474"/>
      <c r="J298" s="1474"/>
      <c r="K298" s="1474"/>
      <c r="L298" s="1475"/>
    </row>
    <row r="299" spans="1:14" ht="15.75" customHeight="1" x14ac:dyDescent="0.2">
      <c r="A299" s="1534" t="s">
        <v>144</v>
      </c>
      <c r="B299" s="1537"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439" t="s">
        <v>608</v>
      </c>
      <c r="B301" s="686">
        <v>2530</v>
      </c>
      <c r="C301" s="466">
        <v>0</v>
      </c>
      <c r="D301" s="466">
        <v>0</v>
      </c>
      <c r="E301" s="466">
        <v>0</v>
      </c>
      <c r="F301" s="466">
        <v>0</v>
      </c>
      <c r="G301" s="466">
        <v>0</v>
      </c>
      <c r="H301" s="466">
        <v>0</v>
      </c>
      <c r="I301" s="467">
        <v>0</v>
      </c>
      <c r="J301" s="467">
        <v>0</v>
      </c>
      <c r="K301" s="1593">
        <f>SUM(C301:J301)</f>
        <v>0</v>
      </c>
      <c r="L301" s="467">
        <v>0</v>
      </c>
    </row>
    <row r="302" spans="1:14" ht="13.5" customHeight="1" x14ac:dyDescent="0.2">
      <c r="A302" s="1439" t="s">
        <v>980</v>
      </c>
      <c r="B302" s="611" t="s">
        <v>574</v>
      </c>
      <c r="C302" s="466">
        <v>0</v>
      </c>
      <c r="D302" s="466">
        <v>0</v>
      </c>
      <c r="E302" s="466">
        <v>0</v>
      </c>
      <c r="F302" s="466">
        <v>0</v>
      </c>
      <c r="G302" s="466">
        <v>0</v>
      </c>
      <c r="H302" s="466">
        <v>0</v>
      </c>
      <c r="I302" s="467">
        <v>0</v>
      </c>
      <c r="J302" s="467">
        <v>0</v>
      </c>
      <c r="K302" s="1593">
        <f>SUM(C302:J302)</f>
        <v>0</v>
      </c>
      <c r="L302" s="466">
        <v>0</v>
      </c>
    </row>
    <row r="303" spans="1:14" ht="12.75" customHeight="1" thickBot="1" x14ac:dyDescent="0.25">
      <c r="A303" s="1590" t="s">
        <v>811</v>
      </c>
      <c r="B303" s="1591" t="s">
        <v>569</v>
      </c>
      <c r="C303" s="1599">
        <f>SUM(C301:C302)</f>
        <v>0</v>
      </c>
      <c r="D303" s="1599">
        <f t="shared" ref="D303:L303" si="23">SUM(D301:D302)</f>
        <v>0</v>
      </c>
      <c r="E303" s="1599">
        <f t="shared" si="23"/>
        <v>0</v>
      </c>
      <c r="F303" s="1599">
        <f t="shared" si="23"/>
        <v>0</v>
      </c>
      <c r="G303" s="1599">
        <f t="shared" si="23"/>
        <v>0</v>
      </c>
      <c r="H303" s="1599">
        <f t="shared" si="23"/>
        <v>0</v>
      </c>
      <c r="I303" s="1599">
        <f t="shared" si="23"/>
        <v>0</v>
      </c>
      <c r="J303" s="1599">
        <f t="shared" si="23"/>
        <v>0</v>
      </c>
      <c r="K303" s="1599">
        <f t="shared" si="23"/>
        <v>0</v>
      </c>
      <c r="L303" s="1599">
        <f t="shared" si="23"/>
        <v>0</v>
      </c>
    </row>
    <row r="304" spans="1:14" ht="15.75" customHeight="1" thickTop="1" x14ac:dyDescent="0.2">
      <c r="A304" s="1534" t="s">
        <v>145</v>
      </c>
      <c r="B304" s="1535"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440" t="s">
        <v>1844</v>
      </c>
      <c r="B306" s="687" t="s">
        <v>1839</v>
      </c>
      <c r="C306" s="613"/>
      <c r="D306" s="613"/>
      <c r="E306" s="467">
        <v>0</v>
      </c>
      <c r="F306" s="613"/>
      <c r="G306" s="613"/>
      <c r="H306" s="467">
        <v>0</v>
      </c>
      <c r="I306" s="613"/>
      <c r="J306" s="613"/>
      <c r="K306" s="1593">
        <f>SUM(E306,H306)</f>
        <v>0</v>
      </c>
      <c r="L306" s="467">
        <v>0</v>
      </c>
    </row>
    <row r="307" spans="1:14" x14ac:dyDescent="0.2">
      <c r="A307" s="1426" t="s">
        <v>304</v>
      </c>
      <c r="B307" s="611">
        <v>4120</v>
      </c>
      <c r="C307" s="613"/>
      <c r="D307" s="613"/>
      <c r="E307" s="467">
        <v>0</v>
      </c>
      <c r="F307" s="613"/>
      <c r="G307" s="613"/>
      <c r="H307" s="467">
        <v>0</v>
      </c>
      <c r="I307" s="475"/>
      <c r="J307" s="613"/>
      <c r="K307" s="1593">
        <f>SUM(E307,H307)</f>
        <v>0</v>
      </c>
      <c r="L307" s="466">
        <v>0</v>
      </c>
    </row>
    <row r="308" spans="1:14" x14ac:dyDescent="0.2">
      <c r="A308" s="1426" t="s">
        <v>697</v>
      </c>
      <c r="B308" s="611">
        <v>4140</v>
      </c>
      <c r="C308" s="613"/>
      <c r="D308" s="613"/>
      <c r="E308" s="467">
        <v>0</v>
      </c>
      <c r="F308" s="613"/>
      <c r="G308" s="613"/>
      <c r="H308" s="467">
        <v>0</v>
      </c>
      <c r="I308" s="475"/>
      <c r="J308" s="613"/>
      <c r="K308" s="1593">
        <f>SUM(E308,H308)</f>
        <v>0</v>
      </c>
      <c r="L308" s="466">
        <v>0</v>
      </c>
    </row>
    <row r="309" spans="1:14" ht="12.75" customHeight="1" x14ac:dyDescent="0.2">
      <c r="A309" s="1430" t="s">
        <v>698</v>
      </c>
      <c r="B309" s="625">
        <v>4190</v>
      </c>
      <c r="C309" s="613"/>
      <c r="D309" s="613"/>
      <c r="E309" s="467">
        <v>0</v>
      </c>
      <c r="F309" s="613"/>
      <c r="G309" s="613"/>
      <c r="H309" s="467">
        <v>0</v>
      </c>
      <c r="I309" s="475"/>
      <c r="J309" s="613"/>
      <c r="K309" s="1593">
        <f>SUM(E309,H309)</f>
        <v>0</v>
      </c>
      <c r="L309" s="466">
        <v>0</v>
      </c>
    </row>
    <row r="310" spans="1:14" ht="12.75" customHeight="1" thickBot="1" x14ac:dyDescent="0.25">
      <c r="A310" s="1590" t="s">
        <v>1487</v>
      </c>
      <c r="B310" s="1597" t="s">
        <v>860</v>
      </c>
      <c r="C310" s="613"/>
      <c r="D310" s="613"/>
      <c r="E310" s="1592">
        <f>SUM(E306:E309)</f>
        <v>0</v>
      </c>
      <c r="F310" s="613"/>
      <c r="G310" s="613"/>
      <c r="H310" s="1592">
        <f>SUM(H306:H309)</f>
        <v>0</v>
      </c>
      <c r="I310" s="475"/>
      <c r="J310" s="613"/>
      <c r="K310" s="1592">
        <f>SUM(K306:K309)</f>
        <v>0</v>
      </c>
      <c r="L310" s="1599">
        <f>SUM(L306:L309)</f>
        <v>0</v>
      </c>
    </row>
    <row r="311" spans="1:14" ht="15.75" customHeight="1" thickTop="1" thickBot="1" x14ac:dyDescent="0.25">
      <c r="A311" s="1541" t="s">
        <v>895</v>
      </c>
      <c r="B311" s="1533" t="s">
        <v>861</v>
      </c>
      <c r="C311" s="620"/>
      <c r="D311" s="620"/>
      <c r="E311" s="620"/>
      <c r="F311" s="620"/>
      <c r="G311" s="620"/>
      <c r="H311" s="620"/>
      <c r="I311" s="620"/>
      <c r="J311" s="613"/>
      <c r="K311" s="620"/>
      <c r="L311" s="573">
        <v>0</v>
      </c>
    </row>
    <row r="312" spans="1:14" s="671" customFormat="1" ht="12.75" customHeight="1" thickTop="1" thickBot="1" x14ac:dyDescent="0.25">
      <c r="A312" s="2277" t="s">
        <v>277</v>
      </c>
      <c r="B312" s="2278"/>
      <c r="C312" s="1592">
        <f>SUM(C303)</f>
        <v>0</v>
      </c>
      <c r="D312" s="1592">
        <f>SUM(D303)</f>
        <v>0</v>
      </c>
      <c r="E312" s="1592">
        <f>SUM(E303,E310)</f>
        <v>0</v>
      </c>
      <c r="F312" s="1592">
        <f>SUM(F303)</f>
        <v>0</v>
      </c>
      <c r="G312" s="1592">
        <f>SUM(G303)</f>
        <v>0</v>
      </c>
      <c r="H312" s="1592">
        <f>SUM(H303,H310)</f>
        <v>0</v>
      </c>
      <c r="I312" s="1592">
        <f>SUM(I303)</f>
        <v>0</v>
      </c>
      <c r="J312" s="1592">
        <f>SUM(J303)</f>
        <v>0</v>
      </c>
      <c r="K312" s="1592">
        <f>SUM(K303,K310,K311)</f>
        <v>0</v>
      </c>
      <c r="L312" s="1592">
        <f>SUM(L303,L310,L311)</f>
        <v>0</v>
      </c>
      <c r="M312" s="662"/>
      <c r="N312" s="662"/>
    </row>
    <row r="313" spans="1:14" ht="13.5" thickTop="1" x14ac:dyDescent="0.2">
      <c r="A313" s="2273" t="s">
        <v>996</v>
      </c>
      <c r="B313" s="2274"/>
      <c r="C313" s="623"/>
      <c r="D313" s="623"/>
      <c r="E313" s="623"/>
      <c r="F313" s="623"/>
      <c r="G313" s="623"/>
      <c r="H313" s="623"/>
      <c r="I313" s="623"/>
      <c r="J313" s="623"/>
      <c r="K313" s="1607">
        <f>'Revenues 9-14'!H268-'Expenditures 15-22'!K312</f>
        <v>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86" t="s">
        <v>149</v>
      </c>
      <c r="B315" s="2287"/>
      <c r="C315" s="1478"/>
      <c r="D315" s="1479"/>
      <c r="E315" s="1479"/>
      <c r="F315" s="1479"/>
      <c r="G315" s="1479"/>
      <c r="H315" s="1479"/>
      <c r="I315" s="1479"/>
      <c r="J315" s="1479"/>
      <c r="K315" s="1479"/>
      <c r="L315" s="1480"/>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88" t="s">
        <v>898</v>
      </c>
      <c r="B317" s="2287"/>
      <c r="C317" s="1478"/>
      <c r="D317" s="1479"/>
      <c r="E317" s="1479"/>
      <c r="F317" s="1479"/>
      <c r="G317" s="1479"/>
      <c r="H317" s="1479"/>
      <c r="I317" s="1479"/>
      <c r="J317" s="1479"/>
      <c r="K317" s="1479"/>
      <c r="L317" s="1480"/>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441" t="s">
        <v>299</v>
      </c>
      <c r="B319" s="694" t="s">
        <v>281</v>
      </c>
      <c r="C319" s="467">
        <v>0</v>
      </c>
      <c r="D319" s="467">
        <v>0</v>
      </c>
      <c r="E319" s="467">
        <v>0</v>
      </c>
      <c r="F319" s="467">
        <v>0</v>
      </c>
      <c r="G319" s="467">
        <v>0</v>
      </c>
      <c r="H319" s="467">
        <v>0</v>
      </c>
      <c r="I319" s="467">
        <v>0</v>
      </c>
      <c r="J319" s="467">
        <v>0</v>
      </c>
      <c r="K319" s="1593">
        <f>SUM(C319:J319)</f>
        <v>0</v>
      </c>
      <c r="L319" s="467">
        <v>0</v>
      </c>
      <c r="M319" s="662"/>
      <c r="N319" s="662"/>
    </row>
    <row r="320" spans="1:14" s="671" customFormat="1" x14ac:dyDescent="0.2">
      <c r="A320" s="1445" t="s">
        <v>1800</v>
      </c>
      <c r="B320" s="695" t="s">
        <v>282</v>
      </c>
      <c r="C320" s="467">
        <v>0</v>
      </c>
      <c r="D320" s="467">
        <v>0</v>
      </c>
      <c r="E320" s="467">
        <v>0</v>
      </c>
      <c r="F320" s="467">
        <v>0</v>
      </c>
      <c r="G320" s="467">
        <v>0</v>
      </c>
      <c r="H320" s="467">
        <v>0</v>
      </c>
      <c r="I320" s="467">
        <v>0</v>
      </c>
      <c r="J320" s="467">
        <v>0</v>
      </c>
      <c r="K320" s="1593">
        <f t="shared" ref="K320:K327" si="24">SUM(C320:J320)</f>
        <v>0</v>
      </c>
      <c r="L320" s="467">
        <v>0</v>
      </c>
      <c r="M320" s="662"/>
      <c r="N320" s="662"/>
    </row>
    <row r="321" spans="1:14" s="671" customFormat="1" x14ac:dyDescent="0.2">
      <c r="A321" s="1441" t="s">
        <v>300</v>
      </c>
      <c r="B321" s="694" t="s">
        <v>283</v>
      </c>
      <c r="C321" s="467">
        <v>0</v>
      </c>
      <c r="D321" s="467">
        <v>0</v>
      </c>
      <c r="E321" s="467">
        <v>0</v>
      </c>
      <c r="F321" s="467">
        <v>0</v>
      </c>
      <c r="G321" s="467">
        <v>0</v>
      </c>
      <c r="H321" s="467">
        <v>0</v>
      </c>
      <c r="I321" s="467">
        <v>0</v>
      </c>
      <c r="J321" s="467">
        <v>0</v>
      </c>
      <c r="K321" s="1593">
        <f t="shared" si="24"/>
        <v>0</v>
      </c>
      <c r="L321" s="467">
        <v>0</v>
      </c>
      <c r="M321" s="662"/>
      <c r="N321" s="662"/>
    </row>
    <row r="322" spans="1:14" s="671" customFormat="1" x14ac:dyDescent="0.2">
      <c r="A322" s="1441" t="s">
        <v>238</v>
      </c>
      <c r="B322" s="694" t="s">
        <v>284</v>
      </c>
      <c r="C322" s="467">
        <v>0</v>
      </c>
      <c r="D322" s="467">
        <v>0</v>
      </c>
      <c r="E322" s="467">
        <v>0</v>
      </c>
      <c r="F322" s="467">
        <v>0</v>
      </c>
      <c r="G322" s="467">
        <v>0</v>
      </c>
      <c r="H322" s="467">
        <v>0</v>
      </c>
      <c r="I322" s="467">
        <v>0</v>
      </c>
      <c r="J322" s="467">
        <v>0</v>
      </c>
      <c r="K322" s="1593">
        <f t="shared" si="24"/>
        <v>0</v>
      </c>
      <c r="L322" s="467">
        <v>0</v>
      </c>
      <c r="M322" s="662"/>
      <c r="N322" s="662"/>
    </row>
    <row r="323" spans="1:14" s="671" customFormat="1" x14ac:dyDescent="0.2">
      <c r="A323" s="1441" t="s">
        <v>702</v>
      </c>
      <c r="B323" s="694" t="s">
        <v>285</v>
      </c>
      <c r="C323" s="467">
        <v>0</v>
      </c>
      <c r="D323" s="467">
        <v>0</v>
      </c>
      <c r="E323" s="467">
        <v>0</v>
      </c>
      <c r="F323" s="467">
        <v>0</v>
      </c>
      <c r="G323" s="467">
        <v>0</v>
      </c>
      <c r="H323" s="467">
        <v>0</v>
      </c>
      <c r="I323" s="467">
        <v>0</v>
      </c>
      <c r="J323" s="467">
        <v>0</v>
      </c>
      <c r="K323" s="1593">
        <f t="shared" si="24"/>
        <v>0</v>
      </c>
      <c r="L323" s="467">
        <v>0</v>
      </c>
      <c r="M323" s="662"/>
      <c r="N323" s="662"/>
    </row>
    <row r="324" spans="1:14" s="671" customFormat="1" x14ac:dyDescent="0.2">
      <c r="A324" s="1441" t="s">
        <v>239</v>
      </c>
      <c r="B324" s="694" t="s">
        <v>286</v>
      </c>
      <c r="C324" s="467">
        <v>0</v>
      </c>
      <c r="D324" s="467">
        <v>0</v>
      </c>
      <c r="E324" s="467">
        <v>0</v>
      </c>
      <c r="F324" s="467">
        <v>0</v>
      </c>
      <c r="G324" s="467">
        <v>0</v>
      </c>
      <c r="H324" s="467">
        <v>0</v>
      </c>
      <c r="I324" s="467">
        <v>0</v>
      </c>
      <c r="J324" s="467">
        <v>0</v>
      </c>
      <c r="K324" s="1593">
        <f t="shared" si="24"/>
        <v>0</v>
      </c>
      <c r="L324" s="467">
        <v>0</v>
      </c>
      <c r="M324" s="662"/>
      <c r="N324" s="662"/>
    </row>
    <row r="325" spans="1:14" s="671" customFormat="1" ht="22.5" x14ac:dyDescent="0.2">
      <c r="A325" s="1441" t="s">
        <v>1029</v>
      </c>
      <c r="B325" s="695" t="s">
        <v>287</v>
      </c>
      <c r="C325" s="467">
        <v>0</v>
      </c>
      <c r="D325" s="467">
        <v>0</v>
      </c>
      <c r="E325" s="467">
        <v>0</v>
      </c>
      <c r="F325" s="467">
        <v>0</v>
      </c>
      <c r="G325" s="467">
        <v>0</v>
      </c>
      <c r="H325" s="467">
        <v>0</v>
      </c>
      <c r="I325" s="467">
        <v>0</v>
      </c>
      <c r="J325" s="467">
        <v>0</v>
      </c>
      <c r="K325" s="1593">
        <f t="shared" si="24"/>
        <v>0</v>
      </c>
      <c r="L325" s="467">
        <v>0</v>
      </c>
      <c r="M325" s="662"/>
      <c r="N325" s="662"/>
    </row>
    <row r="326" spans="1:14" s="671" customFormat="1" x14ac:dyDescent="0.2">
      <c r="A326" s="1441" t="s">
        <v>1030</v>
      </c>
      <c r="B326" s="694" t="s">
        <v>288</v>
      </c>
      <c r="C326" s="467">
        <v>0</v>
      </c>
      <c r="D326" s="467">
        <v>0</v>
      </c>
      <c r="E326" s="467">
        <v>0</v>
      </c>
      <c r="F326" s="467">
        <v>0</v>
      </c>
      <c r="G326" s="467">
        <v>0</v>
      </c>
      <c r="H326" s="467">
        <v>0</v>
      </c>
      <c r="I326" s="467">
        <v>0</v>
      </c>
      <c r="J326" s="467">
        <v>0</v>
      </c>
      <c r="K326" s="1593">
        <f t="shared" si="24"/>
        <v>0</v>
      </c>
      <c r="L326" s="467">
        <v>0</v>
      </c>
      <c r="M326" s="662"/>
      <c r="N326" s="662"/>
    </row>
    <row r="327" spans="1:14" s="671" customFormat="1" x14ac:dyDescent="0.2">
      <c r="A327" s="1441" t="s">
        <v>971</v>
      </c>
      <c r="B327" s="694" t="s">
        <v>289</v>
      </c>
      <c r="C327" s="467">
        <v>0</v>
      </c>
      <c r="D327" s="467">
        <v>0</v>
      </c>
      <c r="E327" s="467">
        <v>0</v>
      </c>
      <c r="F327" s="467">
        <v>0</v>
      </c>
      <c r="G327" s="467">
        <v>0</v>
      </c>
      <c r="H327" s="467">
        <v>0</v>
      </c>
      <c r="I327" s="467">
        <v>0</v>
      </c>
      <c r="J327" s="467">
        <v>0</v>
      </c>
      <c r="K327" s="1593">
        <f t="shared" si="24"/>
        <v>0</v>
      </c>
      <c r="L327" s="467">
        <v>0</v>
      </c>
      <c r="M327" s="662"/>
      <c r="N327" s="662"/>
    </row>
    <row r="328" spans="1:14" s="671" customFormat="1" x14ac:dyDescent="0.2">
      <c r="A328" s="1442" t="s">
        <v>472</v>
      </c>
      <c r="B328" s="687" t="s">
        <v>1132</v>
      </c>
      <c r="C328" s="473">
        <v>0</v>
      </c>
      <c r="D328" s="473">
        <v>0</v>
      </c>
      <c r="E328" s="473">
        <v>0</v>
      </c>
      <c r="F328" s="473">
        <v>0</v>
      </c>
      <c r="G328" s="473">
        <v>0</v>
      </c>
      <c r="H328" s="473">
        <v>0</v>
      </c>
      <c r="I328" s="473">
        <v>0</v>
      </c>
      <c r="J328" s="473">
        <v>0</v>
      </c>
      <c r="K328" s="1621">
        <f>SUM(C328:J328)</f>
        <v>0</v>
      </c>
      <c r="L328" s="473">
        <v>0</v>
      </c>
      <c r="M328" s="662"/>
      <c r="N328" s="662"/>
    </row>
    <row r="329" spans="1:14" s="671" customFormat="1" x14ac:dyDescent="0.2">
      <c r="A329" s="1442" t="s">
        <v>1133</v>
      </c>
      <c r="B329" s="687" t="s">
        <v>1134</v>
      </c>
      <c r="C329" s="473">
        <v>0</v>
      </c>
      <c r="D329" s="473">
        <v>0</v>
      </c>
      <c r="E329" s="473">
        <v>0</v>
      </c>
      <c r="F329" s="473">
        <v>0</v>
      </c>
      <c r="G329" s="473">
        <v>0</v>
      </c>
      <c r="H329" s="473">
        <v>0</v>
      </c>
      <c r="I329" s="473">
        <v>0</v>
      </c>
      <c r="J329" s="473">
        <v>0</v>
      </c>
      <c r="K329" s="1621">
        <f>SUM(C329:J329)</f>
        <v>0</v>
      </c>
      <c r="L329" s="473">
        <v>0</v>
      </c>
      <c r="M329" s="662"/>
      <c r="N329" s="662"/>
    </row>
    <row r="330" spans="1:14" s="671" customFormat="1" ht="12.75" customHeight="1" thickBot="1" x14ac:dyDescent="0.25">
      <c r="A330" s="1622" t="s">
        <v>717</v>
      </c>
      <c r="B330" s="1591" t="s">
        <v>569</v>
      </c>
      <c r="C330" s="1592">
        <f>SUM(C319:C329)</f>
        <v>0</v>
      </c>
      <c r="D330" s="1592">
        <f t="shared" ref="D330:J330" si="25">SUM(D319:D329)</f>
        <v>0</v>
      </c>
      <c r="E330" s="1592">
        <f t="shared" si="25"/>
        <v>0</v>
      </c>
      <c r="F330" s="1592">
        <f t="shared" si="25"/>
        <v>0</v>
      </c>
      <c r="G330" s="1592">
        <f t="shared" si="25"/>
        <v>0</v>
      </c>
      <c r="H330" s="1592">
        <f t="shared" si="25"/>
        <v>0</v>
      </c>
      <c r="I330" s="1592">
        <f t="shared" si="25"/>
        <v>0</v>
      </c>
      <c r="J330" s="1592">
        <f t="shared" si="25"/>
        <v>0</v>
      </c>
      <c r="K330" s="1592">
        <f>SUM(K319:K329)</f>
        <v>0</v>
      </c>
      <c r="L330" s="1592">
        <f>SUM(L319:L329)</f>
        <v>0</v>
      </c>
      <c r="M330" s="662"/>
      <c r="N330" s="662"/>
    </row>
    <row r="331" spans="1:14" s="671" customFormat="1" ht="12.75" customHeight="1" thickTop="1" x14ac:dyDescent="0.2">
      <c r="A331" s="1753" t="s">
        <v>1845</v>
      </c>
      <c r="B331" s="644" t="s">
        <v>860</v>
      </c>
      <c r="C331" s="1755"/>
      <c r="D331" s="1755"/>
      <c r="E331" s="1755"/>
      <c r="F331" s="1755"/>
      <c r="G331" s="1755"/>
      <c r="H331" s="1755"/>
      <c r="I331" s="1755"/>
      <c r="J331" s="1755"/>
      <c r="K331" s="1755"/>
      <c r="L331" s="1755"/>
      <c r="M331" s="662"/>
      <c r="N331" s="662"/>
    </row>
    <row r="332" spans="1:14" s="671" customFormat="1" ht="12.75" customHeight="1" x14ac:dyDescent="0.2">
      <c r="A332" s="1754" t="s">
        <v>496</v>
      </c>
      <c r="B332" s="1749" t="s">
        <v>1839</v>
      </c>
      <c r="C332" s="1755"/>
      <c r="D332" s="1755"/>
      <c r="E332" s="1755"/>
      <c r="F332" s="1755"/>
      <c r="G332" s="1755"/>
      <c r="H332" s="467">
        <v>0</v>
      </c>
      <c r="I332" s="1755"/>
      <c r="J332" s="1755"/>
      <c r="K332" s="1593">
        <f>H332</f>
        <v>0</v>
      </c>
      <c r="L332" s="467">
        <v>0</v>
      </c>
      <c r="M332" s="662"/>
      <c r="N332" s="662"/>
    </row>
    <row r="333" spans="1:14" s="671" customFormat="1" ht="12.75" customHeight="1" x14ac:dyDescent="0.2">
      <c r="A333" s="1754" t="s">
        <v>304</v>
      </c>
      <c r="B333" s="1749" t="s">
        <v>1841</v>
      </c>
      <c r="C333" s="1755"/>
      <c r="D333" s="1755"/>
      <c r="E333" s="1755"/>
      <c r="F333" s="1755"/>
      <c r="G333" s="1755"/>
      <c r="H333" s="467">
        <v>0</v>
      </c>
      <c r="I333" s="1755"/>
      <c r="J333" s="1755"/>
      <c r="K333" s="1593">
        <f>H333</f>
        <v>0</v>
      </c>
      <c r="L333" s="467">
        <v>0</v>
      </c>
      <c r="M333" s="662"/>
      <c r="N333" s="662"/>
    </row>
    <row r="334" spans="1:14" s="671" customFormat="1" ht="12.75" customHeight="1" thickBot="1" x14ac:dyDescent="0.25">
      <c r="A334" s="1754" t="s">
        <v>1846</v>
      </c>
      <c r="B334" s="1749" t="s">
        <v>860</v>
      </c>
      <c r="C334" s="1755"/>
      <c r="D334" s="1755"/>
      <c r="E334" s="1755"/>
      <c r="F334" s="1755"/>
      <c r="G334" s="1755"/>
      <c r="H334" s="1592">
        <f>SUM(H332:H333)</f>
        <v>0</v>
      </c>
      <c r="I334" s="1755"/>
      <c r="J334" s="1755"/>
      <c r="K334" s="1592">
        <f>SUM(K332:K333)</f>
        <v>0</v>
      </c>
      <c r="L334" s="1592">
        <f>SUM(L332:L333)</f>
        <v>0</v>
      </c>
      <c r="M334" s="662"/>
      <c r="N334" s="662"/>
    </row>
    <row r="335" spans="1:14" ht="15.75" customHeight="1" thickTop="1" x14ac:dyDescent="0.2">
      <c r="A335" s="1538" t="s">
        <v>899</v>
      </c>
      <c r="B335" s="1529"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440" t="s">
        <v>87</v>
      </c>
      <c r="B337" s="687" t="s">
        <v>900</v>
      </c>
      <c r="C337" s="635"/>
      <c r="D337" s="635"/>
      <c r="E337" s="635"/>
      <c r="F337" s="635"/>
      <c r="G337" s="635"/>
      <c r="H337" s="476">
        <v>0</v>
      </c>
      <c r="I337" s="635"/>
      <c r="J337" s="635"/>
      <c r="K337" s="1593">
        <f>H337</f>
        <v>0</v>
      </c>
      <c r="L337" s="476">
        <v>0</v>
      </c>
    </row>
    <row r="338" spans="1:14" ht="12.75" customHeight="1" x14ac:dyDescent="0.2">
      <c r="A338" s="1440" t="s">
        <v>1170</v>
      </c>
      <c r="B338" s="687" t="s">
        <v>617</v>
      </c>
      <c r="C338" s="635"/>
      <c r="D338" s="635"/>
      <c r="E338" s="635"/>
      <c r="F338" s="635"/>
      <c r="G338" s="635"/>
      <c r="H338" s="476">
        <v>0</v>
      </c>
      <c r="I338" s="635"/>
      <c r="J338" s="635"/>
      <c r="K338" s="1593">
        <f>H338</f>
        <v>0</v>
      </c>
      <c r="L338" s="476">
        <v>0</v>
      </c>
    </row>
    <row r="339" spans="1:14" x14ac:dyDescent="0.2">
      <c r="A339" s="1426" t="s">
        <v>901</v>
      </c>
      <c r="B339" s="625">
        <v>5150</v>
      </c>
      <c r="C339" s="635"/>
      <c r="D339" s="635"/>
      <c r="E339" s="635"/>
      <c r="F339" s="635"/>
      <c r="G339" s="635"/>
      <c r="H339" s="467">
        <v>0</v>
      </c>
      <c r="I339" s="635"/>
      <c r="J339" s="635"/>
      <c r="K339" s="1593">
        <f>H339</f>
        <v>0</v>
      </c>
      <c r="L339" s="467">
        <v>0</v>
      </c>
    </row>
    <row r="340" spans="1:14" ht="13.5" thickBot="1" x14ac:dyDescent="0.25">
      <c r="A340" s="1616" t="s">
        <v>902</v>
      </c>
      <c r="B340" s="1591" t="s">
        <v>492</v>
      </c>
      <c r="C340" s="613"/>
      <c r="D340" s="613"/>
      <c r="E340" s="613"/>
      <c r="F340" s="613"/>
      <c r="G340" s="613"/>
      <c r="H340" s="1610">
        <f>SUM(H337:H339)</f>
        <v>0</v>
      </c>
      <c r="I340" s="613"/>
      <c r="J340" s="613"/>
      <c r="K340" s="1610">
        <f>SUM(K337:K339)</f>
        <v>0</v>
      </c>
      <c r="L340" s="1610">
        <f>SUM(L337:L339)</f>
        <v>0</v>
      </c>
    </row>
    <row r="341" spans="1:14" ht="15.75" customHeight="1" thickTop="1" thickBot="1" x14ac:dyDescent="0.25">
      <c r="A341" s="1541" t="s">
        <v>903</v>
      </c>
      <c r="B341" s="1533" t="s">
        <v>861</v>
      </c>
      <c r="C341" s="613"/>
      <c r="D341" s="613"/>
      <c r="E341" s="475"/>
      <c r="F341" s="468"/>
      <c r="G341" s="468"/>
      <c r="H341" s="475"/>
      <c r="I341" s="475"/>
      <c r="J341" s="468"/>
      <c r="K341" s="475"/>
      <c r="L341" s="573">
        <v>0</v>
      </c>
    </row>
    <row r="342" spans="1:14" ht="12.75" customHeight="1" thickTop="1" thickBot="1" x14ac:dyDescent="0.25">
      <c r="A342" s="1608" t="s">
        <v>505</v>
      </c>
      <c r="B342" s="1623"/>
      <c r="C342" s="1592">
        <f>SUM(C330)</f>
        <v>0</v>
      </c>
      <c r="D342" s="1592">
        <f>SUM(D330)</f>
        <v>0</v>
      </c>
      <c r="E342" s="1592">
        <f>SUM(E330)</f>
        <v>0</v>
      </c>
      <c r="F342" s="1592">
        <f>SUM(F330)</f>
        <v>0</v>
      </c>
      <c r="G342" s="1592">
        <f>SUM(G330)</f>
        <v>0</v>
      </c>
      <c r="H342" s="1592">
        <f>SUM(H330,H334,H340)</f>
        <v>0</v>
      </c>
      <c r="I342" s="1592">
        <f>SUM(I330)</f>
        <v>0</v>
      </c>
      <c r="J342" s="1592">
        <f>SUM(J330)</f>
        <v>0</v>
      </c>
      <c r="K342" s="1592">
        <f>SUM(K330,K334,K340)</f>
        <v>0</v>
      </c>
      <c r="L342" s="1599">
        <f>SUM(L330,L340,L341)</f>
        <v>0</v>
      </c>
    </row>
    <row r="343" spans="1:14" ht="12.75" customHeight="1" thickTop="1" x14ac:dyDescent="0.2">
      <c r="A343" s="2275" t="s">
        <v>996</v>
      </c>
      <c r="B343" s="2276"/>
      <c r="C343" s="613"/>
      <c r="D343" s="613"/>
      <c r="E343" s="613"/>
      <c r="F343" s="613"/>
      <c r="G343" s="613"/>
      <c r="H343" s="613"/>
      <c r="I343" s="613"/>
      <c r="J343" s="613"/>
      <c r="K343" s="1606">
        <f>'Revenues 9-14'!J268-'Expenditures 15-22'!K342</f>
        <v>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65" t="s">
        <v>966</v>
      </c>
      <c r="B345" s="2266"/>
      <c r="C345" s="1473"/>
      <c r="D345" s="1474"/>
      <c r="E345" s="1474"/>
      <c r="F345" s="1474"/>
      <c r="G345" s="1474"/>
      <c r="H345" s="1474"/>
      <c r="I345" s="1474"/>
      <c r="J345" s="1474"/>
      <c r="K345" s="1474"/>
      <c r="L345" s="1475"/>
      <c r="M345" s="664"/>
      <c r="N345" s="664"/>
    </row>
    <row r="346" spans="1:14" s="343" customFormat="1" ht="15.75" customHeight="1" x14ac:dyDescent="0.2">
      <c r="A346" s="1545" t="s">
        <v>844</v>
      </c>
      <c r="B346" s="1537"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426" t="s">
        <v>4</v>
      </c>
      <c r="B348" s="611">
        <v>2530</v>
      </c>
      <c r="C348" s="466">
        <v>0</v>
      </c>
      <c r="D348" s="466">
        <v>0</v>
      </c>
      <c r="E348" s="466">
        <v>0</v>
      </c>
      <c r="F348" s="466">
        <v>0</v>
      </c>
      <c r="G348" s="466">
        <v>0</v>
      </c>
      <c r="H348" s="466">
        <v>0</v>
      </c>
      <c r="I348" s="467">
        <v>0</v>
      </c>
      <c r="J348" s="467">
        <v>0</v>
      </c>
      <c r="K348" s="1593">
        <f>SUM(C348:J348)</f>
        <v>0</v>
      </c>
      <c r="L348" s="466">
        <v>0</v>
      </c>
    </row>
    <row r="349" spans="1:14" x14ac:dyDescent="0.2">
      <c r="A349" s="1426" t="s">
        <v>197</v>
      </c>
      <c r="B349" s="611">
        <v>2540</v>
      </c>
      <c r="C349" s="466">
        <v>0</v>
      </c>
      <c r="D349" s="466">
        <v>0</v>
      </c>
      <c r="E349" s="466">
        <v>0</v>
      </c>
      <c r="F349" s="466">
        <v>0</v>
      </c>
      <c r="G349" s="466">
        <v>0</v>
      </c>
      <c r="H349" s="466">
        <v>0</v>
      </c>
      <c r="I349" s="467">
        <v>0</v>
      </c>
      <c r="J349" s="467">
        <v>0</v>
      </c>
      <c r="K349" s="1593">
        <f>SUM(C349:J349)</f>
        <v>0</v>
      </c>
      <c r="L349" s="466">
        <v>0</v>
      </c>
    </row>
    <row r="350" spans="1:14" ht="12.75" customHeight="1" thickBot="1" x14ac:dyDescent="0.25">
      <c r="A350" s="1590" t="s">
        <v>719</v>
      </c>
      <c r="B350" s="1591" t="s">
        <v>35</v>
      </c>
      <c r="C350" s="1592">
        <f>SUM(C348:C349)</f>
        <v>0</v>
      </c>
      <c r="D350" s="1592">
        <f t="shared" ref="D350:L350" si="26">SUM(D348:D349)</f>
        <v>0</v>
      </c>
      <c r="E350" s="1592">
        <f t="shared" si="26"/>
        <v>0</v>
      </c>
      <c r="F350" s="1592">
        <f t="shared" si="26"/>
        <v>0</v>
      </c>
      <c r="G350" s="1592">
        <f t="shared" si="26"/>
        <v>0</v>
      </c>
      <c r="H350" s="1592">
        <f t="shared" si="26"/>
        <v>0</v>
      </c>
      <c r="I350" s="1592">
        <f t="shared" si="26"/>
        <v>0</v>
      </c>
      <c r="J350" s="1592">
        <f t="shared" si="26"/>
        <v>0</v>
      </c>
      <c r="K350" s="1592">
        <f t="shared" si="26"/>
        <v>0</v>
      </c>
      <c r="L350" s="1592">
        <f t="shared" si="26"/>
        <v>0</v>
      </c>
    </row>
    <row r="351" spans="1:14" ht="12.75" customHeight="1" thickTop="1" x14ac:dyDescent="0.2">
      <c r="A351" s="1432"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590" t="s">
        <v>624</v>
      </c>
      <c r="B352" s="1597" t="s">
        <v>569</v>
      </c>
      <c r="C352" s="1592">
        <f>SUM(C350:C351)</f>
        <v>0</v>
      </c>
      <c r="D352" s="1592">
        <f t="shared" ref="D352:L352" si="27">SUM(D350:D351)</f>
        <v>0</v>
      </c>
      <c r="E352" s="1592">
        <f t="shared" si="27"/>
        <v>0</v>
      </c>
      <c r="F352" s="1592">
        <f t="shared" si="27"/>
        <v>0</v>
      </c>
      <c r="G352" s="1592">
        <f t="shared" si="27"/>
        <v>0</v>
      </c>
      <c r="H352" s="1592">
        <f t="shared" si="27"/>
        <v>0</v>
      </c>
      <c r="I352" s="1592">
        <f t="shared" si="27"/>
        <v>0</v>
      </c>
      <c r="J352" s="1592">
        <f t="shared" si="27"/>
        <v>0</v>
      </c>
      <c r="K352" s="1592">
        <f t="shared" si="27"/>
        <v>0</v>
      </c>
      <c r="L352" s="1592">
        <f t="shared" si="27"/>
        <v>0</v>
      </c>
    </row>
    <row r="353" spans="1:14" s="343" customFormat="1" ht="15.75" customHeight="1" thickTop="1" x14ac:dyDescent="0.2">
      <c r="A353" s="1534" t="s">
        <v>625</v>
      </c>
      <c r="B353" s="1531" t="s">
        <v>860</v>
      </c>
      <c r="C353" s="613"/>
      <c r="D353" s="613"/>
      <c r="E353" s="613"/>
      <c r="F353" s="613"/>
      <c r="G353" s="613"/>
      <c r="H353" s="613"/>
      <c r="I353" s="613"/>
      <c r="J353" s="613"/>
      <c r="K353" s="613"/>
      <c r="L353" s="613"/>
      <c r="M353" s="606"/>
      <c r="N353" s="606"/>
    </row>
    <row r="354" spans="1:14" x14ac:dyDescent="0.2">
      <c r="A354" s="1756" t="s">
        <v>1847</v>
      </c>
      <c r="B354" s="680" t="s">
        <v>1839</v>
      </c>
      <c r="C354" s="613"/>
      <c r="D354" s="613"/>
      <c r="E354" s="613"/>
      <c r="F354" s="613"/>
      <c r="G354" s="613"/>
      <c r="H354" s="473">
        <v>0</v>
      </c>
      <c r="I354" s="698"/>
      <c r="J354" s="613"/>
      <c r="K354" s="1621">
        <f>H354</f>
        <v>0</v>
      </c>
      <c r="L354" s="471">
        <v>0</v>
      </c>
    </row>
    <row r="355" spans="1:14" ht="12.75" customHeight="1" x14ac:dyDescent="0.2">
      <c r="A355" s="1435" t="s">
        <v>1848</v>
      </c>
      <c r="B355" s="687" t="s">
        <v>1841</v>
      </c>
      <c r="C355" s="613"/>
      <c r="D355" s="613"/>
      <c r="E355" s="613"/>
      <c r="F355" s="613"/>
      <c r="G355" s="613"/>
      <c r="H355" s="467">
        <v>0</v>
      </c>
      <c r="I355" s="698"/>
      <c r="J355" s="613"/>
      <c r="K355" s="1665">
        <f>H355</f>
        <v>0</v>
      </c>
      <c r="L355" s="467">
        <v>0</v>
      </c>
    </row>
    <row r="356" spans="1:14" ht="12.75" customHeight="1" x14ac:dyDescent="0.2">
      <c r="A356" s="1756" t="s">
        <v>698</v>
      </c>
      <c r="B356" s="680" t="s">
        <v>558</v>
      </c>
      <c r="C356" s="613"/>
      <c r="D356" s="613"/>
      <c r="E356" s="613"/>
      <c r="F356" s="613"/>
      <c r="G356" s="613"/>
      <c r="H356" s="477">
        <v>0</v>
      </c>
      <c r="I356" s="698"/>
      <c r="J356" s="613"/>
      <c r="K356" s="1662">
        <f>H356</f>
        <v>0</v>
      </c>
      <c r="L356" s="477">
        <v>0</v>
      </c>
    </row>
    <row r="357" spans="1:14" ht="12.75" customHeight="1" thickBot="1" x14ac:dyDescent="0.25">
      <c r="A357" s="1590" t="s">
        <v>1487</v>
      </c>
      <c r="B357" s="1591" t="s">
        <v>860</v>
      </c>
      <c r="C357" s="613"/>
      <c r="D357" s="613"/>
      <c r="E357" s="613"/>
      <c r="F357" s="613"/>
      <c r="G357" s="613"/>
      <c r="H357" s="1610">
        <f>SUM(H354:H356)</f>
        <v>0</v>
      </c>
      <c r="I357" s="698"/>
      <c r="J357" s="613"/>
      <c r="K357" s="1610">
        <f>SUM(K354:K356)</f>
        <v>0</v>
      </c>
      <c r="L357" s="1610">
        <f>SUM(L354:L356)</f>
        <v>0</v>
      </c>
    </row>
    <row r="358" spans="1:14" s="343" customFormat="1" ht="15.75" customHeight="1" thickTop="1" x14ac:dyDescent="0.2">
      <c r="A358" s="1534" t="s">
        <v>948</v>
      </c>
      <c r="B358" s="1531"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426" t="s">
        <v>87</v>
      </c>
      <c r="B360" s="611">
        <v>5110</v>
      </c>
      <c r="C360" s="613"/>
      <c r="D360" s="613"/>
      <c r="E360" s="613"/>
      <c r="F360" s="613"/>
      <c r="G360" s="613"/>
      <c r="H360" s="467">
        <v>0</v>
      </c>
      <c r="I360" s="613"/>
      <c r="J360" s="613"/>
      <c r="K360" s="1593">
        <f>SUM(C360:J360)</f>
        <v>0</v>
      </c>
      <c r="L360" s="466">
        <v>0</v>
      </c>
    </row>
    <row r="361" spans="1:14" ht="12.75" customHeight="1" x14ac:dyDescent="0.2">
      <c r="A361" s="1427" t="s">
        <v>619</v>
      </c>
      <c r="B361" s="599" t="s">
        <v>618</v>
      </c>
      <c r="C361" s="613"/>
      <c r="D361" s="613"/>
      <c r="E361" s="613"/>
      <c r="F361" s="613"/>
      <c r="G361" s="613"/>
      <c r="H361" s="467">
        <v>0</v>
      </c>
      <c r="I361" s="613"/>
      <c r="J361" s="613"/>
      <c r="K361" s="1593">
        <f>SUM(C361:J361)</f>
        <v>0</v>
      </c>
      <c r="L361" s="466">
        <v>0</v>
      </c>
    </row>
    <row r="362" spans="1:14" ht="12.75" customHeight="1" thickBot="1" x14ac:dyDescent="0.25">
      <c r="A362" s="1590" t="s">
        <v>626</v>
      </c>
      <c r="B362" s="1591" t="s">
        <v>718</v>
      </c>
      <c r="C362" s="613"/>
      <c r="D362" s="613"/>
      <c r="E362" s="613"/>
      <c r="F362" s="613"/>
      <c r="G362" s="613"/>
      <c r="H362" s="1625">
        <f>SUM(H360:H361)</f>
        <v>0</v>
      </c>
      <c r="I362" s="613"/>
      <c r="J362" s="613"/>
      <c r="K362" s="1625">
        <f>SUM(K360:K361)</f>
        <v>0</v>
      </c>
      <c r="L362" s="1625">
        <f>SUM(L360:L361)</f>
        <v>0</v>
      </c>
    </row>
    <row r="363" spans="1:14" s="671" customFormat="1" ht="15.75" customHeight="1" thickTop="1" x14ac:dyDescent="0.2">
      <c r="A363" s="657" t="s">
        <v>83</v>
      </c>
      <c r="B363" s="658" t="s">
        <v>38</v>
      </c>
      <c r="C363" s="635"/>
      <c r="D363" s="635"/>
      <c r="E363" s="635"/>
      <c r="F363" s="635"/>
      <c r="G363" s="635"/>
      <c r="H363" s="477">
        <v>0</v>
      </c>
      <c r="I363" s="635"/>
      <c r="J363" s="635"/>
      <c r="K363" s="1621">
        <f>SUM(C363:J363)</f>
        <v>0</v>
      </c>
      <c r="L363" s="477">
        <v>0</v>
      </c>
      <c r="M363" s="662"/>
      <c r="N363" s="662"/>
    </row>
    <row r="364" spans="1:14" s="705" customFormat="1" ht="29.25" customHeight="1" x14ac:dyDescent="0.2">
      <c r="A364" s="699" t="s">
        <v>1670</v>
      </c>
      <c r="B364" s="700">
        <v>5300</v>
      </c>
      <c r="C364" s="701"/>
      <c r="D364" s="702"/>
      <c r="E364" s="702"/>
      <c r="F364" s="701"/>
      <c r="G364" s="702"/>
      <c r="H364" s="703">
        <v>0</v>
      </c>
      <c r="I364" s="702"/>
      <c r="J364" s="702"/>
      <c r="K364" s="1593">
        <f>SUM(C364:J364)</f>
        <v>0</v>
      </c>
      <c r="L364" s="704">
        <v>0</v>
      </c>
    </row>
    <row r="365" spans="1:14" s="671" customFormat="1" ht="12.75" customHeight="1" thickBot="1" x14ac:dyDescent="0.25">
      <c r="A365" s="1443" t="s">
        <v>590</v>
      </c>
      <c r="B365" s="656" t="s">
        <v>492</v>
      </c>
      <c r="C365" s="635"/>
      <c r="D365" s="635"/>
      <c r="E365" s="635"/>
      <c r="F365" s="635"/>
      <c r="G365" s="635"/>
      <c r="H365" s="1625">
        <f>SUM(H362,H363,H364)</f>
        <v>0</v>
      </c>
      <c r="I365" s="635"/>
      <c r="J365" s="635"/>
      <c r="K365" s="1625">
        <f>SUM(K362,K363,K364)</f>
        <v>0</v>
      </c>
      <c r="L365" s="1625">
        <f>SUM(L362,L363,L364)</f>
        <v>0</v>
      </c>
      <c r="M365" s="662"/>
      <c r="N365" s="662"/>
    </row>
    <row r="366" spans="1:14" s="343" customFormat="1" ht="15.75" customHeight="1" thickTop="1" thickBot="1" x14ac:dyDescent="0.25">
      <c r="A366" s="1528" t="s">
        <v>949</v>
      </c>
      <c r="B366" s="1535" t="s">
        <v>861</v>
      </c>
      <c r="C366" s="620"/>
      <c r="D366" s="620"/>
      <c r="E366" s="620"/>
      <c r="F366" s="620"/>
      <c r="G366" s="620"/>
      <c r="H366" s="620"/>
      <c r="I366" s="620"/>
      <c r="J366" s="613"/>
      <c r="K366" s="620"/>
      <c r="L366" s="570">
        <v>0</v>
      </c>
      <c r="M366" s="606"/>
      <c r="N366" s="606"/>
    </row>
    <row r="367" spans="1:14" ht="12.75" customHeight="1" thickTop="1" thickBot="1" x14ac:dyDescent="0.25">
      <c r="A367" s="1614" t="s">
        <v>505</v>
      </c>
      <c r="B367" s="1626"/>
      <c r="C367" s="1592">
        <f t="shared" ref="C367:L367" si="28">SUM(C352,C357,C365,C366)</f>
        <v>0</v>
      </c>
      <c r="D367" s="1592">
        <f t="shared" si="28"/>
        <v>0</v>
      </c>
      <c r="E367" s="1592">
        <f t="shared" si="28"/>
        <v>0</v>
      </c>
      <c r="F367" s="1592">
        <f t="shared" si="28"/>
        <v>0</v>
      </c>
      <c r="G367" s="1592">
        <f t="shared" si="28"/>
        <v>0</v>
      </c>
      <c r="H367" s="1592">
        <f t="shared" si="28"/>
        <v>0</v>
      </c>
      <c r="I367" s="1592">
        <f t="shared" si="28"/>
        <v>0</v>
      </c>
      <c r="J367" s="1592">
        <f t="shared" si="28"/>
        <v>0</v>
      </c>
      <c r="K367" s="1592">
        <f t="shared" si="28"/>
        <v>0</v>
      </c>
      <c r="L367" s="1592">
        <f t="shared" si="28"/>
        <v>0</v>
      </c>
    </row>
    <row r="368" spans="1:14" ht="13.5" thickTop="1" x14ac:dyDescent="0.2">
      <c r="A368" s="2289" t="s">
        <v>996</v>
      </c>
      <c r="B368" s="2290"/>
      <c r="C368" s="651"/>
      <c r="D368" s="651"/>
      <c r="E368" s="623"/>
      <c r="F368" s="623"/>
      <c r="G368" s="623"/>
      <c r="H368" s="623"/>
      <c r="I368" s="623"/>
      <c r="J368" s="620"/>
      <c r="K368" s="1593">
        <f>'Revenues 9-14'!K268-'Expenditures 15-22'!K367</f>
        <v>0</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infopath/2007/PartnerControls"/>
    <ds:schemaRef ds:uri="http://schemas.microsoft.com/sharepoint/v3"/>
    <ds:schemaRef ds:uri="http://purl.org/dc/dcmitype/"/>
    <ds:schemaRef ds:uri="http://purl.org/dc/terms/"/>
    <ds:schemaRef ds:uri="4d435f69-8686-490b-bd6d-b153bf22ab50"/>
    <ds:schemaRef ds:uri="http://www.w3.org/XML/1998/namespace"/>
    <ds:schemaRef ds:uri="http://schemas.microsoft.com/office/2006/documentManagement/types"/>
    <ds:schemaRef ds:uri="d21dc803-237d-4c68-8692-8d731fd29118"/>
    <ds:schemaRef ds:uri="6ce3111e-7420-4802-b50a-75d4e9a0b980"/>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19</vt:lpstr>
      <vt:lpstr>SEFA NOTES</vt:lpstr>
      <vt:lpstr>SF&amp;QC Sec-1</vt:lpstr>
      <vt:lpstr>Finding 2019-001</vt:lpstr>
      <vt:lpstr>SF&amp;QC Sec-3</vt:lpstr>
      <vt:lpstr>SSPAF</vt:lpstr>
      <vt:lpstr>CAP 2019-001</vt:lpstr>
      <vt:lpstr>' SEFA'!Print_Area</vt:lpstr>
      <vt:lpstr>'SEFA 19'!Print_Area</vt:lpstr>
      <vt:lpstr>'SEFA NOTES'!Print_Area</vt:lpstr>
      <vt:lpstr>'SEFA Reconcile'!Print_Area</vt:lpstr>
      <vt:lpstr>'SF&amp;QC Sec-1'!Print_Area</vt:lpstr>
      <vt:lpstr>'SF&amp;QC Sec-3'!Print_Area</vt:lpstr>
      <vt:lpstr>'Single Audit Checklist'!Print_Area</vt:lpstr>
      <vt:lpstr>'Single Audit Cover'!Print_Area</vt:lpstr>
      <vt:lpstr>'SEFA 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2019-11-14T18:28:52Z</cp:lastPrinted>
  <dcterms:created xsi:type="dcterms:W3CDTF">2003-10-29T19:06:34Z</dcterms:created>
  <dcterms:modified xsi:type="dcterms:W3CDTF">2019-12-16T22:15:21Z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